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4.xml" ContentType="application/vnd.openxmlformats-officedocument.drawing+xml"/>
  <Override PartName="/xl/comments6.xml" ContentType="application/vnd.openxmlformats-officedocument.spreadsheetml.comment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omments7.xml" ContentType="application/vnd.openxmlformats-officedocument.spreadsheetml.comments+xml"/>
  <Override PartName="/xl/comments8.xml" ContentType="application/vnd.openxmlformats-officedocument.spreadsheetml.comments+xml"/>
  <Override PartName="/xl/drawings/drawing5.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S:\TELECOMS\STOCKS\EMEA\Latam\Brazil\Nubank\Models\Current\"/>
    </mc:Choice>
  </mc:AlternateContent>
  <xr:revisionPtr revIDLastSave="0" documentId="13_ncr:1_{6BFE13BF-8293-4B91-B41D-87F24A01B1EE}" xr6:coauthVersionLast="47" xr6:coauthVersionMax="47" xr10:uidLastSave="{00000000-0000-0000-0000-000000000000}"/>
  <bookViews>
    <workbookView xWindow="-96" yWindow="-96" windowWidth="20928" windowHeight="12552" tabRatio="831" xr2:uid="{1CCD19E4-6B4D-4B36-8063-07616E35138A}"/>
  </bookViews>
  <sheets>
    <sheet name="Cover" sheetId="1" r:id="rId1"/>
    <sheet name="Master" sheetId="2" r:id="rId2"/>
    <sheet name="Consensus" sheetId="20" r:id="rId3"/>
    <sheet name="Analysis" sheetId="13" r:id="rId4"/>
    <sheet name="Revenue and Expenses breakdown" sheetId="8" r:id="rId5"/>
    <sheet name="Quarts" sheetId="3" r:id="rId6"/>
    <sheet name="Earnings snap" sheetId="19" r:id="rId7"/>
    <sheet name="Drivers" sheetId="10" r:id="rId8"/>
    <sheet name="Notes" sheetId="16" r:id="rId9"/>
    <sheet name="Valuation" sheetId="5" r:id="rId10"/>
    <sheet name="Banks comps" sheetId="22" r:id="rId11"/>
    <sheet name="BS Estimates" sheetId="21" r:id="rId12"/>
    <sheet name="Macro" sheetId="4" r:id="rId13"/>
    <sheet name="Summary" sheetId="14" r:id="rId14"/>
    <sheet name="Summary II" sheetId="15" r:id="rId15"/>
    <sheet name="Comps link" sheetId="18" r:id="rId16"/>
    <sheet name="FIG ratios" sheetId="17" r:id="rId17"/>
    <sheet name="Customers" sheetId="12" state="hidden" r:id="rId18"/>
    <sheet name="Subs" sheetId="9" state="hidden"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Admin" hidden="1">"No"</definedName>
    <definedName name="_Fill" hidden="1">#REF!</definedName>
    <definedName name="_xlnm._FilterDatabase" localSheetId="3" hidden="1">Analysis!$B$749:$H$755</definedName>
    <definedName name="_xlnm._FilterDatabase" hidden="1">#REF!</definedName>
    <definedName name="_GSR008" hidden="1">[1]Equipment!$E$134:$DT$134</definedName>
    <definedName name="_GSR012" hidden="1">[1]Equipment!$E$185:$DT$185</definedName>
    <definedName name="_InAdmin" hidden="1">"No"</definedName>
    <definedName name="_Key1" hidden="1">#REF!</definedName>
    <definedName name="_LegalOk" hidden="1">"No"</definedName>
    <definedName name="_MC16" hidden="1">[1]Equipment!$E$80:$DT$80</definedName>
    <definedName name="_MC28" hidden="1">[1]Equipment!$E$77:$DT$77</definedName>
    <definedName name="_Order1" hidden="1">255</definedName>
    <definedName name="_Order2" hidden="1">0</definedName>
    <definedName name="_Sort" hidden="1">#REF!</definedName>
    <definedName name="adfa" hidden="1">#REF!</definedName>
    <definedName name="anscount" hidden="1">2</definedName>
    <definedName name="AP" hidden="1">[1]Model!$E$41</definedName>
    <definedName name="ARPUInput" hidden="1">[1]Model!$E$142:$DT$142</definedName>
    <definedName name="asdfdf" localSheetId="14" hidden="1">{#N/A,#N/A,FALSE,"Statement of Ops";#N/A,#N/A,FALSE,"Trend Ops"}</definedName>
    <definedName name="asdfdf" hidden="1">{#N/A,#N/A,FALSE,"Statement of Ops";#N/A,#N/A,FALSE,"Trend Ops"}</definedName>
    <definedName name="Assumptions" hidden="1">[1]Model!$A$30:$A$122</definedName>
    <definedName name="AvgVoiceLines" hidden="1">[1]Model!$E$136:$DT$136</definedName>
    <definedName name="Balance_Sheet" hidden="1">'[1]Financial Statements'!$A$126:$A$177</definedName>
    <definedName name="bb" localSheetId="14" hidden="1">{#N/A,#N/A,FALSE,"Statement of Ops";#N/A,#N/A,FALSE,"Trend Ops"}</definedName>
    <definedName name="bb" hidden="1">{#N/A,#N/A,FALSE,"Statement of Ops";#N/A,#N/A,FALSE,"Trend Ops"}</definedName>
    <definedName name="BPackClust" hidden="1">[1]Equipment!$E$226:$DT$226</definedName>
    <definedName name="BPackRTU" hidden="1">[1]Equipment!$E$220:$DT$220</definedName>
    <definedName name="BPackRTUCapex" hidden="1">[1]Capex!$E$220:$DT$220</definedName>
    <definedName name="BPackRTULife" hidden="1">[1]Capex!$C$116</definedName>
    <definedName name="BPackRTUMaint" hidden="1">[1]Capex!$E$248:$DT$248</definedName>
    <definedName name="BTS" hidden="1">[1]Equipment!$E$212:$DT$212</definedName>
    <definedName name="BTSAppRTUCapex" hidden="1">[1]Capex!$E$218:$DT$218</definedName>
    <definedName name="BTSAppRTULife" hidden="1">[1]Capex!$C$114</definedName>
    <definedName name="BTSAppRTUMaint" hidden="1">[1]Capex!$E$247:$DT$247</definedName>
    <definedName name="BTSLife" hidden="1">[1]Capex!$C$112</definedName>
    <definedName name="BTSPlatRTUCapex" hidden="1">[1]Capex!$E$217:$DT$217</definedName>
    <definedName name="BTSPlatRTULife" hidden="1">[1]Capex!$C$113</definedName>
    <definedName name="BTSPlatRTUMaint" hidden="1">[1]Capex!$E$246:$DT$246</definedName>
    <definedName name="BTSRTU" hidden="1">[1]Equipment!$E$206:$DT$206</definedName>
    <definedName name="CalcSetting" hidden="1">[1]Equipment!$B$10</definedName>
    <definedName name="CallMgmtPctInbound" hidden="1">[1]Model!$E$118:$DT$118</definedName>
    <definedName name="CallMgmtPctOutbound" hidden="1">[1]Model!$E$119:$DT$119</definedName>
    <definedName name="Card" hidden="1">[1]Equipment!$E$40:$DT$40</definedName>
    <definedName name="CardInput" hidden="1">'[1]Capex Input'!$E$48:$DT$48</definedName>
    <definedName name="Cash_Flow_Statement" hidden="1">'[1]Financial Statements'!$A$69:$A$122</definedName>
    <definedName name="CHT" hidden="1">[1]Equipment!$E$202:$DT$202</definedName>
    <definedName name="CHTInput" hidden="1">'[1]Capex Input'!$E$41:$DT$41</definedName>
    <definedName name="CMTSInputs" hidden="1">[1]Equipment!$E$13:$DT$57</definedName>
    <definedName name="CMTSOutputs" hidden="1">[1]Equipment!$E$59:$DT$68</definedName>
    <definedName name="CNAMPctInbound" hidden="1">[1]Model!$E$116:$DT$116</definedName>
    <definedName name="CNAMPctOutbound" hidden="1">[1]Model!$E$117:$DT$117</definedName>
    <definedName name="CodecInput" hidden="1">'[1]Capex Input'!$E$33:$DT$33</definedName>
    <definedName name="Cognit" hidden="1">[1]Equipment!$E$235:$DT$235</definedName>
    <definedName name="ColCount" hidden="1">[1]Equipment!$B$11</definedName>
    <definedName name="cost_of_capital" hidden="1">[1]Model!$E$43</definedName>
    <definedName name="CPULimit" hidden="1">[1]Equipment!$E$56:$DT$56</definedName>
    <definedName name="CPUPerDataSub" hidden="1">[1]Equipment!$E$36:$DT$36</definedName>
    <definedName name="CPUPerDS0" hidden="1">[1]Equipment!$E$35:$DT$35</definedName>
    <definedName name="CPUUtil" hidden="1">[1]Equipment!$E$63:$DT$63</definedName>
    <definedName name="CPUUtilData" hidden="1">[1]Equipment!$E$68:$DT$68</definedName>
    <definedName name="DB">"WIRENYPROD"</definedName>
    <definedName name="dere" localSheetId="14" hidden="1">{#N/A,#N/A,FALSE,"Statement of Ops";#N/A,#N/A,FALSE,"Trend Ops"}</definedName>
    <definedName name="dere" hidden="1">{#N/A,#N/A,FALSE,"Statement of Ops";#N/A,#N/A,FALSE,"Trend Ops"}</definedName>
    <definedName name="dfdfd" localSheetId="14" hidden="1">{#N/A,#N/A,FALSE,"Statement of Ops";#N/A,#N/A,FALSE,"Trend Ops"}</definedName>
    <definedName name="dfdfd" hidden="1">{#N/A,#N/A,FALSE,"Statement of Ops";#N/A,#N/A,FALSE,"Trend Ops"}</definedName>
    <definedName name="dfsdf" localSheetId="14" hidden="1">{#N/A,#N/A,FALSE,"Statement of Ops";#N/A,#N/A,FALSE,"Trend Ops"}</definedName>
    <definedName name="dfsdf" hidden="1">{#N/A,#N/A,FALSE,"Statement of Ops";#N/A,#N/A,FALSE,"Trend Ops"}</definedName>
    <definedName name="dsf" localSheetId="14" hidden="1">{#N/A,#N/A,FALSE,"Statement of Ops";#N/A,#N/A,FALSE,"Trend Ops"}</definedName>
    <definedName name="dsf" hidden="1">{#N/A,#N/A,FALSE,"Statement of Ops";#N/A,#N/A,FALSE,"Trend Ops"}</definedName>
    <definedName name="DSPerDataSub" hidden="1">[1]Equipment!$E$30:$DT$30</definedName>
    <definedName name="DSPerDataSubInput" hidden="1">'[1]Capex Input'!$E$42:$DT$42</definedName>
    <definedName name="DSPerDom" hidden="1">[1]Equipment!$E$46:$DT$46</definedName>
    <definedName name="DSPerDS0" hidden="1">[1]Equipment!$E$24:$DT$24</definedName>
    <definedName name="DSUtil" hidden="1">[1]Equipment!$E$60:$DT$60</definedName>
    <definedName name="DSUtilData" hidden="1">[1]Equipment!$E$65:$DT$65</definedName>
    <definedName name="DualPctData" hidden="1">[1]Capex!$E$32:$DT$32</definedName>
    <definedName name="DualPctVoiceInput" hidden="1">[1]Model!$E$86:$DT$86</definedName>
    <definedName name="eeeeeeeeee" localSheetId="14" hidden="1">{#N/A,#N/A,FALSE,"Statement of Ops";#N/A,#N/A,FALSE,"Trend Ops"}</definedName>
    <definedName name="eeeeeeeeee" hidden="1">{#N/A,#N/A,FALSE,"Statement of Ops";#N/A,#N/A,FALSE,"Trend Ops"}</definedName>
    <definedName name="Equipment_and_CAPEX" hidden="1">[1]Model!$A$199:$A$265</definedName>
    <definedName name="erere" localSheetId="14" hidden="1">{#N/A,#N/A,FALSE,"Statement of Ops";#N/A,#N/A,FALSE,"Trend Ops"}</definedName>
    <definedName name="erere" hidden="1">{#N/A,#N/A,FALSE,"Statement of Ops";#N/A,#N/A,FALSE,"Trend Ops"}</definedName>
    <definedName name="ererere" localSheetId="14" hidden="1">{#N/A,#N/A,FALSE,"Statement of Ops";#N/A,#N/A,FALSE,"Trend Ops"}</definedName>
    <definedName name="ererere" hidden="1">{#N/A,#N/A,FALSE,"Statement of Ops";#N/A,#N/A,FALSE,"Trend Ops"}</definedName>
    <definedName name="ErlangsPerLine" hidden="1">[1]Equipment!$E$29:$DT$29</definedName>
    <definedName name="ErlangsPerLineInput" hidden="1">'[1]Capex Input'!$E$40:$DT$40</definedName>
    <definedName name="g_Cumulative_Net_Income" hidden="1">[1]Results!$P$157:$AH$192</definedName>
    <definedName name="g_Discounted_Cash" hidden="1">[1]Results!$A$341:$M$376</definedName>
    <definedName name="g_Expenses" hidden="1">[1]Results!$P$203:$AH$238</definedName>
    <definedName name="g_IRR" hidden="1">[1]Results!$P$65:$AH$100</definedName>
    <definedName name="g_Net_Income" hidden="1">[1]Results!$A$157:$M$192</definedName>
    <definedName name="g_NPV" hidden="1">[1]Results!$A$65:$M$100</definedName>
    <definedName name="g_Service_Revenue" hidden="1">[1]Results!$A$203:$M$238</definedName>
    <definedName name="g_User_defined_1" hidden="1">[1]Results!$A$249:$M$284</definedName>
    <definedName name="g_User_defined_2" hidden="1">[1]Results!$P$249:$AH$284</definedName>
    <definedName name="g_User_defined_3" hidden="1">[1]Results!$A$295:$M$330</definedName>
    <definedName name="g_User_defined_4" hidden="1">[1]Results!$P$295:$AH$330</definedName>
    <definedName name="GBPUSD">[2]Summary!$C$84</definedName>
    <definedName name="GOS" hidden="1">[1]Equipment!$E$23:$DT$23</definedName>
    <definedName name="GOSInput" hidden="1">'[1]Capex Input'!$E$36:$DT$36</definedName>
    <definedName name="Graphs" hidden="1">[1]Results!$A$49:$A$62</definedName>
    <definedName name="GrossAddDual" hidden="1">[1]Model!$E$104:$DT$104</definedName>
    <definedName name="GrossAddFromHSD" hidden="1">[1]Model!$E$102:$DT$102</definedName>
    <definedName name="GrossAddVoiceOnly" hidden="1">[1]Model!$E$100:$DT$100</definedName>
    <definedName name="GrossLineAdds" hidden="1">[1]Model!$E$107:$DT$107</definedName>
    <definedName name="GSR008Data" hidden="1">[1]Equipment!$E$143:$DT$143</definedName>
    <definedName name="GSR012Data" hidden="1">[1]Equipment!$E$191:$DT$191</definedName>
    <definedName name="GSR1OC12_CMTS" hidden="1">[1]Equipment!$E$131:$DT$131</definedName>
    <definedName name="GSR1OC12Data_CMTS" hidden="1">[1]Equipment!$E$140:$DT$140</definedName>
    <definedName name="GSR4OC12_DC" hidden="1">[1]Equipment!$E$179:$DT$179</definedName>
    <definedName name="GSR4OC12ATM" hidden="1">[1]Equipment!$E$182:$DT$182</definedName>
    <definedName name="GSR4OC12Data_DC" hidden="1">[1]Equipment!$E$188:$DT$188</definedName>
    <definedName name="GSR4OC3_CMTS" hidden="1">[1]Equipment!$E$128:$DT$128</definedName>
    <definedName name="GSR4OC3Data_CMTS" hidden="1">[1]Equipment!$E$137:$DT$137</definedName>
    <definedName name="GSRCapex" hidden="1">[1]Capex!$E$266:$DT$266</definedName>
    <definedName name="GSRLife" hidden="1">[1]Capex!$C$102</definedName>
    <definedName name="GSRMaint" hidden="1">[1]Capex!$E$291:$DT$291</definedName>
    <definedName name="h.IsCSM" hidden="1">"CSModel"</definedName>
    <definedName name="HHP" hidden="1">[1]Capex!$E$12:$DT$12</definedName>
    <definedName name="HHPInput" hidden="1">[1]Model!$E$71:$DT$71</definedName>
    <definedName name="HTML_CodePage" hidden="1">1252</definedName>
    <definedName name="HTML_Description" hidden="1">"IBN Products"</definedName>
    <definedName name="HTML_Email" hidden="1">""</definedName>
    <definedName name="HTML_Header" hidden="1">"Edit"</definedName>
    <definedName name="HTML_LastUpdate" hidden="1">"24/05/97"</definedName>
    <definedName name="HTML_LineAfter" hidden="1">FALSE</definedName>
    <definedName name="HTML_LineBefore" hidden="1">TRUE</definedName>
    <definedName name="HTML_Name" hidden="1">"Mike Bibbings"</definedName>
    <definedName name="HTML_OBDlg2" hidden="1">TRUE</definedName>
    <definedName name="HTML_OBDlg4" hidden="1">TRUE</definedName>
    <definedName name="HTML_OS" hidden="1">0</definedName>
    <definedName name="HTML_PathFile" hidden="1">"C:\My Documents\mmelHTML.htm"</definedName>
    <definedName name="HTML_Title" hidden="1">"Master Edit List"</definedName>
    <definedName name="HubSize" hidden="1">[1]Equipment!$E$17:$DT$17</definedName>
    <definedName name="HubSizeInput" hidden="1">'[1]Capex Input'!$E$27:$DT$27</definedName>
    <definedName name="Income_Statement" hidden="1">'[1]Financial Statements'!$A$31:$A$65</definedName>
    <definedName name="income_tax_rate" hidden="1">[1]Model!$E$42</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USIP" hidden="1">"c2245"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DATE" hidden="1">"c1634"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PAYOUT_RATIO" hidden="1">"c3492"</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39420.5584027778</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kk" hidden="1">#REF!</definedName>
    <definedName name="LATASize" hidden="1">[1]Equipment!$E$149:$DT$149</definedName>
    <definedName name="LATASizeInput" hidden="1">'[1]Capex Input'!$E$28:$DT$28</definedName>
    <definedName name="LegalOk" hidden="1">"No"</definedName>
    <definedName name="limcount" hidden="1">1</definedName>
    <definedName name="LinesPerFN" hidden="1">[1]Equipment!$E$15:$DT$15</definedName>
    <definedName name="LinesPerSubInput" hidden="1">[1]Model!$E$77:$DT$77</definedName>
    <definedName name="lll" localSheetId="14" hidden="1">{#N/A,#N/A,FALSE,"Statement of Ops";#N/A,#N/A,FALSE,"Trend Ops"}</definedName>
    <definedName name="lll" hidden="1">{#N/A,#N/A,FALSE,"Statement of Ops";#N/A,#N/A,FALSE,"Trend Ops"}</definedName>
    <definedName name="llll" localSheetId="14" hidden="1">{#N/A,#N/A,FALSE,"Statement of Ops";#N/A,#N/A,FALSE,"Trend Ops"}</definedName>
    <definedName name="llll" hidden="1">{#N/A,#N/A,FALSE,"Statement of Ops";#N/A,#N/A,FALSE,"Trend Ops"}</definedName>
    <definedName name="lllll" localSheetId="14" hidden="1">{#N/A,#N/A,FALSE,"Statement of Ops";#N/A,#N/A,FALSE,"Trend Ops"}</definedName>
    <definedName name="lllll" hidden="1">{#N/A,#N/A,FALSE,"Statement of Ops";#N/A,#N/A,FALSE,"Trend Ops"}</definedName>
    <definedName name="LNPPct" hidden="1">[1]Model!$E$120:$DT$120</definedName>
    <definedName name="LookupAppRTU" hidden="1">'[1]BTS Tables'!$B$30:$B$81</definedName>
    <definedName name="LookupCPS" hidden="1">'[1]BTS Tables'!$A$3:$A$27</definedName>
    <definedName name="LookupLines" hidden="1">'[1]BTS Tables'!$A$30:$A$81</definedName>
    <definedName name="LookupPlatRTU" hidden="1">'[1]BTS Tables'!$B$3:$B$27</definedName>
    <definedName name="MC16Data" hidden="1">[1]Equipment!$E$98:$DT$98</definedName>
    <definedName name="MC28Data" hidden="1">[1]Equipment!$E$95:$DT$95</definedName>
    <definedName name="md" hidden="1">[1]Model!$E$52</definedName>
    <definedName name="MGX" hidden="1">[1]Equipment!$E$161:$DT$161</definedName>
    <definedName name="MGXCapex" hidden="1">[1]Capex!$E$267:$DT$267</definedName>
    <definedName name="MGXLife" hidden="1">[1]Capex!$C$108</definedName>
    <definedName name="MGXMaint" hidden="1">[1]Capex!$E$292:$DT$292</definedName>
    <definedName name="MinPerLineLocal" hidden="1">[1]Model!$E$111:$DT$111</definedName>
    <definedName name="MinPerLineToll" hidden="1">[1]Model!$E$112:$DT$112</definedName>
    <definedName name="mv" hidden="1">[1]Model!$E$51</definedName>
    <definedName name="OnNetMaxInput" hidden="1">'[1]Capex Input'!$E$29:$DT$29</definedName>
    <definedName name="Operations" hidden="1">[1]Model!$A$269:$A$412</definedName>
    <definedName name="OSSInput" hidden="1">'[1]Capex Input'!$E$144:$DT$144</definedName>
    <definedName name="p" hidden="1">[1]Model!$E$53</definedName>
    <definedName name="PentrData" hidden="1">[1]Equipment!$E$4:$DT$4</definedName>
    <definedName name="PentrDataInput" hidden="1">[1]Model!$E$76:$DT$76</definedName>
    <definedName name="PentrVoice" hidden="1">[1]Equipment!$E$2:$DT$2</definedName>
    <definedName name="PentrVoiceInput" hidden="1">[1]Model!$E$75:$DT$75</definedName>
    <definedName name="PHSInput" hidden="1">'[1]Capex Input'!$E$35:$DT$35</definedName>
    <definedName name="PlatformInput" hidden="1">'[1]Capex Input'!$E$47:$DT$47</definedName>
    <definedName name="_xlnm.Print_Area">#REF!</definedName>
    <definedName name="_xlnm.Print_Titles">#REF!</definedName>
    <definedName name="Q1_Account">#REF!</definedName>
    <definedName name="Q1_Coding">#REF!</definedName>
    <definedName name="Q1_Data">#REF!</definedName>
    <definedName name="Q1_Period">#REF!</definedName>
    <definedName name="Q1_TP">#REF!</definedName>
    <definedName name="Q2_Account">#REF!</definedName>
    <definedName name="Q2_Coding">#REF!</definedName>
    <definedName name="Q2_Data">#REF!</definedName>
    <definedName name="Q2_Period">#REF!</definedName>
    <definedName name="Q2_TP">#REF!</definedName>
    <definedName name="Q3_Account">#REF!</definedName>
    <definedName name="Q3_Coding">#REF!</definedName>
    <definedName name="Q3_Data">#REF!</definedName>
    <definedName name="Q3_Period">#REF!</definedName>
    <definedName name="Q3_TP">#REF!</definedName>
    <definedName name="Q4_Account">#REF!</definedName>
    <definedName name="Q4_Coding">#REF!</definedName>
    <definedName name="Q4_Data">#REF!</definedName>
    <definedName name="Q4_Period">#REF!</definedName>
    <definedName name="Q4_TP">#REF!</definedName>
    <definedName name="QC用労働時間有">'[3]03FY 2nd Hafl Latest Estimate'!$A$1:$A$2638</definedName>
    <definedName name="QC用労働時間無">'[3]03FY 2nd Hafl Latest Estimate'!$A$1:$D$618</definedName>
    <definedName name="RedundantEdgeInput" hidden="1">'[1]Capex Input'!$E$51:$DT$51</definedName>
    <definedName name="RedundantGWInput" hidden="1">'[1]Capex Input'!$E$53:$DT$53</definedName>
    <definedName name="RedundNInput" hidden="1">'[1]Capex Input'!$E$58:$DT$58</definedName>
    <definedName name="Repdate1">#REF!</definedName>
    <definedName name="Repdate2">#REF!</definedName>
    <definedName name="RF" hidden="1">[1]Equipment!$E$92:$DT$92</definedName>
    <definedName name="RFData" hidden="1">[1]Equipment!$E$110:$DT$110</definedName>
    <definedName name="rngColData">'[4]RevCost Report'!$G$1:$Y$65536,'[4]RevCost Report'!$AA$1:$BV$65536</definedName>
    <definedName name="rngColHidden">'[4]RevCost Report'!$A$1:$B$65536,'[4]RevCost Report'!$D$1:$D$65536</definedName>
    <definedName name="rngHideMissingColumns">FALSE</definedName>
    <definedName name="rngHideMissingRows">FALSE</definedName>
    <definedName name="rngRowHidden">'[4]RevCost Report'!$A$4:$IV$5,'[4]RevCost Report'!$A$11:$IV$17</definedName>
    <definedName name="RoutesPerLATA" hidden="1">[1]Model!$E$114:$DT$114</definedName>
    <definedName name="Rpt_Month">[5]★ﾒﾆｭｰ!$I$31</definedName>
    <definedName name="Rpt_Year">[5]★ﾒﾆｭｰ!$I$30</definedName>
    <definedName name="SalvagePct" hidden="1">[1]Model!$E$38</definedName>
    <definedName name="SampleInput" hidden="1">'[1]Capex Input'!$E$34:$DT$34</definedName>
    <definedName name="SAPBEXhrIndnt" hidden="1">1</definedName>
    <definedName name="SAPBEXrevision" hidden="1">0</definedName>
    <definedName name="SAPBEXsysID" hidden="1">"UBP"</definedName>
    <definedName name="SAPBEXwbID" hidden="1">"46ZQZIX9P9TMSSGKMZCTXHTXP"</definedName>
    <definedName name="sdsdsd" localSheetId="14" hidden="1">{#N/A,#N/A,FALSE,"Statement of Ops";#N/A,#N/A,FALSE,"Trend Ops"}</definedName>
    <definedName name="sdsdsd" hidden="1">{#N/A,#N/A,FALSE,"Statement of Ops";#N/A,#N/A,FALSE,"Trend Ops"}</definedName>
    <definedName name="Select_Inc_Exp">[6]Ref!$B$12</definedName>
    <definedName name="sencount" hidden="1">2</definedName>
    <definedName name="ServerHWCapex" hidden="1">[1]Capex!$E$268:$DT$268</definedName>
    <definedName name="ServerHWMaint" hidden="1">[1]Capex!$E$293:$DT$293</definedName>
    <definedName name="Services_and_Revenue" hidden="1">[1]Model!$A$126:$A$195</definedName>
    <definedName name="sfsdf" localSheetId="14" hidden="1">{#N/A,#N/A,FALSE,"Statement of Ops";#N/A,#N/A,FALSE,"Trend Ops"}</definedName>
    <definedName name="sfsdf" hidden="1">{#N/A,#N/A,FALSE,"Statement of Ops";#N/A,#N/A,FALSE,"Trend Ops"}</definedName>
    <definedName name="Sheetname_Instructions">[6]Ref!#REF!</definedName>
    <definedName name="show_base">[6]WaterFall_Prep!$U$1</definedName>
    <definedName name="show_newbase">[6]WaterFall_Prep!$W$1</definedName>
    <definedName name="show_pctchange">[6]WaterFall_Prep!$Y$1</definedName>
    <definedName name="solver_adj" localSheetId="7" hidden="1">Drivers!$C$186:$C$187</definedName>
    <definedName name="solver_cvg" hidden="1">0.001</definedName>
    <definedName name="solver_drv" hidden="1">1</definedName>
    <definedName name="solver_eng" localSheetId="7" hidden="1">1</definedName>
    <definedName name="solver_est" hidden="1">1</definedName>
    <definedName name="solver_itr" hidden="1">100</definedName>
    <definedName name="solver_lin" hidden="1">2</definedName>
    <definedName name="solver_neg" localSheetId="7" hidden="1">1</definedName>
    <definedName name="solver_neg" hidden="1">2</definedName>
    <definedName name="solver_num" localSheetId="7" hidden="1">0</definedName>
    <definedName name="solver_num" hidden="1">0</definedName>
    <definedName name="solver_nwt" hidden="1">1</definedName>
    <definedName name="solver_opt" localSheetId="7" hidden="1">Drivers!#REF!</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localSheetId="7" hidden="1">3</definedName>
    <definedName name="solver_typ" hidden="1">1</definedName>
    <definedName name="solver_val" localSheetId="7" hidden="1">0.0121</definedName>
    <definedName name="solver_val" hidden="1">0</definedName>
    <definedName name="solver_ver" localSheetId="7" hidden="1">3</definedName>
    <definedName name="SPAPrint">[7]SPA!$A$1:$AD$48,[7]SPA!$A$90:$AD$137</definedName>
    <definedName name="subs1" localSheetId="14"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s1"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subtotal">[8]基礎ﾃﾞｰﾀ!#REF!</definedName>
    <definedName name="TA">[3]Sheet3!$A$1:$E$196</definedName>
    <definedName name="Trend_Start">[5]★ﾒﾆｭｰ!$L$31</definedName>
    <definedName name="uBR10Data" hidden="1">[1]Equipment!$E$100:$DT$100</definedName>
    <definedName name="uBR1OC12" hidden="1">[1]Equipment!$E$91:$DT$91</definedName>
    <definedName name="uBR1OC12Data" hidden="1">[1]Equipment!$E$109:$DT$109</definedName>
    <definedName name="uBR1OC3" hidden="1">[1]Equipment!$E$88:$DT$88</definedName>
    <definedName name="uBR1OC3Data" hidden="1">[1]Equipment!$E$106:$DT$106</definedName>
    <definedName name="uBR7Data" hidden="1">[1]Equipment!$E$103:$DT$103</definedName>
    <definedName name="uBRCapex" hidden="1">[1]Capex!$E$265:$DT$265</definedName>
    <definedName name="uBRLife" hidden="1">[1]Capex!$C$92</definedName>
    <definedName name="uBRMaint" hidden="1">[1]Capex!$E$290:$DT$290</definedName>
    <definedName name="UKPrint">[7]UK!$A$90:$AD$137,[7]UK!$A$1:$AD$48</definedName>
    <definedName name="uOne" hidden="1">[1]Equipment!$E$259:$DT$259</definedName>
    <definedName name="UPIBVPrint">[7]UPIBV!$A$1:$AD$48,[7]UPIBV!$A$90:$AD$137</definedName>
    <definedName name="UPIOPrint">[7]UPIO!$A$90:$AD$137,[7]UPIO!$A$1:$AD$48</definedName>
    <definedName name="UPVPPrint">[7]UPVP!$A$1:$AD$48,[7]UPVP!$A$90:$AD$137</definedName>
    <definedName name="USBandwidth" hidden="1">[1]Equipment!$E$54:$DT$54</definedName>
    <definedName name="USDBRL">[2]Summary!$C$86</definedName>
    <definedName name="USDJPY">[2]Summary!$C$87</definedName>
    <definedName name="UsefulLife" hidden="1">[1]Model!$E$37</definedName>
    <definedName name="USPerDataSub" hidden="1">[1]Equipment!$E$31:$DT$31</definedName>
    <definedName name="USPerDataSubInput" hidden="1">'[1]Capex Input'!$E$43:$DT$43</definedName>
    <definedName name="USPerDom" hidden="1">[1]Equipment!$E$47:$DT$47</definedName>
    <definedName name="USPerDS0" hidden="1">[1]Equipment!$E$25:$DT$25</definedName>
    <definedName name="USUtil" hidden="1">[1]Equipment!$E$61:$DT$61</definedName>
    <definedName name="USUtilData" hidden="1">[1]Equipment!$E$66:$DT$66</definedName>
    <definedName name="valuearea">[9]data!$AQ$26:$CS$864</definedName>
    <definedName name="variance_logic" localSheetId="14">#REF!</definedName>
    <definedName name="variance_logic">#REF!</definedName>
    <definedName name="VerintFixed" hidden="1">[1]Equipment!$E$244:$DT$244</definedName>
    <definedName name="VerintVar" hidden="1">[1]Equipment!$E$250:$DT$250</definedName>
    <definedName name="VISM" hidden="1">[1]Equipment!$E$159:$DT$159</definedName>
    <definedName name="VoiceLines" hidden="1">[1]Model!$E$83:$DT$83</definedName>
    <definedName name="VoiceSubs" hidden="1">[1]Model!$E$81:$DT$81</definedName>
    <definedName name="WANBandwidth" hidden="1">[1]Equipment!$E$55:$DT$55</definedName>
    <definedName name="WANPerDataSub" hidden="1">[1]Equipment!$E$32:$DT$32</definedName>
    <definedName name="WANPerDS0" hidden="1">[1]Equipment!$E$26:$DT$26</definedName>
    <definedName name="WANUtil" hidden="1">[1]Equipment!$E$62:$DT$62</definedName>
    <definedName name="WANUtilData" hidden="1">[1]Equipment!$E$67:$DT$67</definedName>
    <definedName name="WhoIs" hidden="1">"Developed by Cisco Systems, August 2002"</definedName>
    <definedName name="WORKBOOK_SAPBEXq0003" comment="DP_4">"DP_4"</definedName>
    <definedName name="WORKBOOK_SAPBEXq0004" comment="DP_5">"DP_5"</definedName>
    <definedName name="WORKBOOK_SAPBEXq0009" comment="DP_6">"DP_6"</definedName>
    <definedName name="WORKBOOK_SAPBEXq0010" comment="DP_7">"DP_7"</definedName>
    <definedName name="WORKBOOK_SAPBEXq0011" comment="DP_8">"DP_8"</definedName>
    <definedName name="WORKBOOK_SAPBEXq0012" comment="DP_9">"DP_9"</definedName>
    <definedName name="WORKBOOK_SAPBEXq0015" comment="DP_10">"DP_10"</definedName>
    <definedName name="wrn.4Q._.Report." localSheetId="14" hidden="1">{"Summary OCF",#N/A,FALSE,"Summary OCF";"Rev &amp; OCF",#N/A,FALSE,"Revenue and OCF";"Exp",#N/A,FALSE,"Expenses";"Subs",#N/A,FALSE,"Subscribers"}</definedName>
    <definedName name="wrn.4Q._.Report." hidden="1">{"Summary OCF",#N/A,FALSE,"Summary OCF";"Rev &amp; OCF",#N/A,FALSE,"Revenue and OCF";"Exp",#N/A,FALSE,"Expenses";"Subs",#N/A,FALSE,"Subscribers"}</definedName>
    <definedName name="wrn.Budget._.Annual." localSheetId="14"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Annual." hidden="1">{"Annual P&amp;L",#N/A,TRUE,"P&amp;L";"Annual Revenue 1",#N/A,TRUE,"DetRev";"Annual Revenue 2",#N/A,TRUE,"DetRev";"Annual Tech",#N/A,TRUE,"DetTech";"Annual Customer Service",#N/A,TRUE,"DetCSR";"Annual Marketing",#N/A,TRUE,"DetMrkt";"Annual Online",#N/A,TRUE,"DetOnline";"Annual Telephony",#N/A,TRUE,"DetTelephony";"Annual Adsales",#N/A,TRUE,"DetAdSales";"Annual LO",#N/A,TRUE,"DETLO";"Annual Administration",#N/A,TRUE,"DetAdmin";"Annual Product",#N/A,TRUE,"DetProd";"Annual Manpower",#N/A,TRUE,"Manpower Summary"}</definedName>
    <definedName name="wrn.Budget._.Trend." localSheetId="14"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Budget._.Trend." hidden="1">{"Trend P&amp;L",#N/A,TRUE,"P&amp;L";"Trend Revenue 1",#N/A,TRUE,"DetRev";"Trend Revenue 2",#N/A,TRUE,"DetRev";"Trend Tech",#N/A,TRUE,"DetTech";"Trend Customer Service",#N/A,TRUE,"DetCSR";"Trend Marketing",#N/A,TRUE,"DetMrkt";"Trend Online",#N/A,TRUE,"DetOnline";"Trend Telephony",#N/A,TRUE,"DetTelephony";"Trend Adsales",#N/A,TRUE,"DetAdSales";"Trend LO",#N/A,TRUE,"DETLO";"Trend Administration",#N/A,TRUE,"DetAdmin";"Trend Product",#N/A,TRUE,"DetProd"}</definedName>
    <definedName name="wrn.Cable._.Headcount._.Reports." localSheetId="14" hidden="1">{"Headcount Annual",#N/A,FALSE,"Headcount";"Headcount Monthly",#N/A,FALSE,"Headcount"}</definedName>
    <definedName name="wrn.Cable._.Headcount._.Reports." hidden="1">{"Headcount Annual",#N/A,FALSE,"Headcount";"Headcount Monthly",#N/A,FALSE,"Headcount"}</definedName>
    <definedName name="wrn.Capital." localSheetId="14" hidden="1">{"Capital",#N/A,FALSE,"CapSum"}</definedName>
    <definedName name="wrn.Capital." hidden="1">{"Capital",#N/A,FALSE,"CapSum"}</definedName>
    <definedName name="wrn.Capital._.Report." localSheetId="14" hidden="1">{"Capital",#N/A,FALSE,"CapSum"}</definedName>
    <definedName name="wrn.Capital._.Report." hidden="1">{"Capital",#N/A,FALSE,"CapSum"}</definedName>
    <definedName name="wrn.Capital._.Reports." localSheetId="14" hidden="1">{"Capital Summary",#N/A,FALSE,"CapSum";"Other Capital",#N/A,FALSE,"CapDet";"Construction Report",#N/A,FALSE,"ConstRep"}</definedName>
    <definedName name="wrn.Capital._.Reports." hidden="1">{"Capital Summary",#N/A,FALSE,"CapSum";"Other Capital",#N/A,FALSE,"CapDet";"Construction Report",#N/A,FALSE,"ConstRep"}</definedName>
    <definedName name="wrn.Capital._.Summary." localSheetId="14" hidden="1">{"Capital",#N/A,FALSE,"CapSum"}</definedName>
    <definedName name="wrn.Capital._.Summary." hidden="1">{"Capital",#N/A,FALSE,"CapSum"}</definedName>
    <definedName name="wrn.Current._.Month." localSheetId="14" hidden="1">{"current month",#N/A,FALSE,"Capitalization"}</definedName>
    <definedName name="wrn.Current._.Month." hidden="1">{"current month",#N/A,FALSE,"Capitalization"}</definedName>
    <definedName name="wrn.Digital._.Sub._.Detail." localSheetId="14" hidden="1">{"Digital Detail",#N/A,FALSE,"Digital"}</definedName>
    <definedName name="wrn.Digital._.Sub._.Detail." hidden="1">{"Digital Detail",#N/A,FALSE,"Digital"}</definedName>
    <definedName name="wrn.Financial._.Reports." localSheetId="14"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Financial._.Reports." hidden="1">{#N/A,#N/A,FALSE,"Statement of Ops";#N/A,#N/A,FALSE,"Trend Ops";#N/A,#N/A,FALSE,"Revenue";#N/A,#N/A,FALSE,"Trend Rev";#N/A,#N/A,FALSE,"Tech";#N/A,#N/A,FALSE,"Trend Tech";#N/A,#N/A,FALSE,"Cust Serv";#N/A,#N/A,FALSE,"Trend Cust Serv";#N/A,#N/A,FALSE,"Marketing";#N/A,#N/A,FALSE,"Trend Marketing";#N/A,#N/A,FALSE,"Online";#N/A,#N/A,FALSE,"Trend Online";#N/A,#N/A,FALSE,"Telephony";#N/A,#N/A,FALSE,"Trend Telephony";#N/A,#N/A,FALSE,"Ad Sales";#N/A,#N/A,FALSE,"Trend Ad Sales";#N/A,#N/A,FALSE,"LO";#N/A,#N/A,FALSE,"Trend LO";#N/A,#N/A,FALSE,"Admin";#N/A,#N/A,FALSE,"Trend Admin";#N/A,#N/A,FALSE,"Product";#N/A,#N/A,FALSE,"Trend Product"}</definedName>
    <definedName name="wrn.Monthly._.Financial._.Reports." localSheetId="14"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Monthly._.Financial._.Reports." hidden="1">{"Monthly Rev",#N/A,FALSE,"DetRev";"Monthly Tech",#N/A,FALSE,"DetTech";"Monthly CSR",#N/A,FALSE,"DetCSR";"Monthly Mrkt",#N/A,FALSE,"DetMrkt";"Monthly Online",#N/A,FALSE,"DetOnline";"Monthly AdSales",#N/A,FALSE,"DetAdSales";"Monthly LO",#N/A,FALSE,"DETLO";"Monthly Admin",#N/A,FALSE,"DetAdmin";"Monthly Prod",#N/A,FALSE,"DetProd";"Headcount Monthly",#N/A,FALSE,"Headcount"}</definedName>
    <definedName name="wrn.No._.Ad._.Sales._.Reports." localSheetId="14" hidden="1">{"Annual P&amp;L NoAd",#N/A,FALSE,"P&amp;L No Ad Sales";"Annual Rev NoAd",#N/A,FALSE,"DetRev No Ad Sales";"Monthly P&amp;L NoAd",#N/A,FALSE,"P&amp;L No Ad Sales";"Monthly Rev NoAd",#N/A,FALSE,"DetRev No Ad Sales"}</definedName>
    <definedName name="wrn.No._.Ad._.Sales._.Reports." hidden="1">{"Annual P&amp;L NoAd",#N/A,FALSE,"P&amp;L No Ad Sales";"Annual Rev NoAd",#N/A,FALSE,"DetRev No Ad Sales";"Monthly P&amp;L NoAd",#N/A,FALSE,"P&amp;L No Ad Sales";"Monthly Rev NoAd",#N/A,FALSE,"DetRev No Ad Sales"}</definedName>
    <definedName name="wrn.No._.AdSales._.Annual." localSheetId="14" hidden="1">{"P&amp;L No Ads Annual",#N/A,TRUE,"P&amp;L No Ad Sales";"Revenue No Ads Annual",#N/A,TRUE,"DetRev No Ad Sales"}</definedName>
    <definedName name="wrn.No._.AdSales._.Annual." hidden="1">{"P&amp;L No Ads Annual",#N/A,TRUE,"P&amp;L No Ad Sales";"Revenue No Ads Annual",#N/A,TRUE,"DetRev No Ad Sales"}</definedName>
    <definedName name="wrn.No._.AdSales._.Financial." localSheetId="14" hidden="1">{"Annual P&amp;L No Ads",#N/A,TRUE,"Trend No AdSales";"Monthly P&amp;L No Ads",#N/A,TRUE,"Trend No AdSales";"Annual Rev no Ads",#N/A,TRUE,"Trend Rev No AdSales";"Monthly Rev No Ads",#N/A,TRUE,"Trend Rev No AdSales"}</definedName>
    <definedName name="wrn.No._.AdSales._.Financial." hidden="1">{"Annual P&amp;L No Ads",#N/A,TRUE,"Trend No AdSales";"Monthly P&amp;L No Ads",#N/A,TRUE,"Trend No AdSales";"Annual Rev no Ads",#N/A,TRUE,"Trend Rev No AdSales";"Monthly Rev No Ads",#N/A,TRUE,"Trend Rev No AdSales"}</definedName>
    <definedName name="wrn.No._.Adsales._.Reports." localSheetId="14" hidden="1">{"Trend P&amp;L No Adsales",#N/A,TRUE,"P&amp;L No Ad Sales";"Annual P&amp;L No Adsales",#N/A,TRUE,"P&amp;L No Ad Sales";"Trend Revenue no Adsales",#N/A,TRUE,"DetRev No AdSales";"Annual Revenue No AdSales",#N/A,TRUE,"DetRev No AdSales"}</definedName>
    <definedName name="wrn.No._.Adsales._.Reports." hidden="1">{"Trend P&amp;L No Adsales",#N/A,TRUE,"P&amp;L No Ad Sales";"Annual P&amp;L No Adsales",#N/A,TRUE,"P&amp;L No Ad Sales";"Trend Revenue no Adsales",#N/A,TRUE,"DetRev No AdSales";"Annual Revenue No AdSales",#N/A,TRUE,"DetRev No AdSales"}</definedName>
    <definedName name="wrn.No._.AdSales._.Trend." localSheetId="14" hidden="1">{"P&amp;L No Ads Trend",#N/A,TRUE,"P&amp;L No Ad Sales";"Revenue No Ads Trend",#N/A,TRUE,"DetRev No Ad Sales"}</definedName>
    <definedName name="wrn.No._.AdSales._.Trend." hidden="1">{"P&amp;L No Ads Trend",#N/A,TRUE,"P&amp;L No Ad Sales";"Revenue No Ads Trend",#N/A,TRUE,"DetRev No Ad Sales"}</definedName>
    <definedName name="wrn.Online._.Headcount._.Reports." localSheetId="14" hidden="1">{"Online Headcount Annual",#N/A,FALSE,"Headcount";"Online Headcount Monthly",#N/A,FALSE,"Headcount"}</definedName>
    <definedName name="wrn.Online._.Headcount._.Reports." hidden="1">{"Online Headcount Annual",#N/A,FALSE,"Headcount";"Online Headcount Monthly",#N/A,FALSE,"Headcount"}</definedName>
    <definedName name="wrn.Online._.Sub._.Detail." localSheetId="14" hidden="1">{"Online Detail",#N/A,FALSE,"OnLine"}</definedName>
    <definedName name="wrn.Online._.Sub._.Detail." hidden="1">{"Online Detail",#N/A,FALSE,"OnLine"}</definedName>
    <definedName name="wrn.Pay._.Sub._.Detail." localSheetId="14" hidden="1">{"Pay Detail",#N/A,FALSE,"Pay"}</definedName>
    <definedName name="wrn.Pay._.Sub._.Detail." hidden="1">{"Pay Detail",#N/A,FALSE,"Pay"}</definedName>
    <definedName name="wrn.Trend." localSheetId="14" hidden="1">{"trend",#N/A,TRUE,"Capitalization"}</definedName>
    <definedName name="wrn.Trend." hidden="1">{"trend",#N/A,TRUE,"Capitalization"}</definedName>
    <definedName name="wrn.Trend._.Reports." localSheetId="14" hidden="1">{"P&amp;L Trend",#N/A,TRUE,"P&amp;L";"Revenue Trend",#N/A,TRUE,"DetRev";"Tech Trend",#N/A,TRUE,"DetTech";"Customer Service Trend",#N/A,TRUE,"DetCSR";"Marketing Trend",#N/A,TRUE,"DetMrkt";"Online Trend",#N/A,TRUE,"DetOnline";"Telephony Trend",#N/A,TRUE,"DetTelephony";"Adsales Trend",#N/A,TRUE,"DetAdSales";"LO Trend",#N/A,TRUE,"DETLO";"Admin Trend",#N/A,TRUE,"DetAdmin";"Product Trend",#N/A,TRUE,"DetProd"}</definedName>
    <definedName name="wrn.Trend._.Reports." hidden="1">{"P&amp;L Trend",#N/A,TRUE,"P&amp;L";"Revenue Trend",#N/A,TRUE,"DetRev";"Tech Trend",#N/A,TRUE,"DetTech";"Customer Service Trend",#N/A,TRUE,"DetCSR";"Marketing Trend",#N/A,TRUE,"DetMrkt";"Online Trend",#N/A,TRUE,"DetOnline";"Telephony Trend",#N/A,TRUE,"DetTelephony";"Adsales Trend",#N/A,TRUE,"DetAdSales";"LO Trend",#N/A,TRUE,"DETLO";"Admin Trend",#N/A,TRUE,"DetAdmin";"Product Trend",#N/A,TRUE,"DetProd"}</definedName>
    <definedName name="wwwwwwwwwwwww" localSheetId="14" hidden="1">{#N/A,#N/A,FALSE,"Statement of Ops";#N/A,#N/A,FALSE,"Trend Ops"}</definedName>
    <definedName name="wwwwwwwwwwwww" hidden="1">{#N/A,#N/A,FALSE,"Statement of Ops";#N/A,#N/A,FALSE,"Trend Ops"}</definedName>
    <definedName name="xxxx" localSheetId="14" hidden="1">{"P&amp;L Annual",#N/A,FALSE,"P&amp;L";"Rev Annual",#N/A,FALSE,"DetRev";"Tech Annual",#N/A,FALSE,"DetTech";"CSR Annual",#N/A,FALSE,"DetCSR";"Marketing Annual",#N/A,FALSE,"DetMrkt";"Ad Sales Annual",#N/A,FALSE,"DetAdSales";"LO Annual",#N/A,FALSE,"DETLO";"Admin Annual",#N/A,FALSE,"DetAdmin";"Product Annual",#N/A,FALSE,"DetProd"}</definedName>
    <definedName name="xxxx" hidden="1">{"P&amp;L Annual",#N/A,FALSE,"P&amp;L";"Rev Annual",#N/A,FALSE,"DetRev";"Tech Annual",#N/A,FALSE,"DetTech";"CSR Annual",#N/A,FALSE,"DetCSR";"Marketing Annual",#N/A,FALSE,"DetMrkt";"Ad Sales Annual",#N/A,FALSE,"DetAdSales";"LO Annual",#N/A,FALSE,"DETLO";"Admin Annual",#N/A,FALSE,"DetAdmin";"Product Annual",#N/A,FALSE,"DetProd"}</definedName>
    <definedName name="YTDcomrange1">#REF!</definedName>
    <definedName name="YTDcomrange2">#REF!</definedName>
    <definedName name="Z_FB9FEF07_E23D_4093_B787_DA7C6E65880F_.wvu.PrintTitles" hidden="1">'[10]Inputs - Debt Roll'!$A$1:$F$65536,'[10]Inputs - Debt Roll'!$A$1:$IV$9</definedName>
    <definedName name="ｸﾞﾚｰ">'[11]ﾃﾞｰﾀ加工(MTD)'!$EY$4</definedName>
    <definedName name="ｸﾞﾚｰY">'[11]ﾃﾞｰﾀ加工(YTD)'!$EY$4</definedName>
    <definedName name="チケット別日別販売実績_DAT" localSheetId="14">#REF!</definedName>
    <definedName name="チケット別日別販売実績_DAT">#REF!</definedName>
    <definedName name="ベニューリスト" localSheetId="14">#REF!</definedName>
    <definedName name="ベニューリスト">#REF!</definedName>
    <definedName name="元DATA">'[3]03FY 2nd Hafl Latest Estimate'!$B$2:$J$1450</definedName>
    <definedName name="利益処分計算">'[3]03FY 2nd Hafl Latest Estimate'!#REF!</definedName>
    <definedName name="勘定科目">#REF!</definedName>
    <definedName name="印刷01">'[3]03FY 2nd Hafl Latest Estimate'!$B$4:$Z$399</definedName>
    <definedName name="印刷02">'[3]03FY 2nd Hafl Latest Estimate'!$B$400:$Z$474</definedName>
    <definedName name="反転">'[11]ﾃﾞｰﾀ加工(MTD)'!$FC$4</definedName>
    <definedName name="反転Y">'[11]ﾃﾞｰﾀ加工(YTD)'!$FC$4</definedName>
    <definedName name="基本項目_FLAG">[8]基礎ﾃﾞｰﾀ!#REF!</definedName>
    <definedName name="消税率" localSheetId="14">#REF!</definedName>
    <definedName name="消税率">#REF!</definedName>
  </definedNames>
  <calcPr calcId="191029" calcMode="manual" iterate="1" calcCompleted="0"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T230" i="3" l="1"/>
  <c r="T202" i="3"/>
  <c r="P151" i="3"/>
  <c r="S151" i="3"/>
  <c r="P147" i="3"/>
  <c r="S147" i="3"/>
  <c r="P137" i="3"/>
  <c r="P140" i="3" s="1"/>
  <c r="P128" i="3"/>
  <c r="P131" i="3" s="1"/>
  <c r="P141" i="3" s="1"/>
  <c r="S137" i="3"/>
  <c r="S140" i="3" s="1"/>
  <c r="S128" i="3"/>
  <c r="S131" i="3" s="1"/>
  <c r="S141" i="3" s="1"/>
  <c r="H948" i="13"/>
  <c r="P142" i="3" l="1"/>
  <c r="S142" i="3"/>
  <c r="I4" i="4"/>
  <c r="U222" i="3"/>
  <c r="D630" i="16"/>
  <c r="I28" i="19" l="1"/>
  <c r="K28" i="19" s="1"/>
  <c r="H28" i="19"/>
  <c r="G28" i="19"/>
  <c r="F28" i="19"/>
  <c r="E28" i="19"/>
  <c r="D28" i="19"/>
  <c r="C28" i="19"/>
  <c r="G90" i="10"/>
  <c r="K18" i="19"/>
  <c r="I12" i="19"/>
  <c r="L12" i="19" s="1"/>
  <c r="J1129" i="13"/>
  <c r="I1131" i="13"/>
  <c r="I1130" i="13"/>
  <c r="I1129" i="13"/>
  <c r="I1128" i="13"/>
  <c r="I1127" i="13"/>
  <c r="C1186" i="13" l="1"/>
  <c r="D1186" i="13" s="1"/>
  <c r="E1186" i="13" s="1"/>
  <c r="C1187" i="13" l="1"/>
  <c r="D1187" i="13"/>
  <c r="C1188" i="13" s="1"/>
  <c r="C1189" i="13" s="1"/>
  <c r="G948" i="13"/>
  <c r="G955" i="13" s="1"/>
  <c r="G1108" i="13"/>
  <c r="F1108" i="13"/>
  <c r="E1108" i="13"/>
  <c r="D1108" i="13"/>
  <c r="C1108" i="13"/>
  <c r="C1140" i="13"/>
  <c r="C1155" i="13"/>
  <c r="B1151" i="13"/>
  <c r="B1150" i="13"/>
  <c r="B1149" i="13"/>
  <c r="C1165" i="13"/>
  <c r="B1137" i="13"/>
  <c r="B1144" i="13" s="1"/>
  <c r="B1136" i="13"/>
  <c r="B1143" i="13" s="1"/>
  <c r="C1146" i="13"/>
  <c r="D1146" i="13" s="1"/>
  <c r="C1128" i="13"/>
  <c r="J1128" i="13" s="1"/>
  <c r="C1127" i="13"/>
  <c r="J1127" i="13" s="1"/>
  <c r="B1156" i="13"/>
  <c r="B1161" i="13" s="1"/>
  <c r="B1155" i="13"/>
  <c r="B1160" i="13" s="1"/>
  <c r="C1131" i="13"/>
  <c r="J1130" i="13" s="1"/>
  <c r="D1101" i="13"/>
  <c r="C1101" i="13"/>
  <c r="C1139" i="13" l="1"/>
  <c r="D1155" i="13"/>
  <c r="C1130" i="13"/>
  <c r="J1055" i="13"/>
  <c r="J1056" i="13" s="1"/>
  <c r="J1057" i="13" s="1"/>
  <c r="D1139" i="13" l="1"/>
  <c r="C1145" i="13"/>
  <c r="D1145" i="13" l="1"/>
  <c r="J1053" i="13" l="1"/>
  <c r="D1061" i="13"/>
  <c r="D1089" i="13" l="1"/>
  <c r="D1091" i="13" s="1"/>
  <c r="C1089" i="13"/>
  <c r="C1091" i="13" s="1"/>
  <c r="D1093" i="13" l="1"/>
  <c r="D1095" i="13" s="1"/>
  <c r="D1077" i="13"/>
  <c r="D1065" i="13"/>
  <c r="D1076" i="13" s="1"/>
  <c r="C1070" i="13"/>
  <c r="C1078" i="13"/>
  <c r="C1067" i="13"/>
  <c r="C1069" i="13" s="1"/>
  <c r="C1066" i="13"/>
  <c r="N33" i="20"/>
  <c r="N39" i="20"/>
  <c r="N40" i="20"/>
  <c r="N27" i="20"/>
  <c r="N15" i="20"/>
  <c r="N10" i="20"/>
  <c r="N8" i="20"/>
  <c r="N17" i="20" s="1"/>
  <c r="N18" i="20" s="1"/>
  <c r="I14" i="20"/>
  <c r="S14" i="20" s="1"/>
  <c r="I13" i="20"/>
  <c r="H37" i="8"/>
  <c r="Y95" i="3"/>
  <c r="X95" i="3"/>
  <c r="W95" i="3"/>
  <c r="T95" i="3"/>
  <c r="E95" i="3"/>
  <c r="F95" i="3"/>
  <c r="G95" i="3"/>
  <c r="K95" i="3"/>
  <c r="J95" i="3"/>
  <c r="I95" i="3"/>
  <c r="H95" i="3"/>
  <c r="O95" i="3"/>
  <c r="N95" i="3"/>
  <c r="M95" i="3"/>
  <c r="R95" i="3"/>
  <c r="S95" i="3"/>
  <c r="Z207" i="3"/>
  <c r="Z215" i="3" s="1"/>
  <c r="Y207" i="3"/>
  <c r="Y215" i="3" s="1"/>
  <c r="X207" i="3"/>
  <c r="X215" i="3" s="1"/>
  <c r="W207" i="3"/>
  <c r="W215" i="3" s="1"/>
  <c r="U207" i="3"/>
  <c r="U215" i="3" s="1"/>
  <c r="T207" i="3"/>
  <c r="T215" i="3" s="1"/>
  <c r="Z184" i="3"/>
  <c r="Y184" i="3"/>
  <c r="X184" i="3"/>
  <c r="W184" i="3"/>
  <c r="U184" i="3"/>
  <c r="T184" i="3"/>
  <c r="Z62" i="3"/>
  <c r="Y62" i="3"/>
  <c r="X62" i="3"/>
  <c r="W62" i="3"/>
  <c r="Y35" i="3"/>
  <c r="Y47" i="3" s="1"/>
  <c r="X35" i="3"/>
  <c r="X47" i="3" s="1"/>
  <c r="W35" i="3"/>
  <c r="W47" i="3" s="1"/>
  <c r="Z4" i="3"/>
  <c r="Z101" i="3" s="1"/>
  <c r="Y4" i="3"/>
  <c r="Y101" i="3" s="1"/>
  <c r="X4" i="3"/>
  <c r="X101" i="3" s="1"/>
  <c r="W4" i="3"/>
  <c r="H29" i="2"/>
  <c r="U4" i="3"/>
  <c r="U101" i="3" s="1"/>
  <c r="T4" i="3"/>
  <c r="T101" i="3" s="1"/>
  <c r="T35" i="3"/>
  <c r="T47" i="3" s="1"/>
  <c r="U62" i="3"/>
  <c r="T62" i="3"/>
  <c r="AA297" i="3"/>
  <c r="V297" i="3"/>
  <c r="D1070" i="13" l="1"/>
  <c r="D1075" i="13"/>
  <c r="D1067" i="13"/>
  <c r="D1069" i="13" s="1"/>
  <c r="C1071" i="13"/>
  <c r="C1072" i="13" s="1"/>
  <c r="C1073" i="13" s="1"/>
  <c r="S13" i="20"/>
  <c r="W57" i="3"/>
  <c r="W58" i="3" s="1"/>
  <c r="Y57" i="3"/>
  <c r="Y58" i="3" s="1"/>
  <c r="W101" i="3"/>
  <c r="X57" i="3"/>
  <c r="X58" i="3" s="1"/>
  <c r="T57" i="3"/>
  <c r="T58" i="3" s="1"/>
  <c r="D1071" i="13" l="1"/>
  <c r="D1072" i="13" s="1"/>
  <c r="D1073" i="13" s="1"/>
  <c r="C1081" i="13"/>
  <c r="C1085" i="13" s="1"/>
  <c r="C1082" i="13" l="1"/>
  <c r="C1083" i="13" s="1"/>
  <c r="D1083" i="13" s="1"/>
  <c r="D1082" i="13" s="1"/>
  <c r="D1081" i="13" s="1"/>
  <c r="D1085" i="13" s="1"/>
  <c r="D1052" i="13"/>
  <c r="T182" i="3"/>
  <c r="T166" i="3"/>
  <c r="AO36" i="3"/>
  <c r="AN2" i="3"/>
  <c r="AN38" i="3"/>
  <c r="AN36" i="3"/>
  <c r="AN25" i="3"/>
  <c r="AN14" i="3"/>
  <c r="AN7" i="3"/>
  <c r="T199" i="3"/>
  <c r="U73" i="3"/>
  <c r="S109" i="3"/>
  <c r="C1048" i="13"/>
  <c r="C1047" i="13"/>
  <c r="D1048" i="13"/>
  <c r="D1047" i="13"/>
  <c r="C1039" i="13"/>
  <c r="C1046" i="13" s="1"/>
  <c r="D1039" i="13"/>
  <c r="D1046" i="13" s="1"/>
  <c r="T26" i="3" l="1"/>
  <c r="I23" i="19"/>
  <c r="L23" i="19" s="1"/>
  <c r="D1058" i="13"/>
  <c r="E1127" i="13" s="1"/>
  <c r="E1128" i="13" s="1"/>
  <c r="D1080" i="13"/>
  <c r="S362" i="3"/>
  <c r="R362" i="3"/>
  <c r="P362" i="3"/>
  <c r="O362" i="3"/>
  <c r="N362" i="3"/>
  <c r="F1052" i="13" l="1"/>
  <c r="S198" i="3"/>
  <c r="S197" i="3"/>
  <c r="B1041" i="13"/>
  <c r="B1053" i="13" s="1"/>
  <c r="B1059" i="13" s="1"/>
  <c r="B1040" i="13"/>
  <c r="B1052" i="13" s="1"/>
  <c r="B1058" i="13" s="1"/>
  <c r="B1039" i="13"/>
  <c r="B1051" i="13" s="1"/>
  <c r="B1057" i="13" s="1"/>
  <c r="G40" i="3"/>
  <c r="M43" i="3"/>
  <c r="M45" i="3" s="1"/>
  <c r="N45" i="3"/>
  <c r="N46" i="3" s="1"/>
  <c r="R43" i="3"/>
  <c r="R45" i="3" s="1"/>
  <c r="R46" i="3" s="1"/>
  <c r="S45" i="3"/>
  <c r="N62" i="19"/>
  <c r="N63" i="19"/>
  <c r="N66" i="19"/>
  <c r="L85" i="19"/>
  <c r="AL9" i="19" s="1"/>
  <c r="S19" i="3"/>
  <c r="S105" i="3"/>
  <c r="S188" i="3"/>
  <c r="S172" i="3"/>
  <c r="S157" i="3"/>
  <c r="S168" i="3"/>
  <c r="S167" i="3"/>
  <c r="S302" i="3"/>
  <c r="S301" i="3" s="1"/>
  <c r="S180" i="3"/>
  <c r="S183" i="3"/>
  <c r="S226" i="3"/>
  <c r="S225" i="3"/>
  <c r="S212" i="3"/>
  <c r="S204" i="3"/>
  <c r="S202" i="3" s="1"/>
  <c r="S203" i="3"/>
  <c r="S194" i="3"/>
  <c r="S228" i="3" s="1"/>
  <c r="T236" i="3" s="1"/>
  <c r="S55" i="3"/>
  <c r="S54" i="3"/>
  <c r="S30" i="3"/>
  <c r="S32" i="3" s="1"/>
  <c r="M66" i="19" s="1"/>
  <c r="S29" i="3"/>
  <c r="S31" i="3" s="1"/>
  <c r="S27" i="3"/>
  <c r="S16" i="3"/>
  <c r="S11" i="3"/>
  <c r="S40" i="3" s="1"/>
  <c r="S83" i="3"/>
  <c r="C1166" i="13" s="1"/>
  <c r="S74" i="3"/>
  <c r="S63" i="3"/>
  <c r="S48" i="3"/>
  <c r="S6" i="3"/>
  <c r="S217" i="3" l="1"/>
  <c r="H950" i="13"/>
  <c r="C1137" i="13"/>
  <c r="E1058" i="13"/>
  <c r="C1133" i="13"/>
  <c r="S46" i="3"/>
  <c r="C1156" i="13"/>
  <c r="H949" i="13"/>
  <c r="D1043" i="13"/>
  <c r="D1060" i="13" s="1"/>
  <c r="D1054" i="13" s="1"/>
  <c r="M122" i="19"/>
  <c r="T226" i="3"/>
  <c r="T235" i="3" s="1"/>
  <c r="T225" i="3"/>
  <c r="S39" i="3"/>
  <c r="S81" i="3"/>
  <c r="S33" i="3"/>
  <c r="S78" i="3"/>
  <c r="S69" i="3"/>
  <c r="S171" i="3"/>
  <c r="S59" i="3"/>
  <c r="S206" i="3"/>
  <c r="S240" i="3" s="1"/>
  <c r="S87" i="3"/>
  <c r="M123" i="19"/>
  <c r="S75" i="3"/>
  <c r="S238" i="3"/>
  <c r="S237" i="3"/>
  <c r="S72" i="3"/>
  <c r="S176" i="3"/>
  <c r="M121" i="19"/>
  <c r="S53" i="3"/>
  <c r="S103" i="3"/>
  <c r="S216" i="3"/>
  <c r="D1131" i="13" l="1"/>
  <c r="D1133" i="13"/>
  <c r="D1130" i="13"/>
  <c r="C1132" i="13"/>
  <c r="D1156" i="13"/>
  <c r="C1157" i="13"/>
  <c r="D1157" i="13" s="1"/>
  <c r="C1136" i="13"/>
  <c r="C1144" i="13"/>
  <c r="D1137" i="13"/>
  <c r="M117" i="19"/>
  <c r="M115" i="19"/>
  <c r="T237" i="3"/>
  <c r="M116" i="19"/>
  <c r="T238" i="3"/>
  <c r="S60" i="3"/>
  <c r="M62" i="19" s="1"/>
  <c r="D1057" i="13"/>
  <c r="D1059" i="13" s="1"/>
  <c r="S89" i="3"/>
  <c r="S219" i="3"/>
  <c r="S185" i="3"/>
  <c r="L50" i="19"/>
  <c r="Z38" i="20"/>
  <c r="Y38" i="20"/>
  <c r="Z34" i="20"/>
  <c r="Y34" i="20"/>
  <c r="Z31" i="20"/>
  <c r="Y31" i="20"/>
  <c r="Z28" i="20"/>
  <c r="Y28" i="20"/>
  <c r="Z26" i="20"/>
  <c r="Y26" i="20"/>
  <c r="Z24" i="20"/>
  <c r="Y24" i="20"/>
  <c r="Z14" i="20"/>
  <c r="Y14" i="20"/>
  <c r="Z13" i="20"/>
  <c r="Y13" i="20"/>
  <c r="Z12" i="20"/>
  <c r="Y12" i="20"/>
  <c r="Z6" i="20"/>
  <c r="Y6" i="20"/>
  <c r="Z5" i="20"/>
  <c r="Y5" i="20"/>
  <c r="M40" i="20"/>
  <c r="L40" i="20"/>
  <c r="M39" i="20"/>
  <c r="M33" i="20"/>
  <c r="L33" i="20"/>
  <c r="K33" i="20"/>
  <c r="M35" i="20"/>
  <c r="M20" i="20"/>
  <c r="J1131" i="13" l="1"/>
  <c r="C1151" i="13"/>
  <c r="C1162" i="13" s="1"/>
  <c r="D1132" i="13"/>
  <c r="C1163" i="13"/>
  <c r="C1143" i="13"/>
  <c r="D1136" i="13"/>
  <c r="D1144" i="13"/>
  <c r="C1150" i="13"/>
  <c r="C1161" i="13" s="1"/>
  <c r="D1161" i="13" s="1"/>
  <c r="S97" i="3"/>
  <c r="F1058" i="13" s="1"/>
  <c r="S92" i="3"/>
  <c r="S98" i="3"/>
  <c r="H18" i="19" s="1"/>
  <c r="M15" i="20"/>
  <c r="L15" i="20"/>
  <c r="M10" i="20"/>
  <c r="M8" i="20"/>
  <c r="M27" i="20" s="1"/>
  <c r="L8" i="20"/>
  <c r="H13" i="20"/>
  <c r="R13" i="20" s="1"/>
  <c r="L39" i="20"/>
  <c r="K39" i="20"/>
  <c r="L35" i="20"/>
  <c r="M36" i="20"/>
  <c r="L20" i="20"/>
  <c r="K20" i="20"/>
  <c r="K15" i="20"/>
  <c r="L10" i="20"/>
  <c r="K10" i="20"/>
  <c r="K8" i="20"/>
  <c r="L383" i="19"/>
  <c r="L388" i="19" s="1"/>
  <c r="K383" i="19"/>
  <c r="K388" i="19" s="1"/>
  <c r="J383" i="19"/>
  <c r="J388" i="19" s="1"/>
  <c r="I383" i="19"/>
  <c r="I388" i="19" s="1"/>
  <c r="H383" i="19"/>
  <c r="H388" i="19" s="1"/>
  <c r="G383" i="19"/>
  <c r="G388" i="19" s="1"/>
  <c r="L381" i="19"/>
  <c r="B381" i="19"/>
  <c r="B386" i="19" s="1"/>
  <c r="L380" i="19"/>
  <c r="L385" i="19" s="1"/>
  <c r="L390" i="19" s="1"/>
  <c r="B380" i="19"/>
  <c r="B385" i="19" s="1"/>
  <c r="B390" i="19" s="1"/>
  <c r="L377" i="19"/>
  <c r="K377" i="19"/>
  <c r="J377" i="19"/>
  <c r="I377" i="19"/>
  <c r="H377" i="19"/>
  <c r="G377" i="19"/>
  <c r="F377" i="19"/>
  <c r="E377" i="19"/>
  <c r="D377" i="19"/>
  <c r="C377" i="19"/>
  <c r="L369" i="19"/>
  <c r="L366" i="19"/>
  <c r="B366" i="19"/>
  <c r="L365" i="19"/>
  <c r="B365" i="19"/>
  <c r="L364" i="19"/>
  <c r="L374" i="19" s="1"/>
  <c r="L379" i="19" s="1"/>
  <c r="L384" i="19" s="1"/>
  <c r="K364" i="19"/>
  <c r="K374" i="19" s="1"/>
  <c r="K379" i="19" s="1"/>
  <c r="K384" i="19" s="1"/>
  <c r="J364" i="19"/>
  <c r="J374" i="19" s="1"/>
  <c r="J379" i="19" s="1"/>
  <c r="J384" i="19" s="1"/>
  <c r="I364" i="19"/>
  <c r="I374" i="19" s="1"/>
  <c r="I379" i="19" s="1"/>
  <c r="I384" i="19" s="1"/>
  <c r="H364" i="19"/>
  <c r="H374" i="19" s="1"/>
  <c r="H379" i="19" s="1"/>
  <c r="H384" i="19" s="1"/>
  <c r="G364" i="19"/>
  <c r="G374" i="19" s="1"/>
  <c r="G379" i="19" s="1"/>
  <c r="G384" i="19" s="1"/>
  <c r="F364" i="19"/>
  <c r="F374" i="19" s="1"/>
  <c r="F379" i="19" s="1"/>
  <c r="F384" i="19" s="1"/>
  <c r="E364" i="19"/>
  <c r="E374" i="19" s="1"/>
  <c r="E379" i="19" s="1"/>
  <c r="E384" i="19" s="1"/>
  <c r="D364" i="19"/>
  <c r="D374" i="19" s="1"/>
  <c r="D379" i="19" s="1"/>
  <c r="D384" i="19" s="1"/>
  <c r="C364" i="19"/>
  <c r="C374" i="19" s="1"/>
  <c r="C379" i="19" s="1"/>
  <c r="C384" i="19" s="1"/>
  <c r="I36" i="19"/>
  <c r="I35" i="19"/>
  <c r="C88" i="19"/>
  <c r="C85" i="19"/>
  <c r="C81" i="19"/>
  <c r="C80" i="19"/>
  <c r="C72" i="19"/>
  <c r="C73" i="19" s="1"/>
  <c r="L88" i="19"/>
  <c r="L82" i="19"/>
  <c r="L81" i="19"/>
  <c r="L80" i="19"/>
  <c r="L77" i="19"/>
  <c r="L74" i="19"/>
  <c r="L72" i="19"/>
  <c r="W50" i="3"/>
  <c r="X50" i="3" s="1"/>
  <c r="Y50" i="3" s="1"/>
  <c r="Z50" i="3" s="1"/>
  <c r="H25" i="19"/>
  <c r="H24" i="19"/>
  <c r="H23" i="19"/>
  <c r="H20" i="19"/>
  <c r="H17" i="19"/>
  <c r="H14" i="19"/>
  <c r="H13" i="19"/>
  <c r="H12" i="19"/>
  <c r="H10" i="19"/>
  <c r="H9" i="19"/>
  <c r="H7" i="19"/>
  <c r="H6" i="19"/>
  <c r="H4" i="19"/>
  <c r="AM2" i="3"/>
  <c r="AM38" i="3"/>
  <c r="AM36" i="3"/>
  <c r="AM25" i="3"/>
  <c r="AM14" i="3"/>
  <c r="AM7" i="3"/>
  <c r="D1143" i="13" l="1"/>
  <c r="C1149" i="13"/>
  <c r="D1163" i="13"/>
  <c r="C1167" i="13"/>
  <c r="D1162" i="13"/>
  <c r="S99" i="3"/>
  <c r="S108" i="3"/>
  <c r="D1053" i="13"/>
  <c r="F1053" i="13" s="1"/>
  <c r="L367" i="19"/>
  <c r="L370" i="19"/>
  <c r="L371" i="19" s="1"/>
  <c r="L372" i="19" s="1"/>
  <c r="H19" i="19"/>
  <c r="L27" i="20"/>
  <c r="M17" i="20"/>
  <c r="K17" i="20"/>
  <c r="K18" i="20" s="1"/>
  <c r="L36" i="20"/>
  <c r="K27" i="20"/>
  <c r="L17" i="20"/>
  <c r="L18" i="20" s="1"/>
  <c r="L382" i="19"/>
  <c r="L386" i="19"/>
  <c r="L387" i="19" s="1"/>
  <c r="H15" i="19"/>
  <c r="J12" i="19"/>
  <c r="H21" i="19"/>
  <c r="H63" i="3"/>
  <c r="C380" i="19" s="1"/>
  <c r="C385" i="19" s="1"/>
  <c r="C390" i="19" s="1"/>
  <c r="H6" i="3"/>
  <c r="O157" i="3"/>
  <c r="P157" i="3"/>
  <c r="R157" i="3"/>
  <c r="K168" i="3"/>
  <c r="J168" i="3"/>
  <c r="G168" i="3"/>
  <c r="F168" i="3"/>
  <c r="P168" i="3"/>
  <c r="O168" i="3"/>
  <c r="N168" i="3"/>
  <c r="M168" i="3"/>
  <c r="R168" i="3"/>
  <c r="B164" i="3"/>
  <c r="B163" i="3"/>
  <c r="B162" i="3"/>
  <c r="P111" i="3"/>
  <c r="I38" i="2"/>
  <c r="J38" i="2" s="1"/>
  <c r="K38" i="2" s="1"/>
  <c r="L38" i="2" s="1"/>
  <c r="M38" i="2" s="1"/>
  <c r="N38" i="2" s="1"/>
  <c r="O38" i="2" s="1"/>
  <c r="G54" i="2"/>
  <c r="R109" i="3"/>
  <c r="C1160" i="13" l="1"/>
  <c r="D1160" i="13" s="1"/>
  <c r="C1152" i="13"/>
  <c r="M22" i="20"/>
  <c r="M18" i="20"/>
  <c r="K22" i="20"/>
  <c r="L22" i="20"/>
  <c r="P109" i="3"/>
  <c r="Y234" i="3"/>
  <c r="X234" i="3"/>
  <c r="W234" i="3"/>
  <c r="N185" i="3"/>
  <c r="K185" i="3"/>
  <c r="I185" i="3"/>
  <c r="H185" i="3"/>
  <c r="H35" i="19"/>
  <c r="K85" i="19"/>
  <c r="AK9" i="19" s="1"/>
  <c r="R308" i="3"/>
  <c r="R306" i="3"/>
  <c r="R309" i="3" s="1"/>
  <c r="R302" i="3"/>
  <c r="R301" i="3" s="1"/>
  <c r="R212" i="3"/>
  <c r="R226" i="3"/>
  <c r="S232" i="3" s="1"/>
  <c r="R225" i="3"/>
  <c r="R204" i="3"/>
  <c r="R203" i="3"/>
  <c r="R198" i="3"/>
  <c r="R197" i="3"/>
  <c r="R188" i="3"/>
  <c r="R180" i="3"/>
  <c r="K369" i="19" s="1"/>
  <c r="R194" i="3"/>
  <c r="R172" i="3"/>
  <c r="R167" i="3"/>
  <c r="R105" i="3"/>
  <c r="R83" i="3"/>
  <c r="K381" i="19" s="1"/>
  <c r="R48" i="3"/>
  <c r="R16" i="3"/>
  <c r="R19" i="3"/>
  <c r="K50" i="19" s="1"/>
  <c r="K88" i="19"/>
  <c r="K81" i="19"/>
  <c r="K80" i="19"/>
  <c r="K77" i="19"/>
  <c r="K74" i="19"/>
  <c r="L75" i="19" s="1"/>
  <c r="K72" i="19"/>
  <c r="L73" i="19" s="1"/>
  <c r="R74" i="3"/>
  <c r="R63" i="3"/>
  <c r="K380" i="19" s="1"/>
  <c r="K385" i="19" s="1"/>
  <c r="K390" i="19" s="1"/>
  <c r="R55" i="3"/>
  <c r="R54" i="3"/>
  <c r="R27" i="3"/>
  <c r="R11" i="3"/>
  <c r="R40" i="3" s="1"/>
  <c r="R6" i="3"/>
  <c r="G23" i="19"/>
  <c r="G20" i="19"/>
  <c r="G13" i="19"/>
  <c r="G12" i="19"/>
  <c r="G9" i="19"/>
  <c r="G7" i="19"/>
  <c r="G6" i="19"/>
  <c r="J20" i="15"/>
  <c r="J19" i="15"/>
  <c r="J13" i="15"/>
  <c r="D3" i="15"/>
  <c r="E3" i="15" s="1"/>
  <c r="F3" i="15" s="1"/>
  <c r="G950" i="13" l="1"/>
  <c r="R202" i="3"/>
  <c r="G949" i="13"/>
  <c r="C1043" i="13"/>
  <c r="L121" i="19"/>
  <c r="S231" i="3"/>
  <c r="R176" i="3"/>
  <c r="S65" i="3" s="1"/>
  <c r="S200" i="3"/>
  <c r="K386" i="19"/>
  <c r="K387" i="19" s="1"/>
  <c r="K382" i="19"/>
  <c r="R216" i="3"/>
  <c r="S21" i="3"/>
  <c r="R217" i="3"/>
  <c r="S22" i="3"/>
  <c r="S177" i="3"/>
  <c r="L122" i="19"/>
  <c r="S235" i="3"/>
  <c r="S223" i="3"/>
  <c r="G10" i="19"/>
  <c r="R53" i="3"/>
  <c r="R87" i="3"/>
  <c r="J23" i="19"/>
  <c r="H36" i="19"/>
  <c r="I29" i="2"/>
  <c r="K82" i="19"/>
  <c r="R292" i="3"/>
  <c r="R293" i="3" s="1"/>
  <c r="R171" i="3"/>
  <c r="R39" i="3"/>
  <c r="R103" i="3"/>
  <c r="R81" i="3"/>
  <c r="R78" i="3"/>
  <c r="R228" i="3"/>
  <c r="S234" i="3" s="1"/>
  <c r="H26" i="19" s="1"/>
  <c r="R291" i="3"/>
  <c r="R311" i="3"/>
  <c r="R206" i="3"/>
  <c r="S18" i="3" s="1"/>
  <c r="L46" i="19" s="1"/>
  <c r="R237" i="3"/>
  <c r="K365" i="19" s="1"/>
  <c r="R238" i="3"/>
  <c r="K366" i="19" s="1"/>
  <c r="K370" i="19" s="1"/>
  <c r="G4" i="19"/>
  <c r="R59" i="3"/>
  <c r="R33" i="3"/>
  <c r="R69" i="3"/>
  <c r="R72" i="3"/>
  <c r="R75" i="3"/>
  <c r="D1019" i="13"/>
  <c r="D1022" i="13" s="1"/>
  <c r="C1019" i="13"/>
  <c r="C1001" i="13"/>
  <c r="C1002" i="13" s="1"/>
  <c r="C1003" i="13" s="1"/>
  <c r="C983" i="13"/>
  <c r="C984" i="13" s="1"/>
  <c r="C985" i="13" s="1"/>
  <c r="F958" i="13"/>
  <c r="E958" i="13"/>
  <c r="D958" i="13"/>
  <c r="C958" i="13"/>
  <c r="P105" i="3"/>
  <c r="F959" i="13" s="1"/>
  <c r="O105" i="3"/>
  <c r="E959" i="13" s="1"/>
  <c r="N105" i="3"/>
  <c r="D959" i="13" s="1"/>
  <c r="M105" i="3"/>
  <c r="C959" i="13" s="1"/>
  <c r="K105" i="3"/>
  <c r="G24" i="19" l="1"/>
  <c r="S61" i="3"/>
  <c r="R185" i="3"/>
  <c r="R56" i="3"/>
  <c r="S56" i="3"/>
  <c r="K367" i="19"/>
  <c r="K371" i="19"/>
  <c r="K372" i="19" s="1"/>
  <c r="R41" i="3"/>
  <c r="S41" i="3"/>
  <c r="M63" i="19" s="1"/>
  <c r="L116" i="19"/>
  <c r="L115" i="19"/>
  <c r="C1020" i="13"/>
  <c r="C1021" i="13" s="1"/>
  <c r="G25" i="19"/>
  <c r="L123" i="19"/>
  <c r="R89" i="3"/>
  <c r="R240" i="3"/>
  <c r="L117" i="19" s="1"/>
  <c r="R219" i="3"/>
  <c r="G21" i="19"/>
  <c r="G14" i="19"/>
  <c r="R60" i="3"/>
  <c r="L62" i="19" s="1"/>
  <c r="N948" i="13"/>
  <c r="N955" i="13" s="1"/>
  <c r="M948" i="13"/>
  <c r="M955" i="13" s="1"/>
  <c r="L948" i="13"/>
  <c r="L955" i="13" s="1"/>
  <c r="K948" i="13"/>
  <c r="K955" i="13" s="1"/>
  <c r="B951" i="13"/>
  <c r="B950" i="13"/>
  <c r="B949" i="13"/>
  <c r="J948" i="13"/>
  <c r="J955" i="13" s="1"/>
  <c r="I948" i="13"/>
  <c r="I955" i="13" s="1"/>
  <c r="F948" i="13"/>
  <c r="F955" i="13" s="1"/>
  <c r="E948" i="13"/>
  <c r="E955" i="13" s="1"/>
  <c r="D948" i="13"/>
  <c r="D955" i="13" s="1"/>
  <c r="C948" i="13"/>
  <c r="C955" i="13" s="1"/>
  <c r="K25" i="19"/>
  <c r="K26" i="19" s="1"/>
  <c r="K10" i="19"/>
  <c r="E28" i="20"/>
  <c r="Y74" i="3"/>
  <c r="X74" i="3"/>
  <c r="W74" i="3"/>
  <c r="K73" i="3"/>
  <c r="K74" i="3" s="1"/>
  <c r="I59" i="2"/>
  <c r="J59" i="2" s="1"/>
  <c r="K59" i="2" s="1"/>
  <c r="L59" i="2" s="1"/>
  <c r="M59" i="2" s="1"/>
  <c r="N59" i="2" s="1"/>
  <c r="O59" i="2" s="1"/>
  <c r="AK2" i="3"/>
  <c r="H35" i="8"/>
  <c r="T205" i="3"/>
  <c r="AA50" i="3"/>
  <c r="B216" i="3"/>
  <c r="B217" i="3"/>
  <c r="B218" i="3"/>
  <c r="T211" i="3" l="1"/>
  <c r="T10" i="3"/>
  <c r="R97" i="3"/>
  <c r="G956" i="13" s="1"/>
  <c r="R92" i="3"/>
  <c r="G15" i="19"/>
  <c r="I951" i="13"/>
  <c r="Z73" i="3"/>
  <c r="T74" i="3"/>
  <c r="U4" i="20"/>
  <c r="D336" i="16"/>
  <c r="C337" i="16"/>
  <c r="E330" i="16"/>
  <c r="D329" i="16"/>
  <c r="D327" i="16"/>
  <c r="D337" i="16" s="1"/>
  <c r="D330" i="16"/>
  <c r="O188" i="3"/>
  <c r="N188" i="3"/>
  <c r="M188" i="3"/>
  <c r="J187" i="3"/>
  <c r="J188" i="3" s="1"/>
  <c r="L187" i="3"/>
  <c r="K187" i="3" s="1"/>
  <c r="K188" i="3" s="1"/>
  <c r="Q187" i="3"/>
  <c r="S12" i="3" s="1"/>
  <c r="K167" i="3"/>
  <c r="P167" i="3"/>
  <c r="O167" i="3"/>
  <c r="N167" i="3"/>
  <c r="M167" i="3"/>
  <c r="U34" i="20"/>
  <c r="W32" i="20"/>
  <c r="Z32" i="20" s="1"/>
  <c r="V32" i="20"/>
  <c r="Y32" i="20" s="1"/>
  <c r="F4" i="8"/>
  <c r="E4" i="8"/>
  <c r="I35" i="8"/>
  <c r="I37" i="8"/>
  <c r="H221" i="10"/>
  <c r="Y359" i="3"/>
  <c r="X359" i="3"/>
  <c r="W359" i="3"/>
  <c r="R108" i="3" l="1"/>
  <c r="P187" i="3"/>
  <c r="R99" i="3"/>
  <c r="U99" i="3" s="1"/>
  <c r="G17" i="19"/>
  <c r="R98" i="3"/>
  <c r="G18" i="19" s="1"/>
  <c r="J29" i="2"/>
  <c r="K29" i="2" s="1"/>
  <c r="L29" i="2" s="1"/>
  <c r="M29" i="2" s="1"/>
  <c r="N29" i="2" s="1"/>
  <c r="O29" i="2" s="1"/>
  <c r="D338" i="16"/>
  <c r="D339" i="16" s="1"/>
  <c r="T227" i="3"/>
  <c r="T233" i="3" s="1"/>
  <c r="T239" i="3" s="1"/>
  <c r="C12" i="8"/>
  <c r="I118" i="10"/>
  <c r="J118" i="10" s="1"/>
  <c r="K118" i="10" s="1"/>
  <c r="L118" i="10" s="1"/>
  <c r="M118" i="10" s="1"/>
  <c r="N118" i="10" s="1"/>
  <c r="O118" i="10" s="1"/>
  <c r="X358" i="3"/>
  <c r="Y358" i="3" s="1"/>
  <c r="W366" i="3"/>
  <c r="W357" i="3"/>
  <c r="W356" i="3" s="1"/>
  <c r="Y308" i="3"/>
  <c r="X308" i="3"/>
  <c r="W308" i="3"/>
  <c r="Z306" i="3"/>
  <c r="Y306" i="3"/>
  <c r="Y309" i="3" s="1"/>
  <c r="X306" i="3"/>
  <c r="X309" i="3" s="1"/>
  <c r="W306" i="3"/>
  <c r="W309" i="3" s="1"/>
  <c r="Y83" i="3"/>
  <c r="X83" i="3"/>
  <c r="W83" i="3"/>
  <c r="Y14" i="3"/>
  <c r="Y301" i="3" s="1"/>
  <c r="Y302" i="3" s="1"/>
  <c r="X14" i="3"/>
  <c r="W14" i="3"/>
  <c r="W301" i="3" s="1"/>
  <c r="W302" i="3" s="1"/>
  <c r="AA306" i="3"/>
  <c r="AA93" i="3"/>
  <c r="Z93" i="3" s="1"/>
  <c r="AA85" i="3"/>
  <c r="AA80" i="3"/>
  <c r="Z80" i="3" s="1"/>
  <c r="J35" i="8"/>
  <c r="K35" i="8" s="1"/>
  <c r="L35" i="8" s="1"/>
  <c r="M35" i="8" s="1"/>
  <c r="N35" i="8" s="1"/>
  <c r="H915" i="13"/>
  <c r="G915" i="13"/>
  <c r="N16" i="3"/>
  <c r="O16" i="3"/>
  <c r="I16" i="3"/>
  <c r="J16" i="3"/>
  <c r="H15" i="3"/>
  <c r="H16" i="3" s="1"/>
  <c r="M15" i="3"/>
  <c r="M16" i="3" s="1"/>
  <c r="V27" i="3"/>
  <c r="U27" i="3" s="1"/>
  <c r="F67" i="8"/>
  <c r="F69" i="8" s="1"/>
  <c r="G39" i="8"/>
  <c r="H39" i="8" s="1"/>
  <c r="I39" i="8" s="1"/>
  <c r="J39" i="8" s="1"/>
  <c r="K39" i="8" s="1"/>
  <c r="L39" i="8" s="1"/>
  <c r="M39" i="8" s="1"/>
  <c r="N39" i="8" s="1"/>
  <c r="G36" i="8"/>
  <c r="H36" i="8" s="1"/>
  <c r="I36" i="8" s="1"/>
  <c r="J36" i="8" s="1"/>
  <c r="K36" i="8" s="1"/>
  <c r="L36" i="8" s="1"/>
  <c r="M36" i="8" s="1"/>
  <c r="N36" i="8" s="1"/>
  <c r="O6" i="3"/>
  <c r="N6" i="3"/>
  <c r="AN6" i="3" s="1"/>
  <c r="M6" i="3"/>
  <c r="AM6" i="3" s="1"/>
  <c r="K6" i="3"/>
  <c r="K75" i="3" s="1"/>
  <c r="J6" i="3"/>
  <c r="I6" i="3"/>
  <c r="P318" i="3"/>
  <c r="P317" i="3"/>
  <c r="P316" i="3"/>
  <c r="P315" i="3"/>
  <c r="P314" i="3"/>
  <c r="P308" i="3"/>
  <c r="P306" i="3"/>
  <c r="P309" i="3" s="1"/>
  <c r="A54" i="10"/>
  <c r="A52" i="10"/>
  <c r="G14" i="21"/>
  <c r="G11" i="21"/>
  <c r="G28" i="21" s="1"/>
  <c r="G3" i="21"/>
  <c r="G20" i="21" s="1"/>
  <c r="G7" i="21"/>
  <c r="G24" i="21" s="1"/>
  <c r="F20" i="8"/>
  <c r="E17" i="8"/>
  <c r="F17" i="8"/>
  <c r="F73" i="8"/>
  <c r="G10" i="2" s="1"/>
  <c r="E12" i="2"/>
  <c r="F12" i="2"/>
  <c r="G12" i="2"/>
  <c r="G158" i="2"/>
  <c r="E154" i="2"/>
  <c r="F154" i="2"/>
  <c r="G154" i="2"/>
  <c r="J14" i="15" s="1"/>
  <c r="I205" i="10"/>
  <c r="J205" i="10" s="1"/>
  <c r="K205" i="10" s="1"/>
  <c r="L205" i="10" s="1"/>
  <c r="M205" i="10" s="1"/>
  <c r="N205" i="10" s="1"/>
  <c r="O205" i="10" s="1"/>
  <c r="G260" i="10"/>
  <c r="H192" i="10"/>
  <c r="I192" i="10" s="1"/>
  <c r="J192" i="10" s="1"/>
  <c r="K192" i="10" s="1"/>
  <c r="L192" i="10" s="1"/>
  <c r="M192" i="10" s="1"/>
  <c r="N192" i="10" s="1"/>
  <c r="O192" i="10" s="1"/>
  <c r="H191" i="10"/>
  <c r="I191" i="10" s="1"/>
  <c r="G188" i="10"/>
  <c r="F188" i="10"/>
  <c r="E188" i="10"/>
  <c r="D188" i="10"/>
  <c r="C188" i="10"/>
  <c r="G187" i="10"/>
  <c r="F187" i="10"/>
  <c r="E187" i="10"/>
  <c r="D187" i="10"/>
  <c r="C187" i="10"/>
  <c r="G190" i="10"/>
  <c r="G186" i="10" s="1"/>
  <c r="F190" i="10"/>
  <c r="F186" i="10" s="1"/>
  <c r="E190" i="10"/>
  <c r="E186" i="10" s="1"/>
  <c r="D190" i="10"/>
  <c r="D186" i="10" s="1"/>
  <c r="C190" i="10"/>
  <c r="C186" i="10" s="1"/>
  <c r="F28" i="8"/>
  <c r="P302" i="3" s="1"/>
  <c r="P303" i="3" s="1"/>
  <c r="E28" i="8"/>
  <c r="D28" i="8"/>
  <c r="D170" i="10"/>
  <c r="C170" i="10"/>
  <c r="F167" i="10"/>
  <c r="F136" i="10"/>
  <c r="E141" i="10"/>
  <c r="E140" i="10" s="1"/>
  <c r="G31" i="10"/>
  <c r="G83" i="10" s="1"/>
  <c r="G136" i="10" s="1"/>
  <c r="G28" i="10"/>
  <c r="G78" i="10" s="1"/>
  <c r="F17" i="10"/>
  <c r="E17" i="10"/>
  <c r="D17" i="10"/>
  <c r="C17" i="10"/>
  <c r="G17" i="10"/>
  <c r="G8" i="10"/>
  <c r="F8" i="10"/>
  <c r="E8" i="10"/>
  <c r="G18" i="10"/>
  <c r="H18" i="10" s="1"/>
  <c r="G14" i="10"/>
  <c r="E155" i="2"/>
  <c r="D12" i="8" s="1"/>
  <c r="F155" i="2"/>
  <c r="D20" i="8"/>
  <c r="J22" i="3"/>
  <c r="I22" i="3"/>
  <c r="H22" i="3"/>
  <c r="J21" i="3"/>
  <c r="I21" i="3"/>
  <c r="H21" i="3"/>
  <c r="I19" i="3"/>
  <c r="M11" i="3"/>
  <c r="M40" i="3" s="1"/>
  <c r="H11" i="3"/>
  <c r="H40" i="3" s="1"/>
  <c r="N11" i="3"/>
  <c r="N40" i="3" s="1"/>
  <c r="I11" i="3"/>
  <c r="I40" i="3" s="1"/>
  <c r="J11" i="3"/>
  <c r="J40" i="3" s="1"/>
  <c r="O11" i="3"/>
  <c r="K9" i="3"/>
  <c r="P9" i="3"/>
  <c r="K8" i="3"/>
  <c r="P8" i="3"/>
  <c r="O12" i="3" l="1"/>
  <c r="O40" i="3"/>
  <c r="P188" i="3"/>
  <c r="R12" i="3"/>
  <c r="T359" i="3"/>
  <c r="T234" i="3"/>
  <c r="G19" i="19"/>
  <c r="E12" i="8"/>
  <c r="X357" i="3"/>
  <c r="Y357" i="3" s="1"/>
  <c r="Z357" i="3" s="1"/>
  <c r="X366" i="3"/>
  <c r="G29" i="21"/>
  <c r="G25" i="21"/>
  <c r="G15" i="21"/>
  <c r="Z358" i="3"/>
  <c r="Z366" i="3" s="1"/>
  <c r="Y366" i="3"/>
  <c r="W311" i="3"/>
  <c r="W303" i="3"/>
  <c r="X301" i="3"/>
  <c r="X302" i="3" s="1"/>
  <c r="X55" i="3"/>
  <c r="Y311" i="3"/>
  <c r="Y303" i="3"/>
  <c r="W55" i="3"/>
  <c r="Y55" i="3"/>
  <c r="K15" i="3"/>
  <c r="K16" i="3" s="1"/>
  <c r="P15" i="3"/>
  <c r="P311" i="3"/>
  <c r="T14" i="3"/>
  <c r="G21" i="21"/>
  <c r="G31" i="21"/>
  <c r="G32" i="21" s="1"/>
  <c r="P301" i="3"/>
  <c r="E144" i="10"/>
  <c r="E143" i="10" s="1"/>
  <c r="G167" i="10"/>
  <c r="H167" i="10" s="1"/>
  <c r="I167" i="10" s="1"/>
  <c r="J167" i="10" s="1"/>
  <c r="K167" i="10" s="1"/>
  <c r="L167" i="10" s="1"/>
  <c r="M167" i="10" s="1"/>
  <c r="N167" i="10" s="1"/>
  <c r="O167" i="10" s="1"/>
  <c r="J191" i="10"/>
  <c r="I190" i="10"/>
  <c r="H190" i="10"/>
  <c r="G21" i="10"/>
  <c r="G160" i="10" s="1"/>
  <c r="I18" i="10"/>
  <c r="G19" i="10"/>
  <c r="G20" i="10"/>
  <c r="K11" i="3"/>
  <c r="K40" i="3" s="1"/>
  <c r="C41" i="8"/>
  <c r="C59" i="8" s="1"/>
  <c r="D41" i="8"/>
  <c r="E41" i="8"/>
  <c r="F41" i="8"/>
  <c r="A41" i="8"/>
  <c r="F33" i="8"/>
  <c r="F18" i="8"/>
  <c r="H110" i="2"/>
  <c r="I110" i="2" s="1"/>
  <c r="J110" i="2" s="1"/>
  <c r="K110" i="2" s="1"/>
  <c r="L110" i="2" s="1"/>
  <c r="M110" i="2" s="1"/>
  <c r="N110" i="2" s="1"/>
  <c r="O110" i="2" s="1"/>
  <c r="G31" i="2"/>
  <c r="F31" i="2"/>
  <c r="G134" i="2"/>
  <c r="F134" i="2"/>
  <c r="D319" i="19"/>
  <c r="D316" i="19" s="1"/>
  <c r="P203" i="3"/>
  <c r="R21" i="3" s="1"/>
  <c r="P180" i="3"/>
  <c r="J369" i="19" s="1"/>
  <c r="P77" i="3"/>
  <c r="P93" i="3"/>
  <c r="P91" i="3"/>
  <c r="P95" i="3" s="1"/>
  <c r="P80" i="3"/>
  <c r="P73" i="3"/>
  <c r="M74" i="3"/>
  <c r="H74" i="3"/>
  <c r="P71" i="3"/>
  <c r="P68" i="3"/>
  <c r="P38" i="3"/>
  <c r="P7" i="3"/>
  <c r="P25" i="3"/>
  <c r="P36" i="3"/>
  <c r="AK36" i="3" s="1"/>
  <c r="P14" i="3"/>
  <c r="AK14" i="3" s="1"/>
  <c r="P172" i="3"/>
  <c r="G35" i="19"/>
  <c r="C340" i="19"/>
  <c r="C339" i="19"/>
  <c r="C345" i="19"/>
  <c r="C344" i="19"/>
  <c r="D328" i="19"/>
  <c r="C338" i="19"/>
  <c r="C348" i="19" s="1"/>
  <c r="C353" i="19" s="1"/>
  <c r="C336" i="19"/>
  <c r="E327" i="19"/>
  <c r="E326" i="19"/>
  <c r="E318" i="19"/>
  <c r="E317" i="19"/>
  <c r="I74" i="3"/>
  <c r="J74" i="3"/>
  <c r="N74" i="3"/>
  <c r="Q91" i="3"/>
  <c r="O74" i="3"/>
  <c r="P194" i="3"/>
  <c r="P198" i="3"/>
  <c r="P197" i="3"/>
  <c r="O198" i="3"/>
  <c r="P204" i="3"/>
  <c r="R22" i="3" s="1"/>
  <c r="P212" i="3"/>
  <c r="P226" i="3"/>
  <c r="P225" i="3"/>
  <c r="J88" i="19"/>
  <c r="J85" i="19"/>
  <c r="AJ9" i="19" s="1"/>
  <c r="J81" i="19"/>
  <c r="J80" i="19"/>
  <c r="J77" i="19"/>
  <c r="J74" i="19"/>
  <c r="K75" i="19" s="1"/>
  <c r="J72" i="19"/>
  <c r="K73" i="19" s="1"/>
  <c r="I30" i="3"/>
  <c r="I32" i="3" s="1"/>
  <c r="E66" i="19" s="1"/>
  <c r="J30" i="3"/>
  <c r="J32" i="3" s="1"/>
  <c r="F66" i="19" s="1"/>
  <c r="N30" i="3"/>
  <c r="N32" i="3" s="1"/>
  <c r="I66" i="19" s="1"/>
  <c r="O30" i="3"/>
  <c r="O32" i="3" s="1"/>
  <c r="J66" i="19" s="1"/>
  <c r="I27" i="3"/>
  <c r="H26" i="3"/>
  <c r="H27" i="3" s="1"/>
  <c r="M26" i="3"/>
  <c r="M27" i="3" s="1"/>
  <c r="N27" i="3"/>
  <c r="J27" i="3"/>
  <c r="O27" i="3"/>
  <c r="C9" i="19"/>
  <c r="M9" i="19" s="1"/>
  <c r="T240" i="3" l="1"/>
  <c r="I26" i="19"/>
  <c r="J26" i="19" s="1"/>
  <c r="AO14" i="3"/>
  <c r="I7" i="19"/>
  <c r="G36" i="19"/>
  <c r="AK38" i="3"/>
  <c r="R231" i="3"/>
  <c r="P228" i="3"/>
  <c r="R234" i="3" s="1"/>
  <c r="G26" i="19" s="1"/>
  <c r="R200" i="3"/>
  <c r="R232" i="3"/>
  <c r="R223" i="3"/>
  <c r="R235" i="3"/>
  <c r="P74" i="3"/>
  <c r="P216" i="3"/>
  <c r="F949" i="13"/>
  <c r="P217" i="3"/>
  <c r="F950" i="13"/>
  <c r="F9" i="19"/>
  <c r="AK25" i="3"/>
  <c r="P54" i="3"/>
  <c r="AK7" i="3"/>
  <c r="Y365" i="3"/>
  <c r="Y356" i="3"/>
  <c r="X365" i="3"/>
  <c r="X356" i="3"/>
  <c r="Z356" i="3"/>
  <c r="Z365" i="3"/>
  <c r="X303" i="3"/>
  <c r="X311" i="3"/>
  <c r="P11" i="3"/>
  <c r="P12" i="3" s="1"/>
  <c r="P6" i="3"/>
  <c r="AK6" i="3" s="1"/>
  <c r="K122" i="19"/>
  <c r="K121" i="19"/>
  <c r="P55" i="3"/>
  <c r="P16" i="3"/>
  <c r="P347" i="3"/>
  <c r="G45" i="10"/>
  <c r="C319" i="19"/>
  <c r="C316" i="19" s="1"/>
  <c r="P291" i="3"/>
  <c r="P382" i="3"/>
  <c r="P238" i="3"/>
  <c r="J366" i="19" s="1"/>
  <c r="J370" i="19" s="1"/>
  <c r="P348" i="3"/>
  <c r="G43" i="10"/>
  <c r="D59" i="8"/>
  <c r="H160" i="10"/>
  <c r="H163" i="10" s="1"/>
  <c r="J190" i="10"/>
  <c r="K191" i="10"/>
  <c r="G25" i="10"/>
  <c r="G257" i="10" s="1"/>
  <c r="G258" i="10" s="1"/>
  <c r="G24" i="10"/>
  <c r="G233" i="10" s="1"/>
  <c r="G234" i="10" s="1"/>
  <c r="G129" i="10"/>
  <c r="H129" i="10" s="1"/>
  <c r="G23" i="10"/>
  <c r="G201" i="10" s="1"/>
  <c r="G202" i="10" s="1"/>
  <c r="G209" i="10" s="1"/>
  <c r="G76" i="10"/>
  <c r="H76" i="10" s="1"/>
  <c r="J18" i="10"/>
  <c r="P83" i="3"/>
  <c r="J381" i="19" s="1"/>
  <c r="P26" i="3"/>
  <c r="P176" i="3"/>
  <c r="P185" i="3" s="1"/>
  <c r="P19" i="3"/>
  <c r="J50" i="19" s="1"/>
  <c r="P63" i="3"/>
  <c r="J380" i="19" s="1"/>
  <c r="J385" i="19" s="1"/>
  <c r="J390" i="19" s="1"/>
  <c r="C328" i="19"/>
  <c r="C325" i="19" s="1"/>
  <c r="P206" i="3"/>
  <c r="P48" i="3"/>
  <c r="P29" i="3"/>
  <c r="P31" i="3" s="1"/>
  <c r="P183" i="3"/>
  <c r="C341" i="19"/>
  <c r="D325" i="19"/>
  <c r="C346" i="19"/>
  <c r="J82" i="19"/>
  <c r="P237" i="3"/>
  <c r="J365" i="19" s="1"/>
  <c r="K26" i="3"/>
  <c r="C23" i="19"/>
  <c r="M23" i="19" s="1"/>
  <c r="C20" i="19"/>
  <c r="M20" i="19" s="1"/>
  <c r="C13" i="19"/>
  <c r="M13" i="19" s="1"/>
  <c r="C12" i="19"/>
  <c r="M12" i="19" s="1"/>
  <c r="C7" i="19"/>
  <c r="M7" i="19" s="1"/>
  <c r="C6" i="19"/>
  <c r="M6" i="19" s="1"/>
  <c r="D24" i="19"/>
  <c r="N24" i="19" s="1"/>
  <c r="D23" i="19"/>
  <c r="N23" i="19" s="1"/>
  <c r="D20" i="19"/>
  <c r="N20" i="19" s="1"/>
  <c r="D13" i="19"/>
  <c r="N13" i="19" s="1"/>
  <c r="D12" i="19"/>
  <c r="N12" i="19" s="1"/>
  <c r="D9" i="19"/>
  <c r="N9" i="19" s="1"/>
  <c r="D7" i="19"/>
  <c r="N7" i="19" s="1"/>
  <c r="D6" i="19"/>
  <c r="N6" i="19" s="1"/>
  <c r="E23" i="19"/>
  <c r="O23" i="19" s="1"/>
  <c r="E20" i="19"/>
  <c r="E13" i="19"/>
  <c r="E12" i="19"/>
  <c r="O12" i="19" s="1"/>
  <c r="E9" i="19"/>
  <c r="E7" i="19"/>
  <c r="E6" i="19"/>
  <c r="F23" i="19"/>
  <c r="F20" i="19"/>
  <c r="F13" i="19"/>
  <c r="F12" i="19"/>
  <c r="F7" i="19"/>
  <c r="F6" i="19"/>
  <c r="K327" i="19"/>
  <c r="C650" i="13"/>
  <c r="M650" i="13" s="1"/>
  <c r="U644" i="13"/>
  <c r="T644" i="13"/>
  <c r="S644" i="13"/>
  <c r="R644" i="13"/>
  <c r="U636" i="13"/>
  <c r="T636" i="13"/>
  <c r="S636" i="13"/>
  <c r="R636" i="13"/>
  <c r="H621" i="13"/>
  <c r="M621" i="13" s="1"/>
  <c r="R621" i="13" s="1"/>
  <c r="W621" i="13" s="1"/>
  <c r="D621" i="13"/>
  <c r="E621" i="13" s="1"/>
  <c r="F621" i="13" s="1"/>
  <c r="K621" i="13" s="1"/>
  <c r="P621" i="13" s="1"/>
  <c r="U621" i="13" s="1"/>
  <c r="Z621" i="13" s="1"/>
  <c r="O7" i="19" l="1"/>
  <c r="L7" i="19"/>
  <c r="J7" i="19"/>
  <c r="P40" i="3"/>
  <c r="J367" i="19"/>
  <c r="J371" i="19"/>
  <c r="J372" i="19" s="1"/>
  <c r="J382" i="19"/>
  <c r="J386" i="19"/>
  <c r="J387" i="19" s="1"/>
  <c r="K116" i="19"/>
  <c r="P87" i="3"/>
  <c r="K115" i="19"/>
  <c r="K123" i="19"/>
  <c r="F25" i="19"/>
  <c r="F24" i="19"/>
  <c r="R177" i="3"/>
  <c r="P240" i="3"/>
  <c r="K117" i="19" s="1"/>
  <c r="R18" i="3"/>
  <c r="K46" i="19" s="1"/>
  <c r="I621" i="13"/>
  <c r="N621" i="13" s="1"/>
  <c r="S621" i="13" s="1"/>
  <c r="X621" i="13" s="1"/>
  <c r="P219" i="3"/>
  <c r="H79" i="10"/>
  <c r="H87" i="10"/>
  <c r="H111" i="10" s="1"/>
  <c r="P75" i="3"/>
  <c r="J37" i="8"/>
  <c r="P346" i="3"/>
  <c r="G41" i="10"/>
  <c r="G52" i="10"/>
  <c r="G53" i="10" s="1"/>
  <c r="D320" i="19"/>
  <c r="G54" i="10"/>
  <c r="G55" i="10" s="1"/>
  <c r="P383" i="3"/>
  <c r="P327" i="3"/>
  <c r="L191" i="10"/>
  <c r="K190" i="10"/>
  <c r="I160" i="10"/>
  <c r="I163" i="10" s="1"/>
  <c r="H21" i="10"/>
  <c r="H14" i="10" s="1"/>
  <c r="I129" i="10"/>
  <c r="H20" i="10"/>
  <c r="H13" i="10" s="1"/>
  <c r="I76" i="10"/>
  <c r="I87" i="10" s="1"/>
  <c r="I111" i="10" s="1"/>
  <c r="H19" i="10"/>
  <c r="K18" i="10"/>
  <c r="G79" i="10"/>
  <c r="P27" i="3"/>
  <c r="P30" i="3"/>
  <c r="P32" i="3" s="1"/>
  <c r="K66" i="19" s="1"/>
  <c r="F10" i="19"/>
  <c r="P78" i="3"/>
  <c r="P72" i="3"/>
  <c r="P103" i="3"/>
  <c r="P81" i="3"/>
  <c r="P33" i="3"/>
  <c r="P69" i="3"/>
  <c r="D321" i="19"/>
  <c r="E319" i="19"/>
  <c r="E316" i="19"/>
  <c r="P59" i="3"/>
  <c r="P53" i="3"/>
  <c r="P39" i="3"/>
  <c r="F4" i="19"/>
  <c r="P171" i="3"/>
  <c r="D330" i="19"/>
  <c r="D329" i="19"/>
  <c r="E328" i="19"/>
  <c r="E325" i="19"/>
  <c r="K27" i="3"/>
  <c r="K30" i="3"/>
  <c r="K32" i="3" s="1"/>
  <c r="G66" i="19" s="1"/>
  <c r="J621" i="13"/>
  <c r="O621" i="13" s="1"/>
  <c r="T621" i="13" s="1"/>
  <c r="Y621" i="13" s="1"/>
  <c r="G73" i="8"/>
  <c r="H73" i="8" s="1"/>
  <c r="I73" i="8" s="1"/>
  <c r="C42" i="5"/>
  <c r="F21" i="19" l="1"/>
  <c r="D322" i="19"/>
  <c r="K37" i="8"/>
  <c r="P328" i="3"/>
  <c r="P371" i="3"/>
  <c r="M191" i="10"/>
  <c r="L190" i="10"/>
  <c r="J76" i="10"/>
  <c r="I79" i="10"/>
  <c r="H16" i="10"/>
  <c r="U166" i="3" s="1"/>
  <c r="H12" i="10"/>
  <c r="J160" i="10"/>
  <c r="J163" i="10" s="1"/>
  <c r="I21" i="10"/>
  <c r="I14" i="10" s="1"/>
  <c r="J129" i="10"/>
  <c r="I20" i="10"/>
  <c r="I13" i="10" s="1"/>
  <c r="I19" i="10"/>
  <c r="L18" i="10"/>
  <c r="F14" i="19"/>
  <c r="P60" i="3"/>
  <c r="K62" i="19" s="1"/>
  <c r="P89" i="3"/>
  <c r="D331" i="19"/>
  <c r="G211" i="10"/>
  <c r="H211" i="10" s="1"/>
  <c r="I211" i="10" s="1"/>
  <c r="J211" i="10" s="1"/>
  <c r="K211" i="10" s="1"/>
  <c r="L211" i="10" s="1"/>
  <c r="M211" i="10" s="1"/>
  <c r="N211" i="10" s="1"/>
  <c r="O211" i="10" s="1"/>
  <c r="F15" i="19" l="1"/>
  <c r="H11" i="10"/>
  <c r="U167" i="3"/>
  <c r="I112" i="10"/>
  <c r="J79" i="10"/>
  <c r="J87" i="10"/>
  <c r="L37" i="8"/>
  <c r="P370" i="3"/>
  <c r="N191" i="10"/>
  <c r="M190" i="10"/>
  <c r="K160" i="10"/>
  <c r="K163" i="10" s="1"/>
  <c r="J21" i="10"/>
  <c r="J14" i="10" s="1"/>
  <c r="I16" i="10"/>
  <c r="I11" i="10" s="1"/>
  <c r="I12" i="10"/>
  <c r="K129" i="10"/>
  <c r="J20" i="10"/>
  <c r="J13" i="10" s="1"/>
  <c r="K76" i="10"/>
  <c r="J19" i="10"/>
  <c r="M18" i="10"/>
  <c r="P97" i="3"/>
  <c r="P92" i="3"/>
  <c r="K587" i="13"/>
  <c r="J587" i="13"/>
  <c r="I587" i="13"/>
  <c r="H587" i="13"/>
  <c r="U606" i="13"/>
  <c r="T606" i="13"/>
  <c r="S606" i="13"/>
  <c r="R606" i="13"/>
  <c r="U598" i="13"/>
  <c r="T598" i="13"/>
  <c r="S598" i="13"/>
  <c r="R598" i="13"/>
  <c r="M578" i="13"/>
  <c r="M552" i="13"/>
  <c r="F956" i="13" l="1"/>
  <c r="P108" i="3"/>
  <c r="J111" i="10"/>
  <c r="K79" i="10"/>
  <c r="K87" i="10"/>
  <c r="M37" i="8"/>
  <c r="O191" i="10"/>
  <c r="O190" i="10" s="1"/>
  <c r="N190" i="10"/>
  <c r="J12" i="10"/>
  <c r="J16" i="10"/>
  <c r="J11" i="10" s="1"/>
  <c r="L160" i="10"/>
  <c r="L163" i="10" s="1"/>
  <c r="K21" i="10"/>
  <c r="K14" i="10" s="1"/>
  <c r="L129" i="10"/>
  <c r="K20" i="10"/>
  <c r="K13" i="10" s="1"/>
  <c r="L76" i="10"/>
  <c r="K19" i="10"/>
  <c r="N18" i="10"/>
  <c r="P98" i="3"/>
  <c r="F18" i="19" s="1"/>
  <c r="P99" i="3"/>
  <c r="F17" i="19"/>
  <c r="P576" i="13"/>
  <c r="O576" i="13"/>
  <c r="N576" i="13"/>
  <c r="M576" i="13"/>
  <c r="P574" i="13"/>
  <c r="O574" i="13"/>
  <c r="N574" i="13"/>
  <c r="M574" i="13"/>
  <c r="P572" i="13"/>
  <c r="O572" i="13"/>
  <c r="N572" i="13"/>
  <c r="M572" i="13"/>
  <c r="P570" i="13"/>
  <c r="O570" i="13"/>
  <c r="N570" i="13"/>
  <c r="M570" i="13"/>
  <c r="P568" i="13"/>
  <c r="O568" i="13"/>
  <c r="N568" i="13"/>
  <c r="M568" i="13"/>
  <c r="P566" i="13"/>
  <c r="O566" i="13"/>
  <c r="N566" i="13"/>
  <c r="M566" i="13"/>
  <c r="P564" i="13"/>
  <c r="O564" i="13"/>
  <c r="N564" i="13"/>
  <c r="M564" i="13"/>
  <c r="P562" i="13"/>
  <c r="O562" i="13"/>
  <c r="N562" i="13"/>
  <c r="M562" i="13"/>
  <c r="P560" i="13"/>
  <c r="O560" i="13"/>
  <c r="N560" i="13"/>
  <c r="M560" i="13"/>
  <c r="P559" i="13"/>
  <c r="O559" i="13"/>
  <c r="N559" i="13"/>
  <c r="M559" i="13"/>
  <c r="P558" i="13"/>
  <c r="O558" i="13"/>
  <c r="N558" i="13"/>
  <c r="M558" i="13"/>
  <c r="P556" i="13"/>
  <c r="O556" i="13"/>
  <c r="N556" i="13"/>
  <c r="M556" i="13"/>
  <c r="P555" i="13"/>
  <c r="O555" i="13"/>
  <c r="N555" i="13"/>
  <c r="M555" i="13"/>
  <c r="P554" i="13"/>
  <c r="O554" i="13"/>
  <c r="N554" i="13"/>
  <c r="M554" i="13"/>
  <c r="P552" i="13"/>
  <c r="O552" i="13"/>
  <c r="N552" i="13"/>
  <c r="H551" i="13"/>
  <c r="M551" i="13" s="1"/>
  <c r="D551" i="13"/>
  <c r="I551" i="13" s="1"/>
  <c r="N551" i="13" s="1"/>
  <c r="J112" i="10" l="1"/>
  <c r="K111" i="10"/>
  <c r="L79" i="10"/>
  <c r="L87" i="10"/>
  <c r="N37" i="8"/>
  <c r="M160" i="10"/>
  <c r="M163" i="10" s="1"/>
  <c r="L21" i="10"/>
  <c r="L14" i="10" s="1"/>
  <c r="K12" i="10"/>
  <c r="K16" i="10"/>
  <c r="K11" i="10" s="1"/>
  <c r="M129" i="10"/>
  <c r="L20" i="10"/>
  <c r="L13" i="10" s="1"/>
  <c r="M76" i="10"/>
  <c r="L19" i="10"/>
  <c r="O18" i="10"/>
  <c r="F19" i="19"/>
  <c r="E551" i="13"/>
  <c r="O308" i="3"/>
  <c r="J308" i="3"/>
  <c r="K308" i="3"/>
  <c r="M308" i="3"/>
  <c r="N308" i="3"/>
  <c r="I308" i="3"/>
  <c r="B356" i="19"/>
  <c r="B361" i="19" s="1"/>
  <c r="U336" i="19"/>
  <c r="Q345" i="19"/>
  <c r="Q350" i="19" s="1"/>
  <c r="Q344" i="19"/>
  <c r="M345" i="19"/>
  <c r="G345" i="19"/>
  <c r="C350" i="19" s="1"/>
  <c r="C355" i="19" s="1"/>
  <c r="M344" i="19"/>
  <c r="G344" i="19"/>
  <c r="C349" i="19" s="1"/>
  <c r="B346" i="19"/>
  <c r="B345" i="19"/>
  <c r="B350" i="19" s="1"/>
  <c r="B355" i="19" s="1"/>
  <c r="B360" i="19" s="1"/>
  <c r="B344" i="19"/>
  <c r="B349" i="19" s="1"/>
  <c r="B354" i="19" s="1"/>
  <c r="B359" i="19" s="1"/>
  <c r="Q343" i="19"/>
  <c r="M343" i="19"/>
  <c r="G343" i="19"/>
  <c r="Q336" i="19"/>
  <c r="M336" i="19"/>
  <c r="G336" i="19"/>
  <c r="Q338" i="19"/>
  <c r="Q348" i="19" s="1"/>
  <c r="Q353" i="19" s="1"/>
  <c r="M338" i="19"/>
  <c r="M348" i="19" s="1"/>
  <c r="M353" i="19" s="1"/>
  <c r="G338" i="19"/>
  <c r="G348" i="19" s="1"/>
  <c r="G353" i="19" s="1"/>
  <c r="Q340" i="19"/>
  <c r="Q355" i="19" s="1"/>
  <c r="M340" i="19"/>
  <c r="G340" i="19"/>
  <c r="B340" i="19"/>
  <c r="B339" i="19"/>
  <c r="Q339" i="19"/>
  <c r="M339" i="19"/>
  <c r="G339" i="19"/>
  <c r="K317" i="19"/>
  <c r="O317" i="19"/>
  <c r="S317" i="19"/>
  <c r="W317" i="19"/>
  <c r="K318" i="19"/>
  <c r="O318" i="19"/>
  <c r="S318" i="19"/>
  <c r="W318" i="19"/>
  <c r="H319" i="19"/>
  <c r="H316" i="19" s="1"/>
  <c r="N319" i="19"/>
  <c r="R319" i="19"/>
  <c r="R316" i="19" s="1"/>
  <c r="V319" i="19"/>
  <c r="V316" i="19" s="1"/>
  <c r="K326" i="19"/>
  <c r="O326" i="19"/>
  <c r="S326" i="19"/>
  <c r="W326" i="19"/>
  <c r="O327" i="19"/>
  <c r="S327" i="19"/>
  <c r="W327" i="19"/>
  <c r="H328" i="19"/>
  <c r="H325" i="19" s="1"/>
  <c r="N328" i="19"/>
  <c r="N325" i="19" s="1"/>
  <c r="R328" i="19"/>
  <c r="V328" i="19"/>
  <c r="V325" i="19" s="1"/>
  <c r="K204" i="3"/>
  <c r="K203" i="3"/>
  <c r="M204" i="3"/>
  <c r="M212" i="3"/>
  <c r="M203" i="3"/>
  <c r="N204" i="3"/>
  <c r="N212" i="3"/>
  <c r="N203" i="3"/>
  <c r="O204" i="3"/>
  <c r="O212" i="3"/>
  <c r="O203" i="3"/>
  <c r="E949" i="13" s="1"/>
  <c r="G359" i="10"/>
  <c r="H359" i="10" s="1"/>
  <c r="N217" i="3" l="1"/>
  <c r="D950" i="13"/>
  <c r="M216" i="3"/>
  <c r="C949" i="13"/>
  <c r="N216" i="3"/>
  <c r="D949" i="13"/>
  <c r="M217" i="3"/>
  <c r="C950" i="13"/>
  <c r="O217" i="3"/>
  <c r="E950" i="13"/>
  <c r="E952" i="13" s="1"/>
  <c r="Q346" i="19"/>
  <c r="F43" i="10"/>
  <c r="F12" i="8" s="1"/>
  <c r="K217" i="3"/>
  <c r="P21" i="3"/>
  <c r="O216" i="3"/>
  <c r="F45" i="10"/>
  <c r="F54" i="10" s="1"/>
  <c r="F55" i="10" s="1"/>
  <c r="K216" i="3"/>
  <c r="K112" i="10"/>
  <c r="L111" i="10"/>
  <c r="M79" i="10"/>
  <c r="M87" i="10"/>
  <c r="L12" i="10"/>
  <c r="L16" i="10"/>
  <c r="L11" i="10" s="1"/>
  <c r="N160" i="10"/>
  <c r="N163" i="10" s="1"/>
  <c r="M21" i="10"/>
  <c r="M14" i="10" s="1"/>
  <c r="N129" i="10"/>
  <c r="M20" i="10"/>
  <c r="M13" i="10" s="1"/>
  <c r="N76" i="10"/>
  <c r="M19" i="10"/>
  <c r="I359" i="10"/>
  <c r="J359" i="10" s="1"/>
  <c r="K359" i="10" s="1"/>
  <c r="L359" i="10" s="1"/>
  <c r="M359" i="10" s="1"/>
  <c r="N359" i="10" s="1"/>
  <c r="O359" i="10" s="1"/>
  <c r="U319" i="19"/>
  <c r="U316" i="19" s="1"/>
  <c r="W316" i="19" s="1"/>
  <c r="K21" i="3"/>
  <c r="Q328" i="19"/>
  <c r="R329" i="19" s="1"/>
  <c r="N22" i="3"/>
  <c r="M22" i="3"/>
  <c r="U328" i="19"/>
  <c r="V329" i="19" s="1"/>
  <c r="K22" i="3"/>
  <c r="M328" i="19"/>
  <c r="N330" i="19" s="1"/>
  <c r="O22" i="3"/>
  <c r="G328" i="19"/>
  <c r="G325" i="19" s="1"/>
  <c r="K325" i="19" s="1"/>
  <c r="P22" i="3"/>
  <c r="M319" i="19"/>
  <c r="N320" i="19" s="1"/>
  <c r="O21" i="3"/>
  <c r="Q319" i="19"/>
  <c r="R320" i="19" s="1"/>
  <c r="M21" i="3"/>
  <c r="N21" i="3"/>
  <c r="G319" i="19"/>
  <c r="H321" i="19" s="1"/>
  <c r="C351" i="19"/>
  <c r="C356" i="19" s="1"/>
  <c r="C354" i="19"/>
  <c r="M349" i="19"/>
  <c r="M354" i="19" s="1"/>
  <c r="Q349" i="19"/>
  <c r="Q354" i="19" s="1"/>
  <c r="M346" i="19"/>
  <c r="G341" i="19"/>
  <c r="G349" i="19"/>
  <c r="G354" i="19" s="1"/>
  <c r="M341" i="19"/>
  <c r="G350" i="19"/>
  <c r="G355" i="19" s="1"/>
  <c r="J551" i="13"/>
  <c r="O551" i="13" s="1"/>
  <c r="F551" i="13"/>
  <c r="K551" i="13" s="1"/>
  <c r="P551" i="13" s="1"/>
  <c r="Q341" i="19"/>
  <c r="G346" i="19"/>
  <c r="M350" i="19"/>
  <c r="M355" i="19" s="1"/>
  <c r="N316" i="19"/>
  <c r="R325" i="19"/>
  <c r="AJ38" i="3"/>
  <c r="AJ36" i="3"/>
  <c r="AJ25" i="3"/>
  <c r="AJ14" i="3"/>
  <c r="AJ7" i="3"/>
  <c r="AJ2" i="3"/>
  <c r="T85" i="3"/>
  <c r="Y85" i="3" s="1"/>
  <c r="H583" i="13"/>
  <c r="M583" i="13" s="1"/>
  <c r="R583" i="13" s="1"/>
  <c r="W583" i="13" s="1"/>
  <c r="D583" i="13"/>
  <c r="E583" i="13" s="1"/>
  <c r="N29" i="3"/>
  <c r="M19" i="3"/>
  <c r="G50" i="19" s="1"/>
  <c r="J19" i="3"/>
  <c r="E50" i="19" s="1"/>
  <c r="K19" i="3"/>
  <c r="F50" i="19" s="1"/>
  <c r="N19" i="3"/>
  <c r="H50" i="19" s="1"/>
  <c r="O19" i="3"/>
  <c r="I50" i="19" s="1"/>
  <c r="G44" i="10" l="1"/>
  <c r="F52" i="10"/>
  <c r="F53" i="10" s="1"/>
  <c r="F41" i="10"/>
  <c r="G42" i="10" s="1"/>
  <c r="G46" i="10"/>
  <c r="F9" i="8"/>
  <c r="M316" i="19"/>
  <c r="O316" i="19" s="1"/>
  <c r="W319" i="19"/>
  <c r="L112" i="10"/>
  <c r="M111" i="10"/>
  <c r="N79" i="10"/>
  <c r="N87" i="10"/>
  <c r="R321" i="19"/>
  <c r="R322" i="19" s="1"/>
  <c r="Q316" i="19"/>
  <c r="S316" i="19" s="1"/>
  <c r="S319" i="19"/>
  <c r="U325" i="19"/>
  <c r="W325" i="19" s="1"/>
  <c r="W328" i="19"/>
  <c r="O319" i="19"/>
  <c r="N321" i="19"/>
  <c r="N322" i="19" s="1"/>
  <c r="V330" i="19"/>
  <c r="V331" i="19" s="1"/>
  <c r="K328" i="19"/>
  <c r="V321" i="19"/>
  <c r="H330" i="19"/>
  <c r="H329" i="19"/>
  <c r="Q325" i="19"/>
  <c r="S325" i="19" s="1"/>
  <c r="R330" i="19"/>
  <c r="R331" i="19" s="1"/>
  <c r="V320" i="19"/>
  <c r="S328" i="19"/>
  <c r="O160" i="10"/>
  <c r="N21" i="10"/>
  <c r="N14" i="10" s="1"/>
  <c r="M12" i="10"/>
  <c r="M16" i="10"/>
  <c r="M11" i="10" s="1"/>
  <c r="O129" i="10"/>
  <c r="O20" i="10" s="1"/>
  <c r="O13" i="10" s="1"/>
  <c r="N20" i="10"/>
  <c r="N13" i="10" s="1"/>
  <c r="O76" i="10"/>
  <c r="O87" i="10" s="1"/>
  <c r="N19" i="10"/>
  <c r="M325" i="19"/>
  <c r="O325" i="19" s="1"/>
  <c r="O328" i="19"/>
  <c r="N329" i="19"/>
  <c r="N331" i="19" s="1"/>
  <c r="G316" i="19"/>
  <c r="K316" i="19" s="1"/>
  <c r="H320" i="19"/>
  <c r="H322" i="19" s="1"/>
  <c r="K319" i="19"/>
  <c r="Q351" i="19"/>
  <c r="Q356" i="19" s="1"/>
  <c r="G351" i="19"/>
  <c r="G356" i="19" s="1"/>
  <c r="M351" i="19"/>
  <c r="M356" i="19" s="1"/>
  <c r="I583" i="13"/>
  <c r="N583" i="13" s="1"/>
  <c r="S583" i="13" s="1"/>
  <c r="X583" i="13" s="1"/>
  <c r="F583" i="13"/>
  <c r="K583" i="13" s="1"/>
  <c r="P583" i="13" s="1"/>
  <c r="U583" i="13" s="1"/>
  <c r="Z583" i="13" s="1"/>
  <c r="J583" i="13"/>
  <c r="O583" i="13" s="1"/>
  <c r="T583" i="13" s="1"/>
  <c r="Y583" i="13" s="1"/>
  <c r="O180" i="3"/>
  <c r="I369" i="19" s="1"/>
  <c r="N180" i="3"/>
  <c r="H369" i="19" s="1"/>
  <c r="M180" i="3"/>
  <c r="G369" i="19" s="1"/>
  <c r="K180" i="3"/>
  <c r="F369" i="19" s="1"/>
  <c r="J180" i="3"/>
  <c r="E369" i="19" s="1"/>
  <c r="I180" i="3"/>
  <c r="D369" i="19" s="1"/>
  <c r="O194" i="3"/>
  <c r="O183" i="3"/>
  <c r="F36" i="19" l="1"/>
  <c r="C36" i="19"/>
  <c r="D36" i="19"/>
  <c r="E36" i="19"/>
  <c r="K21" i="19"/>
  <c r="H331" i="19"/>
  <c r="V322" i="19"/>
  <c r="O111" i="10"/>
  <c r="M112" i="10"/>
  <c r="N111" i="10"/>
  <c r="P292" i="3"/>
  <c r="P293" i="3" s="1"/>
  <c r="O21" i="10"/>
  <c r="O14" i="10" s="1"/>
  <c r="O163" i="10"/>
  <c r="O19" i="10"/>
  <c r="O79" i="10"/>
  <c r="N16" i="10"/>
  <c r="N11" i="10" s="1"/>
  <c r="N12" i="10"/>
  <c r="O176" i="3"/>
  <c r="O185" i="3" s="1"/>
  <c r="P200" i="3"/>
  <c r="O382" i="3"/>
  <c r="O348" i="3"/>
  <c r="O347" i="3"/>
  <c r="O306" i="3"/>
  <c r="O303" i="3"/>
  <c r="O301" i="3"/>
  <c r="O282" i="3"/>
  <c r="O257" i="3"/>
  <c r="O253" i="3"/>
  <c r="O255" i="3" s="1"/>
  <c r="O246" i="3"/>
  <c r="O248" i="3" s="1"/>
  <c r="O238" i="3"/>
  <c r="I366" i="19" s="1"/>
  <c r="I370" i="19" s="1"/>
  <c r="O237" i="3"/>
  <c r="I365" i="19" s="1"/>
  <c r="O226" i="3"/>
  <c r="O225" i="3"/>
  <c r="P231" i="3" s="1"/>
  <c r="O206" i="3"/>
  <c r="P41" i="3" s="1"/>
  <c r="O197" i="3"/>
  <c r="I82" i="19"/>
  <c r="O172" i="3"/>
  <c r="O83" i="3"/>
  <c r="I381" i="19" s="1"/>
  <c r="O63" i="3"/>
  <c r="I380" i="19" s="1"/>
  <c r="I385" i="19" s="1"/>
  <c r="I390" i="19" s="1"/>
  <c r="O55" i="3"/>
  <c r="O54" i="3"/>
  <c r="O48" i="3"/>
  <c r="O29" i="3"/>
  <c r="O31" i="3" s="1"/>
  <c r="I74" i="19"/>
  <c r="J75" i="19" s="1"/>
  <c r="I72" i="19"/>
  <c r="J73" i="19" s="1"/>
  <c r="I88" i="19"/>
  <c r="I85" i="19"/>
  <c r="I81" i="19"/>
  <c r="I80" i="19"/>
  <c r="I77" i="19"/>
  <c r="F35" i="19"/>
  <c r="E35" i="19"/>
  <c r="D35" i="19"/>
  <c r="C35" i="19"/>
  <c r="I371" i="19" l="1"/>
  <c r="I372" i="19" s="1"/>
  <c r="I367" i="19"/>
  <c r="I386" i="19"/>
  <c r="I387" i="19" s="1"/>
  <c r="I382" i="19"/>
  <c r="J115" i="19"/>
  <c r="J116" i="19"/>
  <c r="O87" i="3"/>
  <c r="O219" i="3"/>
  <c r="P18" i="3"/>
  <c r="J46" i="19" s="1"/>
  <c r="P232" i="3"/>
  <c r="P235" i="3"/>
  <c r="P223" i="3"/>
  <c r="N112" i="10"/>
  <c r="O16" i="10"/>
  <c r="O11" i="10" s="1"/>
  <c r="O112" i="10"/>
  <c r="O12" i="10"/>
  <c r="O171" i="3"/>
  <c r="O103" i="3"/>
  <c r="E24" i="19"/>
  <c r="P177" i="3"/>
  <c r="K63" i="19"/>
  <c r="P65" i="3"/>
  <c r="P61" i="3"/>
  <c r="E4" i="19"/>
  <c r="E21" i="19" s="1"/>
  <c r="O75" i="3"/>
  <c r="O177" i="3"/>
  <c r="O65" i="3"/>
  <c r="E10" i="19"/>
  <c r="O39" i="3"/>
  <c r="O309" i="3"/>
  <c r="O311" i="3" s="1"/>
  <c r="O346" i="3"/>
  <c r="O265" i="3"/>
  <c r="O240" i="3"/>
  <c r="J117" i="19" s="1"/>
  <c r="O327" i="3"/>
  <c r="O383" i="3"/>
  <c r="J121" i="19"/>
  <c r="O261" i="3"/>
  <c r="O291" i="3"/>
  <c r="O59" i="3"/>
  <c r="E14" i="19" s="1"/>
  <c r="O270" i="3"/>
  <c r="O275" i="3" s="1"/>
  <c r="O33" i="3"/>
  <c r="O81" i="3"/>
  <c r="O228" i="3"/>
  <c r="O72" i="3"/>
  <c r="J122" i="19"/>
  <c r="O78" i="3"/>
  <c r="O53" i="3"/>
  <c r="P56" i="3" s="1"/>
  <c r="O69" i="3"/>
  <c r="D192" i="16"/>
  <c r="D191" i="16"/>
  <c r="E943" i="13"/>
  <c r="E944" i="13"/>
  <c r="D945" i="13"/>
  <c r="P351" i="3" l="1"/>
  <c r="P356" i="3" s="1"/>
  <c r="E15" i="19"/>
  <c r="E25" i="19"/>
  <c r="P234" i="3"/>
  <c r="F26" i="19" s="1"/>
  <c r="O89" i="3"/>
  <c r="E945" i="13"/>
  <c r="O60" i="3"/>
  <c r="J62" i="19" s="1"/>
  <c r="O328" i="3"/>
  <c r="O370" i="3" s="1"/>
  <c r="O371" i="3"/>
  <c r="O61" i="3"/>
  <c r="J123" i="19"/>
  <c r="J222" i="10"/>
  <c r="K222" i="10" s="1"/>
  <c r="L222" i="10" s="1"/>
  <c r="M222" i="10" s="1"/>
  <c r="N222" i="10" s="1"/>
  <c r="O222" i="10" s="1"/>
  <c r="I204" i="10"/>
  <c r="J204" i="10" s="1"/>
  <c r="K204" i="10" s="1"/>
  <c r="L204" i="10" s="1"/>
  <c r="M204" i="10" s="1"/>
  <c r="N204" i="10" s="1"/>
  <c r="O204" i="10" s="1"/>
  <c r="F203" i="10"/>
  <c r="E203" i="10"/>
  <c r="D203" i="10"/>
  <c r="C203" i="10"/>
  <c r="P357" i="3" l="1"/>
  <c r="U366" i="3"/>
  <c r="P353" i="3"/>
  <c r="P376" i="3" s="1"/>
  <c r="P352" i="3"/>
  <c r="P375" i="3" s="1"/>
  <c r="O97" i="3"/>
  <c r="E956" i="13" s="1"/>
  <c r="O92" i="3"/>
  <c r="H222" i="10"/>
  <c r="G222" i="10"/>
  <c r="G226" i="10" s="1"/>
  <c r="F212" i="10"/>
  <c r="N172" i="3"/>
  <c r="M172" i="3"/>
  <c r="K172" i="3"/>
  <c r="C915" i="13"/>
  <c r="D915" i="13"/>
  <c r="E915" i="13"/>
  <c r="F915" i="13"/>
  <c r="P374" i="3" l="1"/>
  <c r="U365" i="3"/>
  <c r="O99" i="3"/>
  <c r="E17" i="19"/>
  <c r="E19" i="19" s="1"/>
  <c r="O98" i="3"/>
  <c r="E18" i="19" s="1"/>
  <c r="F917" i="13"/>
  <c r="W365" i="3" l="1"/>
  <c r="H520" i="13"/>
  <c r="M520" i="13" s="1"/>
  <c r="D520" i="13"/>
  <c r="E520" i="13" s="1"/>
  <c r="I520" i="13" l="1"/>
  <c r="N520" i="13" s="1"/>
  <c r="F520" i="13"/>
  <c r="K520" i="13" s="1"/>
  <c r="P520" i="13" s="1"/>
  <c r="J520" i="13"/>
  <c r="O520" i="13" s="1"/>
  <c r="I910" i="13"/>
  <c r="I909" i="13"/>
  <c r="I908" i="13"/>
  <c r="I907" i="13"/>
  <c r="I906" i="13"/>
  <c r="I905" i="13"/>
  <c r="I904" i="13"/>
  <c r="I903" i="13"/>
  <c r="I902" i="13"/>
  <c r="I901" i="13"/>
  <c r="I900" i="13"/>
  <c r="E910" i="13"/>
  <c r="E909" i="13"/>
  <c r="E908" i="13"/>
  <c r="E907" i="13"/>
  <c r="E906" i="13"/>
  <c r="E905" i="13"/>
  <c r="E904" i="13"/>
  <c r="E903" i="13"/>
  <c r="E902" i="13"/>
  <c r="E901" i="13"/>
  <c r="E900" i="13"/>
  <c r="AP2" i="3" l="1"/>
  <c r="AO2" i="3"/>
  <c r="AI38" i="3"/>
  <c r="AI36" i="3"/>
  <c r="AI25" i="3"/>
  <c r="AI14" i="3"/>
  <c r="AI7" i="3"/>
  <c r="N198" i="3"/>
  <c r="N197" i="3"/>
  <c r="J210" i="3"/>
  <c r="I210" i="3"/>
  <c r="H210" i="3"/>
  <c r="J209" i="3"/>
  <c r="I209" i="3"/>
  <c r="H209" i="3"/>
  <c r="G210" i="3"/>
  <c r="G209" i="3"/>
  <c r="AI2" i="3"/>
  <c r="O281" i="19"/>
  <c r="N281" i="19"/>
  <c r="M281" i="19"/>
  <c r="L281" i="19"/>
  <c r="K281" i="19"/>
  <c r="H281" i="19"/>
  <c r="G281" i="19"/>
  <c r="F281" i="19"/>
  <c r="E281" i="19"/>
  <c r="D281" i="19"/>
  <c r="C281" i="19"/>
  <c r="V221" i="3" l="1"/>
  <c r="AA221" i="3" s="1"/>
  <c r="N238" i="3"/>
  <c r="H366" i="19" s="1"/>
  <c r="H370" i="19" s="1"/>
  <c r="M238" i="3"/>
  <c r="G366" i="19" s="1"/>
  <c r="G370" i="19" s="1"/>
  <c r="K238" i="3"/>
  <c r="F366" i="19" s="1"/>
  <c r="F370" i="19" s="1"/>
  <c r="J238" i="3"/>
  <c r="E366" i="19" s="1"/>
  <c r="I238" i="3"/>
  <c r="D366" i="19" s="1"/>
  <c r="D370" i="19" s="1"/>
  <c r="D371" i="19" s="1"/>
  <c r="D372" i="19" s="1"/>
  <c r="H238" i="3"/>
  <c r="C366" i="19" s="1"/>
  <c r="G238" i="3"/>
  <c r="C116" i="19" s="1"/>
  <c r="N237" i="3"/>
  <c r="H365" i="19" s="1"/>
  <c r="M237" i="3"/>
  <c r="G365" i="19" s="1"/>
  <c r="K237" i="3"/>
  <c r="F365" i="19" s="1"/>
  <c r="J237" i="3"/>
  <c r="E365" i="19" s="1"/>
  <c r="I237" i="3"/>
  <c r="D365" i="19" s="1"/>
  <c r="H237" i="3"/>
  <c r="C365" i="19" s="1"/>
  <c r="G237" i="3"/>
  <c r="C115" i="19" s="1"/>
  <c r="H890" i="13"/>
  <c r="G890" i="13"/>
  <c r="F890" i="13"/>
  <c r="E890" i="13"/>
  <c r="E891" i="13" s="1"/>
  <c r="E892" i="13" s="1"/>
  <c r="D890" i="13"/>
  <c r="C890" i="13"/>
  <c r="H888" i="13"/>
  <c r="G888" i="13"/>
  <c r="F888" i="13"/>
  <c r="E888" i="13"/>
  <c r="D888" i="13"/>
  <c r="C888" i="13"/>
  <c r="H81" i="19"/>
  <c r="G81" i="19"/>
  <c r="H80" i="19"/>
  <c r="G80" i="19"/>
  <c r="F81" i="19"/>
  <c r="E81" i="19"/>
  <c r="D81" i="19"/>
  <c r="F80" i="19"/>
  <c r="E80" i="19"/>
  <c r="D80" i="19"/>
  <c r="E74" i="19"/>
  <c r="F74" i="19"/>
  <c r="H166" i="3"/>
  <c r="C74" i="19" s="1"/>
  <c r="C75" i="19" s="1"/>
  <c r="I166" i="3"/>
  <c r="I168" i="3" s="1"/>
  <c r="G74" i="19"/>
  <c r="H74" i="19"/>
  <c r="I75" i="19" s="1"/>
  <c r="H371" i="19" l="1"/>
  <c r="H372" i="19" s="1"/>
  <c r="G367" i="19"/>
  <c r="H367" i="19"/>
  <c r="C367" i="19"/>
  <c r="D367" i="19"/>
  <c r="E367" i="19"/>
  <c r="E370" i="19"/>
  <c r="E371" i="19"/>
  <c r="E372" i="19" s="1"/>
  <c r="F367" i="19"/>
  <c r="F371" i="19"/>
  <c r="F372" i="19" s="1"/>
  <c r="G371" i="19"/>
  <c r="G372" i="19" s="1"/>
  <c r="D115" i="19"/>
  <c r="E115" i="19"/>
  <c r="F116" i="19"/>
  <c r="E116" i="19"/>
  <c r="F115" i="19"/>
  <c r="G116" i="19"/>
  <c r="G115" i="19"/>
  <c r="H116" i="19"/>
  <c r="H115" i="19"/>
  <c r="I116" i="19"/>
  <c r="D116" i="19"/>
  <c r="I115" i="19"/>
  <c r="H167" i="3"/>
  <c r="H168" i="3"/>
  <c r="D74" i="19"/>
  <c r="D75" i="19" s="1"/>
  <c r="I167" i="3"/>
  <c r="J167" i="3"/>
  <c r="H75" i="19"/>
  <c r="G75" i="19"/>
  <c r="F75" i="19"/>
  <c r="E75" i="19" l="1"/>
  <c r="H85" i="19"/>
  <c r="G85" i="19"/>
  <c r="F85" i="19"/>
  <c r="E85" i="19"/>
  <c r="D85" i="19"/>
  <c r="G226" i="3"/>
  <c r="C122" i="19" s="1"/>
  <c r="G225" i="3"/>
  <c r="C121" i="19" s="1"/>
  <c r="I226" i="3"/>
  <c r="E122" i="19" s="1"/>
  <c r="H226" i="3"/>
  <c r="D122" i="19" s="1"/>
  <c r="I225" i="3"/>
  <c r="E121" i="19" s="1"/>
  <c r="H225" i="3"/>
  <c r="D121" i="19" s="1"/>
  <c r="J226" i="3"/>
  <c r="F122" i="19" s="1"/>
  <c r="J225" i="3"/>
  <c r="F121" i="19" s="1"/>
  <c r="K226" i="3"/>
  <c r="G122" i="19" s="1"/>
  <c r="K225" i="3"/>
  <c r="G121" i="19" s="1"/>
  <c r="M226" i="3"/>
  <c r="M225" i="3"/>
  <c r="N226" i="3"/>
  <c r="N225" i="3"/>
  <c r="N156" i="19"/>
  <c r="N155" i="19"/>
  <c r="N153" i="19"/>
  <c r="N152" i="19"/>
  <c r="M223" i="3" l="1"/>
  <c r="N223" i="3"/>
  <c r="N235" i="3"/>
  <c r="O235" i="3"/>
  <c r="O223" i="3"/>
  <c r="O231" i="3"/>
  <c r="O232" i="3"/>
  <c r="N157" i="19"/>
  <c r="H122" i="19"/>
  <c r="H130" i="19" s="1"/>
  <c r="H121" i="19"/>
  <c r="H129" i="19" s="1"/>
  <c r="I121" i="19"/>
  <c r="I129" i="19" s="1"/>
  <c r="N231" i="3"/>
  <c r="I122" i="19"/>
  <c r="I130" i="19" s="1"/>
  <c r="N232" i="3"/>
  <c r="G130" i="19"/>
  <c r="F129" i="19"/>
  <c r="F133" i="19"/>
  <c r="G129" i="19"/>
  <c r="G133" i="19"/>
  <c r="G134" i="19"/>
  <c r="F134" i="19"/>
  <c r="F130" i="19"/>
  <c r="H88" i="19"/>
  <c r="H77" i="19"/>
  <c r="H72" i="19"/>
  <c r="I73" i="19" s="1"/>
  <c r="I133" i="19" l="1"/>
  <c r="H133" i="19"/>
  <c r="H134" i="19"/>
  <c r="I134" i="19"/>
  <c r="AH2" i="3"/>
  <c r="AG2" i="3"/>
  <c r="N382" i="3"/>
  <c r="N348" i="3"/>
  <c r="N347" i="3"/>
  <c r="N306" i="3"/>
  <c r="N309" i="3" s="1"/>
  <c r="N303" i="3"/>
  <c r="N301" i="3"/>
  <c r="N282" i="3"/>
  <c r="N257" i="3"/>
  <c r="N253" i="3"/>
  <c r="N246" i="3"/>
  <c r="N206" i="3"/>
  <c r="N194" i="3"/>
  <c r="N183" i="3"/>
  <c r="N83" i="3"/>
  <c r="N63" i="3"/>
  <c r="N55" i="3"/>
  <c r="N54" i="3"/>
  <c r="N48" i="3"/>
  <c r="AN48" i="3" s="1"/>
  <c r="N16" i="9"/>
  <c r="M16" i="9"/>
  <c r="L16" i="9"/>
  <c r="K16" i="9"/>
  <c r="J16" i="9"/>
  <c r="I16" i="9"/>
  <c r="H16" i="9"/>
  <c r="G16" i="9"/>
  <c r="E13" i="9"/>
  <c r="D13" i="9"/>
  <c r="C13" i="9"/>
  <c r="B13" i="9"/>
  <c r="E12" i="9"/>
  <c r="D12" i="9"/>
  <c r="C12" i="9"/>
  <c r="B12" i="9"/>
  <c r="E11" i="9"/>
  <c r="D11" i="9"/>
  <c r="C11" i="9"/>
  <c r="B11" i="9"/>
  <c r="E10" i="9"/>
  <c r="D10" i="9"/>
  <c r="C10" i="9"/>
  <c r="B10" i="9"/>
  <c r="N9" i="9"/>
  <c r="M9" i="9"/>
  <c r="L9" i="9"/>
  <c r="K9" i="9"/>
  <c r="J9" i="9"/>
  <c r="I9" i="9"/>
  <c r="H9" i="9"/>
  <c r="G9" i="9"/>
  <c r="F9" i="9"/>
  <c r="E7" i="9"/>
  <c r="N4" i="9"/>
  <c r="M4" i="9"/>
  <c r="L4" i="9"/>
  <c r="K4" i="9"/>
  <c r="J4" i="9"/>
  <c r="I4" i="9"/>
  <c r="H4" i="9"/>
  <c r="G4" i="9"/>
  <c r="F4" i="9"/>
  <c r="E4" i="9"/>
  <c r="D4" i="9"/>
  <c r="C4" i="9"/>
  <c r="B4" i="9"/>
  <c r="AP6" i="12"/>
  <c r="AO6" i="12"/>
  <c r="AN6" i="12"/>
  <c r="AM6" i="12"/>
  <c r="AL6" i="12"/>
  <c r="AK6" i="12"/>
  <c r="AJ6" i="12"/>
  <c r="AI6" i="12"/>
  <c r="AH6" i="12"/>
  <c r="AG6" i="12"/>
  <c r="AF6" i="12"/>
  <c r="AE6" i="12"/>
  <c r="AD6" i="12"/>
  <c r="AC6" i="12"/>
  <c r="AB6" i="12"/>
  <c r="AA6" i="12"/>
  <c r="Z6" i="12"/>
  <c r="Y6" i="12"/>
  <c r="X6" i="12"/>
  <c r="W6" i="12"/>
  <c r="V6" i="12"/>
  <c r="U6" i="12"/>
  <c r="T6" i="12"/>
  <c r="S6" i="12"/>
  <c r="R6" i="12"/>
  <c r="Q6" i="12"/>
  <c r="P6" i="12"/>
  <c r="O6" i="12"/>
  <c r="N6" i="12"/>
  <c r="M6" i="12"/>
  <c r="L6" i="12"/>
  <c r="K6" i="12"/>
  <c r="J6" i="12"/>
  <c r="I6" i="12"/>
  <c r="H6" i="12"/>
  <c r="G6" i="12"/>
  <c r="F6" i="12"/>
  <c r="E6" i="12"/>
  <c r="D6" i="12"/>
  <c r="AP5" i="12"/>
  <c r="AO5" i="12"/>
  <c r="AN5" i="12"/>
  <c r="AM5" i="12"/>
  <c r="AL5" i="12"/>
  <c r="AK5" i="12"/>
  <c r="AJ5" i="12"/>
  <c r="AI5" i="12"/>
  <c r="AH5" i="12"/>
  <c r="AG5" i="12"/>
  <c r="AF5" i="12"/>
  <c r="AE5" i="12"/>
  <c r="AD5" i="12"/>
  <c r="AC5" i="12"/>
  <c r="AB5" i="12"/>
  <c r="AA5" i="12"/>
  <c r="Z5" i="12"/>
  <c r="Y5" i="12"/>
  <c r="X5" i="12"/>
  <c r="W5" i="12"/>
  <c r="V5" i="12"/>
  <c r="U5" i="12"/>
  <c r="T5" i="12"/>
  <c r="S5" i="12"/>
  <c r="R5" i="12"/>
  <c r="Q5" i="12"/>
  <c r="P5" i="12"/>
  <c r="O5" i="12"/>
  <c r="N5" i="12"/>
  <c r="M5" i="12"/>
  <c r="L5" i="12"/>
  <c r="K5" i="12"/>
  <c r="J5" i="12"/>
  <c r="I5" i="12"/>
  <c r="H5" i="12"/>
  <c r="G5" i="12"/>
  <c r="D87" i="16"/>
  <c r="D48" i="16"/>
  <c r="D38" i="16"/>
  <c r="D35" i="16"/>
  <c r="B35" i="16"/>
  <c r="D34" i="16"/>
  <c r="B34" i="16"/>
  <c r="D33" i="16"/>
  <c r="B33" i="16"/>
  <c r="D32" i="16"/>
  <c r="B32" i="16"/>
  <c r="D13" i="16"/>
  <c r="E12" i="16"/>
  <c r="E11" i="16"/>
  <c r="D3" i="16"/>
  <c r="C43" i="17"/>
  <c r="C42" i="17"/>
  <c r="E40" i="17"/>
  <c r="C40" i="17"/>
  <c r="E39" i="17"/>
  <c r="E38" i="17"/>
  <c r="C35" i="17"/>
  <c r="K27" i="17"/>
  <c r="J27" i="17"/>
  <c r="I27" i="17"/>
  <c r="H27" i="17"/>
  <c r="K25" i="17"/>
  <c r="J25" i="17"/>
  <c r="I25" i="17"/>
  <c r="H25" i="17"/>
  <c r="K17" i="17"/>
  <c r="J17" i="17"/>
  <c r="I17" i="17"/>
  <c r="H17" i="17"/>
  <c r="G17" i="17"/>
  <c r="F17" i="17"/>
  <c r="E17" i="17"/>
  <c r="D17" i="17"/>
  <c r="C17" i="17"/>
  <c r="K13" i="17"/>
  <c r="G3" i="17"/>
  <c r="F3" i="17"/>
  <c r="E3" i="17"/>
  <c r="D3" i="17"/>
  <c r="C3" i="17"/>
  <c r="B16" i="18"/>
  <c r="C4" i="15"/>
  <c r="M3" i="15"/>
  <c r="L3" i="15"/>
  <c r="K3" i="15"/>
  <c r="J3" i="15"/>
  <c r="I3" i="15"/>
  <c r="F219" i="14"/>
  <c r="F211" i="14"/>
  <c r="F209" i="14"/>
  <c r="F208" i="14"/>
  <c r="B208" i="14"/>
  <c r="F207" i="14"/>
  <c r="F205" i="14"/>
  <c r="F203" i="14"/>
  <c r="B203" i="14"/>
  <c r="F202" i="14"/>
  <c r="B202" i="14"/>
  <c r="F200" i="14"/>
  <c r="F199" i="14"/>
  <c r="F182" i="14"/>
  <c r="F181" i="14"/>
  <c r="B181" i="14"/>
  <c r="AL171" i="14"/>
  <c r="AL170" i="14"/>
  <c r="O170" i="14"/>
  <c r="N170" i="14"/>
  <c r="M170" i="14"/>
  <c r="L170" i="14"/>
  <c r="K170" i="14"/>
  <c r="J170" i="14"/>
  <c r="I170" i="14"/>
  <c r="H170" i="14"/>
  <c r="G170" i="14"/>
  <c r="F170" i="14"/>
  <c r="E170" i="14"/>
  <c r="D170" i="14"/>
  <c r="AL167" i="14"/>
  <c r="F161" i="14"/>
  <c r="F162" i="14" s="1"/>
  <c r="F165" i="14" s="1"/>
  <c r="F168" i="14" s="1"/>
  <c r="E161" i="14"/>
  <c r="E162" i="14" s="1"/>
  <c r="E165" i="14" s="1"/>
  <c r="E168" i="14" s="1"/>
  <c r="D161" i="14"/>
  <c r="D162" i="14" s="1"/>
  <c r="F155" i="14"/>
  <c r="E155" i="14"/>
  <c r="D155" i="14"/>
  <c r="F153" i="14"/>
  <c r="E153" i="14"/>
  <c r="D153" i="14"/>
  <c r="AH152" i="14"/>
  <c r="AH151" i="14"/>
  <c r="F150" i="14"/>
  <c r="E150" i="14"/>
  <c r="D150" i="14"/>
  <c r="F148" i="14"/>
  <c r="E148" i="14"/>
  <c r="D148" i="14"/>
  <c r="F145" i="14"/>
  <c r="E145" i="14"/>
  <c r="D145" i="14"/>
  <c r="F140" i="14"/>
  <c r="F136" i="14" s="1"/>
  <c r="E140" i="14"/>
  <c r="E136" i="14" s="1"/>
  <c r="D140" i="14"/>
  <c r="C140" i="14"/>
  <c r="E131" i="14"/>
  <c r="D131" i="14"/>
  <c r="E122" i="14"/>
  <c r="D122" i="14"/>
  <c r="E120" i="14"/>
  <c r="D120" i="14"/>
  <c r="E118" i="14"/>
  <c r="D118" i="14"/>
  <c r="E116" i="14"/>
  <c r="D116" i="14"/>
  <c r="E114" i="14"/>
  <c r="D114" i="14"/>
  <c r="F112" i="14"/>
  <c r="O111" i="14"/>
  <c r="N111" i="14"/>
  <c r="M111" i="14"/>
  <c r="L111" i="14"/>
  <c r="K111" i="14"/>
  <c r="J111" i="14"/>
  <c r="I111" i="14"/>
  <c r="H111" i="14"/>
  <c r="G111" i="14"/>
  <c r="F109" i="14"/>
  <c r="O108" i="14"/>
  <c r="N108" i="14"/>
  <c r="M108" i="14"/>
  <c r="L108" i="14"/>
  <c r="K108" i="14"/>
  <c r="J108" i="14"/>
  <c r="I108" i="14"/>
  <c r="H108" i="14"/>
  <c r="G108" i="14"/>
  <c r="D106" i="14"/>
  <c r="F104" i="14"/>
  <c r="E104" i="14"/>
  <c r="D104" i="14"/>
  <c r="F102" i="14"/>
  <c r="F106" i="14" s="1"/>
  <c r="E102" i="14"/>
  <c r="D102" i="14"/>
  <c r="F98" i="14"/>
  <c r="E98" i="14"/>
  <c r="D98" i="14"/>
  <c r="F96" i="14"/>
  <c r="E96" i="14"/>
  <c r="D96" i="14"/>
  <c r="B84" i="14"/>
  <c r="B82" i="14"/>
  <c r="E81" i="14"/>
  <c r="AE81" i="14" s="1"/>
  <c r="D81" i="14"/>
  <c r="C81" i="14"/>
  <c r="B81" i="14"/>
  <c r="F80" i="14"/>
  <c r="AF80" i="14" s="1"/>
  <c r="B79" i="14"/>
  <c r="D70" i="14"/>
  <c r="C70" i="14"/>
  <c r="B70" i="14"/>
  <c r="D69" i="14"/>
  <c r="C69" i="14"/>
  <c r="B69" i="14"/>
  <c r="D68" i="14"/>
  <c r="C68" i="14"/>
  <c r="B68" i="14"/>
  <c r="C65" i="14"/>
  <c r="E63" i="14"/>
  <c r="D63" i="14"/>
  <c r="C63" i="14"/>
  <c r="E59" i="14"/>
  <c r="D59" i="14"/>
  <c r="C59" i="14"/>
  <c r="E58" i="14"/>
  <c r="D58" i="14"/>
  <c r="C58" i="14"/>
  <c r="N56" i="14"/>
  <c r="M56" i="14"/>
  <c r="L56" i="14"/>
  <c r="K56" i="14"/>
  <c r="J56" i="14"/>
  <c r="I56" i="14"/>
  <c r="H56" i="14"/>
  <c r="G56" i="14"/>
  <c r="F56" i="14"/>
  <c r="E56" i="14"/>
  <c r="D56" i="14"/>
  <c r="C56" i="14"/>
  <c r="C51" i="14"/>
  <c r="B51" i="14"/>
  <c r="D50" i="14"/>
  <c r="C50" i="14"/>
  <c r="B50" i="14"/>
  <c r="C49" i="14"/>
  <c r="B49" i="14"/>
  <c r="D45" i="14"/>
  <c r="C45" i="14"/>
  <c r="B45" i="14"/>
  <c r="D44" i="14"/>
  <c r="C44" i="14"/>
  <c r="B44" i="14"/>
  <c r="C43" i="14"/>
  <c r="B43" i="14"/>
  <c r="N38" i="14"/>
  <c r="AN38" i="14" s="1"/>
  <c r="D38" i="14"/>
  <c r="D36" i="14"/>
  <c r="C36" i="14"/>
  <c r="C35" i="14"/>
  <c r="B35" i="14"/>
  <c r="AN34" i="14"/>
  <c r="AM34" i="14"/>
  <c r="AL34" i="14"/>
  <c r="AK34" i="14"/>
  <c r="AJ34" i="14"/>
  <c r="AI34" i="14"/>
  <c r="AH34" i="14"/>
  <c r="AG34" i="14"/>
  <c r="AF34" i="14"/>
  <c r="N34" i="14"/>
  <c r="M34" i="14"/>
  <c r="L34" i="14"/>
  <c r="K34" i="14"/>
  <c r="J34" i="14"/>
  <c r="I34" i="14"/>
  <c r="H34" i="14"/>
  <c r="G34" i="14"/>
  <c r="F34" i="14"/>
  <c r="E34" i="14"/>
  <c r="D34" i="14"/>
  <c r="C34" i="14"/>
  <c r="N30" i="14"/>
  <c r="AN30" i="14" s="1"/>
  <c r="D30" i="14"/>
  <c r="D28" i="14"/>
  <c r="C28" i="14"/>
  <c r="C27" i="14"/>
  <c r="B27" i="14"/>
  <c r="AN26" i="14"/>
  <c r="AM26" i="14"/>
  <c r="AL26" i="14"/>
  <c r="AK26" i="14"/>
  <c r="AJ26" i="14"/>
  <c r="AI26" i="14"/>
  <c r="AH26" i="14"/>
  <c r="AG26" i="14"/>
  <c r="AF26" i="14"/>
  <c r="N26" i="14"/>
  <c r="M26" i="14"/>
  <c r="L26" i="14"/>
  <c r="K26" i="14"/>
  <c r="J26" i="14"/>
  <c r="I26" i="14"/>
  <c r="H26" i="14"/>
  <c r="G26" i="14"/>
  <c r="F26" i="14"/>
  <c r="E26" i="14"/>
  <c r="D26" i="14"/>
  <c r="C26" i="14"/>
  <c r="N22" i="14"/>
  <c r="AN22" i="14" s="1"/>
  <c r="G20" i="14"/>
  <c r="AG20" i="14" s="1"/>
  <c r="F20" i="14"/>
  <c r="AF20" i="14" s="1"/>
  <c r="D20" i="14"/>
  <c r="C20" i="14"/>
  <c r="D19" i="14"/>
  <c r="C19" i="14"/>
  <c r="N18" i="14"/>
  <c r="M18" i="14"/>
  <c r="L18" i="14"/>
  <c r="K18" i="14"/>
  <c r="J18" i="14"/>
  <c r="I18" i="14"/>
  <c r="H18" i="14"/>
  <c r="G18" i="14"/>
  <c r="F18" i="14"/>
  <c r="E18" i="14"/>
  <c r="D18" i="14"/>
  <c r="C18" i="14"/>
  <c r="B15" i="14"/>
  <c r="B14" i="14"/>
  <c r="B13" i="14"/>
  <c r="AN2" i="14"/>
  <c r="AM2" i="14"/>
  <c r="AL2" i="14"/>
  <c r="AK2" i="14"/>
  <c r="AJ2" i="14"/>
  <c r="AI2" i="14"/>
  <c r="AH2" i="14"/>
  <c r="AG2" i="14"/>
  <c r="AF2" i="14"/>
  <c r="AE2" i="14"/>
  <c r="AD2" i="14"/>
  <c r="N2" i="14"/>
  <c r="M2" i="14"/>
  <c r="L2" i="14"/>
  <c r="K2" i="14"/>
  <c r="J2" i="14"/>
  <c r="I2" i="14"/>
  <c r="H2" i="14"/>
  <c r="G2" i="14"/>
  <c r="F2" i="14"/>
  <c r="E2" i="14"/>
  <c r="D2" i="14"/>
  <c r="K12" i="4"/>
  <c r="J12" i="4"/>
  <c r="I12" i="4"/>
  <c r="G12" i="4"/>
  <c r="F12" i="4"/>
  <c r="W39" i="20"/>
  <c r="V39" i="20"/>
  <c r="D38" i="20"/>
  <c r="C38" i="20"/>
  <c r="W36" i="20"/>
  <c r="V36" i="20"/>
  <c r="W35" i="20"/>
  <c r="V35" i="20"/>
  <c r="D32" i="20"/>
  <c r="C32" i="20"/>
  <c r="W20" i="20"/>
  <c r="Z20" i="20" s="1"/>
  <c r="V20" i="20"/>
  <c r="Y20" i="20" s="1"/>
  <c r="U20" i="20"/>
  <c r="W15" i="20"/>
  <c r="Z15" i="20" s="1"/>
  <c r="V15" i="20"/>
  <c r="Y15" i="20" s="1"/>
  <c r="U15" i="20"/>
  <c r="D14" i="20"/>
  <c r="C14" i="20"/>
  <c r="W10" i="20"/>
  <c r="V10" i="20"/>
  <c r="U10" i="20"/>
  <c r="W8" i="20"/>
  <c r="V8" i="20"/>
  <c r="U8" i="20"/>
  <c r="U27" i="20" s="1"/>
  <c r="F4" i="20"/>
  <c r="F14" i="21"/>
  <c r="F31" i="21" s="1"/>
  <c r="E14" i="21"/>
  <c r="D14" i="21"/>
  <c r="D31" i="21" s="1"/>
  <c r="D32" i="21" s="1"/>
  <c r="C14" i="21"/>
  <c r="C15" i="21" s="1"/>
  <c r="A14" i="21"/>
  <c r="F11" i="21"/>
  <c r="E11" i="21"/>
  <c r="E28" i="21" s="1"/>
  <c r="D11" i="21"/>
  <c r="D28" i="21" s="1"/>
  <c r="C11" i="21"/>
  <c r="A11" i="21"/>
  <c r="F7" i="21"/>
  <c r="F24" i="21" s="1"/>
  <c r="E7" i="21"/>
  <c r="D7" i="21"/>
  <c r="C7" i="21"/>
  <c r="C24" i="21" s="1"/>
  <c r="A7" i="21"/>
  <c r="F3" i="21"/>
  <c r="F20" i="21" s="1"/>
  <c r="E3" i="21"/>
  <c r="E20" i="21" s="1"/>
  <c r="D3" i="21"/>
  <c r="D20" i="21" s="1"/>
  <c r="C3" i="21"/>
  <c r="C20" i="21" s="1"/>
  <c r="E21" i="5"/>
  <c r="F21" i="5" s="1"/>
  <c r="E20" i="5"/>
  <c r="C16" i="18" s="1"/>
  <c r="D17" i="5"/>
  <c r="B14" i="18" s="1"/>
  <c r="G10" i="5"/>
  <c r="C863" i="13"/>
  <c r="D842" i="13"/>
  <c r="L841" i="13"/>
  <c r="L862" i="13" s="1"/>
  <c r="L867" i="13" s="1"/>
  <c r="K841" i="13"/>
  <c r="K862" i="13" s="1"/>
  <c r="K867" i="13" s="1"/>
  <c r="J841" i="13"/>
  <c r="J862" i="13" s="1"/>
  <c r="J867" i="13" s="1"/>
  <c r="I841" i="13"/>
  <c r="I862" i="13" s="1"/>
  <c r="I867" i="13" s="1"/>
  <c r="H841" i="13"/>
  <c r="H862" i="13" s="1"/>
  <c r="H867" i="13" s="1"/>
  <c r="G841" i="13"/>
  <c r="G862" i="13" s="1"/>
  <c r="G867" i="13" s="1"/>
  <c r="F841" i="13"/>
  <c r="F862" i="13" s="1"/>
  <c r="F867" i="13" s="1"/>
  <c r="E841" i="13"/>
  <c r="E862" i="13" s="1"/>
  <c r="E867" i="13" s="1"/>
  <c r="D841" i="13"/>
  <c r="D862" i="13" s="1"/>
  <c r="D867" i="13" s="1"/>
  <c r="C841" i="13"/>
  <c r="C862" i="13" s="1"/>
  <c r="C867" i="13" s="1"/>
  <c r="P836" i="13"/>
  <c r="O836" i="13"/>
  <c r="N836" i="13"/>
  <c r="M836" i="13"/>
  <c r="L836" i="13"/>
  <c r="K836" i="13"/>
  <c r="J836" i="13"/>
  <c r="I836" i="13"/>
  <c r="H836" i="13"/>
  <c r="G836" i="13"/>
  <c r="F836" i="13"/>
  <c r="E836" i="13"/>
  <c r="D836" i="13"/>
  <c r="C836" i="13"/>
  <c r="B832" i="13"/>
  <c r="B833" i="13" s="1"/>
  <c r="B834" i="13" s="1"/>
  <c r="B830" i="13"/>
  <c r="B804" i="13"/>
  <c r="B803" i="13"/>
  <c r="D802" i="13"/>
  <c r="D801" i="13" s="1"/>
  <c r="J800" i="13"/>
  <c r="M800" i="13" s="1"/>
  <c r="I800" i="13"/>
  <c r="L800" i="13" s="1"/>
  <c r="H800" i="13"/>
  <c r="K800" i="13" s="1"/>
  <c r="C776" i="13"/>
  <c r="D776" i="13" s="1"/>
  <c r="C779" i="13" s="1"/>
  <c r="H755" i="13"/>
  <c r="C754" i="13"/>
  <c r="D754" i="13" s="1"/>
  <c r="C753" i="13"/>
  <c r="E753" i="13" s="1"/>
  <c r="C747" i="13" s="1"/>
  <c r="C752" i="13"/>
  <c r="F752" i="13" s="1"/>
  <c r="E751" i="13"/>
  <c r="C744" i="13" s="1"/>
  <c r="F750" i="13"/>
  <c r="G804" i="13" s="1"/>
  <c r="J804" i="13" s="1"/>
  <c r="M804" i="13" s="1"/>
  <c r="E745" i="13"/>
  <c r="C745" i="13" s="1"/>
  <c r="C742" i="13"/>
  <c r="C726" i="13"/>
  <c r="F719" i="13"/>
  <c r="E719" i="13"/>
  <c r="D719" i="13"/>
  <c r="C719" i="13"/>
  <c r="F717" i="13"/>
  <c r="E717" i="13"/>
  <c r="D717" i="13"/>
  <c r="C717" i="13"/>
  <c r="D715" i="13"/>
  <c r="E715" i="13" s="1"/>
  <c r="F715" i="13" s="1"/>
  <c r="F712" i="13"/>
  <c r="E712" i="13"/>
  <c r="D712" i="13"/>
  <c r="C712" i="13"/>
  <c r="F710" i="13"/>
  <c r="E710" i="13"/>
  <c r="D710" i="13"/>
  <c r="C710" i="13"/>
  <c r="D708" i="13"/>
  <c r="E708" i="13" s="1"/>
  <c r="F708" i="13" s="1"/>
  <c r="F705" i="13"/>
  <c r="E705" i="13"/>
  <c r="D705" i="13"/>
  <c r="C705" i="13"/>
  <c r="F703" i="13"/>
  <c r="E703" i="13"/>
  <c r="D703" i="13"/>
  <c r="C703" i="13"/>
  <c r="D701" i="13"/>
  <c r="E701" i="13" s="1"/>
  <c r="F701" i="13" s="1"/>
  <c r="Q695" i="13"/>
  <c r="K719" i="13" s="1"/>
  <c r="P695" i="13"/>
  <c r="J719" i="13" s="1"/>
  <c r="O695" i="13"/>
  <c r="I719" i="13" s="1"/>
  <c r="N695" i="13"/>
  <c r="H719" i="13" s="1"/>
  <c r="M695" i="13"/>
  <c r="Q693" i="13"/>
  <c r="K717" i="13" s="1"/>
  <c r="P693" i="13"/>
  <c r="J717" i="13" s="1"/>
  <c r="O693" i="13"/>
  <c r="I717" i="13" s="1"/>
  <c r="N693" i="13"/>
  <c r="H717" i="13" s="1"/>
  <c r="M693" i="13"/>
  <c r="Q691" i="13"/>
  <c r="P691" i="13"/>
  <c r="O691" i="13"/>
  <c r="N691" i="13"/>
  <c r="M691" i="13"/>
  <c r="Q689" i="13"/>
  <c r="P689" i="13"/>
  <c r="O689" i="13"/>
  <c r="N689" i="13"/>
  <c r="M689" i="13"/>
  <c r="M685" i="13"/>
  <c r="Q683" i="13"/>
  <c r="K712" i="13" s="1"/>
  <c r="P683" i="13"/>
  <c r="J712" i="13" s="1"/>
  <c r="O683" i="13"/>
  <c r="I712" i="13" s="1"/>
  <c r="N683" i="13"/>
  <c r="H712" i="13" s="1"/>
  <c r="M683" i="13"/>
  <c r="Q681" i="13"/>
  <c r="K710" i="13" s="1"/>
  <c r="P681" i="13"/>
  <c r="J710" i="13" s="1"/>
  <c r="O681" i="13"/>
  <c r="I710" i="13" s="1"/>
  <c r="N681" i="13"/>
  <c r="H710" i="13" s="1"/>
  <c r="M681" i="13"/>
  <c r="Q679" i="13"/>
  <c r="P679" i="13"/>
  <c r="O679" i="13"/>
  <c r="N679" i="13"/>
  <c r="M679" i="13"/>
  <c r="Q677" i="13"/>
  <c r="P677" i="13"/>
  <c r="O677" i="13"/>
  <c r="N677" i="13"/>
  <c r="M677" i="13"/>
  <c r="M672" i="13"/>
  <c r="Q670" i="13"/>
  <c r="K705" i="13" s="1"/>
  <c r="P670" i="13"/>
  <c r="J705" i="13" s="1"/>
  <c r="O670" i="13"/>
  <c r="I705" i="13" s="1"/>
  <c r="N670" i="13"/>
  <c r="H705" i="13" s="1"/>
  <c r="M670" i="13"/>
  <c r="Q668" i="13"/>
  <c r="K703" i="13" s="1"/>
  <c r="P668" i="13"/>
  <c r="J703" i="13" s="1"/>
  <c r="O668" i="13"/>
  <c r="I703" i="13" s="1"/>
  <c r="N668" i="13"/>
  <c r="H703" i="13" s="1"/>
  <c r="M668" i="13"/>
  <c r="Q666" i="13"/>
  <c r="P666" i="13"/>
  <c r="O666" i="13"/>
  <c r="N666" i="13"/>
  <c r="M666" i="13"/>
  <c r="Q664" i="13"/>
  <c r="P664" i="13"/>
  <c r="O664" i="13"/>
  <c r="N664" i="13"/>
  <c r="M664" i="13"/>
  <c r="B513" i="13"/>
  <c r="B512" i="13"/>
  <c r="B511" i="13"/>
  <c r="B510" i="13"/>
  <c r="C489" i="13"/>
  <c r="C486" i="13"/>
  <c r="C488" i="13" s="1"/>
  <c r="C478" i="13"/>
  <c r="C475" i="13"/>
  <c r="C477" i="13" s="1"/>
  <c r="K465" i="13"/>
  <c r="K466" i="13" s="1"/>
  <c r="J465" i="13"/>
  <c r="J466" i="13" s="1"/>
  <c r="I465" i="13"/>
  <c r="I466" i="13" s="1"/>
  <c r="H465" i="13"/>
  <c r="H466" i="13" s="1"/>
  <c r="G465" i="13"/>
  <c r="G466" i="13" s="1"/>
  <c r="F465" i="13"/>
  <c r="F466" i="13" s="1"/>
  <c r="E465" i="13"/>
  <c r="E466" i="13" s="1"/>
  <c r="D465" i="13"/>
  <c r="D466" i="13" s="1"/>
  <c r="C465" i="13"/>
  <c r="C466" i="13" s="1"/>
  <c r="C460" i="13"/>
  <c r="C459" i="13" s="1"/>
  <c r="C456" i="13"/>
  <c r="C444" i="13"/>
  <c r="C445" i="13" s="1"/>
  <c r="C426" i="13"/>
  <c r="M409" i="13"/>
  <c r="L409" i="13"/>
  <c r="K409" i="13"/>
  <c r="J409" i="13"/>
  <c r="I409" i="13"/>
  <c r="H409" i="13"/>
  <c r="G409" i="13"/>
  <c r="F409" i="13"/>
  <c r="E409" i="13"/>
  <c r="D409" i="13"/>
  <c r="M408" i="13"/>
  <c r="L408" i="13"/>
  <c r="K408" i="13"/>
  <c r="J408" i="13"/>
  <c r="I408" i="13"/>
  <c r="H408" i="13"/>
  <c r="G408" i="13"/>
  <c r="F408" i="13"/>
  <c r="E408" i="13"/>
  <c r="D408" i="13"/>
  <c r="C408" i="13"/>
  <c r="M407" i="13"/>
  <c r="L407" i="13"/>
  <c r="K407" i="13"/>
  <c r="J407" i="13"/>
  <c r="I407" i="13"/>
  <c r="H407" i="13"/>
  <c r="G407" i="13"/>
  <c r="F407" i="13"/>
  <c r="E407" i="13"/>
  <c r="D407" i="13"/>
  <c r="N405" i="13"/>
  <c r="N396" i="13" s="1"/>
  <c r="M405" i="13"/>
  <c r="M396" i="13" s="1"/>
  <c r="L405" i="13"/>
  <c r="L396" i="13" s="1"/>
  <c r="K405" i="13"/>
  <c r="K396" i="13" s="1"/>
  <c r="J405" i="13"/>
  <c r="J396" i="13" s="1"/>
  <c r="I405" i="13"/>
  <c r="I396" i="13" s="1"/>
  <c r="H405" i="13"/>
  <c r="H396" i="13" s="1"/>
  <c r="G405" i="13"/>
  <c r="G396" i="13" s="1"/>
  <c r="F405" i="13"/>
  <c r="F396" i="13" s="1"/>
  <c r="E405" i="13"/>
  <c r="E396" i="13" s="1"/>
  <c r="D405" i="13"/>
  <c r="D396" i="13" s="1"/>
  <c r="C405" i="13"/>
  <c r="C396" i="13" s="1"/>
  <c r="N402" i="13"/>
  <c r="M402" i="13"/>
  <c r="L402" i="13"/>
  <c r="K402" i="13"/>
  <c r="J402" i="13"/>
  <c r="I402" i="13"/>
  <c r="H402" i="13"/>
  <c r="G402" i="13"/>
  <c r="E402" i="13"/>
  <c r="D402" i="13"/>
  <c r="C402" i="13"/>
  <c r="E393" i="13"/>
  <c r="D393" i="13"/>
  <c r="E392" i="13"/>
  <c r="D392" i="13"/>
  <c r="E386" i="13"/>
  <c r="E388" i="13" s="1"/>
  <c r="E389" i="13" s="1"/>
  <c r="D386" i="13"/>
  <c r="C386" i="13"/>
  <c r="B378" i="13"/>
  <c r="B377" i="13"/>
  <c r="B376" i="13"/>
  <c r="E372" i="13"/>
  <c r="E373" i="13" s="1"/>
  <c r="B364" i="13"/>
  <c r="B369" i="13" s="1"/>
  <c r="H363" i="13"/>
  <c r="H368" i="13" s="1"/>
  <c r="E363" i="13"/>
  <c r="E368" i="13" s="1"/>
  <c r="B363" i="13"/>
  <c r="B368" i="13" s="1"/>
  <c r="H362" i="13"/>
  <c r="H367" i="13" s="1"/>
  <c r="E362" i="13"/>
  <c r="E367" i="13" s="1"/>
  <c r="B362" i="13"/>
  <c r="B367" i="13" s="1"/>
  <c r="H359" i="13"/>
  <c r="G176" i="3" s="1"/>
  <c r="E359" i="13"/>
  <c r="H354" i="13"/>
  <c r="E354" i="13"/>
  <c r="F346" i="13"/>
  <c r="F348" i="13" s="1"/>
  <c r="E346" i="13"/>
  <c r="E348" i="13" s="1"/>
  <c r="E378" i="13" s="1"/>
  <c r="D346" i="13"/>
  <c r="D348" i="13" s="1"/>
  <c r="C346" i="13"/>
  <c r="C348" i="13" s="1"/>
  <c r="F340" i="13"/>
  <c r="F342" i="13" s="1"/>
  <c r="E340" i="13"/>
  <c r="E342" i="13" s="1"/>
  <c r="D340" i="13"/>
  <c r="D342" i="13" s="1"/>
  <c r="C340" i="13"/>
  <c r="C342" i="13" s="1"/>
  <c r="I297" i="13"/>
  <c r="H297" i="13"/>
  <c r="G297" i="13"/>
  <c r="F297" i="13"/>
  <c r="E297" i="13"/>
  <c r="D297" i="13"/>
  <c r="C297" i="13"/>
  <c r="F294" i="13"/>
  <c r="F293" i="13"/>
  <c r="F292" i="13"/>
  <c r="F291" i="13"/>
  <c r="C289" i="13"/>
  <c r="B289" i="13"/>
  <c r="F288" i="13"/>
  <c r="D288" i="13"/>
  <c r="F287" i="13"/>
  <c r="C284" i="13"/>
  <c r="C285" i="13" s="1"/>
  <c r="B284" i="13"/>
  <c r="B288" i="13" s="1"/>
  <c r="F283" i="13"/>
  <c r="B283" i="13"/>
  <c r="B287" i="13" s="1"/>
  <c r="F278" i="13"/>
  <c r="E272" i="13"/>
  <c r="D272" i="13"/>
  <c r="C272" i="13"/>
  <c r="D269" i="13"/>
  <c r="C269" i="13"/>
  <c r="D265" i="13"/>
  <c r="E265" i="13" s="1"/>
  <c r="F265" i="13" s="1"/>
  <c r="G265" i="13" s="1"/>
  <c r="H265" i="13" s="1"/>
  <c r="I265" i="13" s="1"/>
  <c r="J265" i="13" s="1"/>
  <c r="D258" i="13"/>
  <c r="C258" i="13"/>
  <c r="B258" i="13"/>
  <c r="B261" i="13" s="1"/>
  <c r="B257" i="13"/>
  <c r="B260" i="13" s="1"/>
  <c r="C255" i="13"/>
  <c r="C254" i="13"/>
  <c r="C260" i="13" s="1"/>
  <c r="E230" i="13"/>
  <c r="D230" i="13"/>
  <c r="C230" i="13"/>
  <c r="E228" i="13"/>
  <c r="D228" i="13"/>
  <c r="C228" i="13"/>
  <c r="E227" i="13"/>
  <c r="C227" i="13"/>
  <c r="E214" i="13"/>
  <c r="D214" i="13"/>
  <c r="C214" i="13"/>
  <c r="F213" i="13"/>
  <c r="R204" i="13"/>
  <c r="R190" i="13"/>
  <c r="R186" i="13"/>
  <c r="D181" i="13"/>
  <c r="C181" i="13"/>
  <c r="P180" i="13"/>
  <c r="P179" i="13"/>
  <c r="R175" i="13"/>
  <c r="R171" i="13"/>
  <c r="R180" i="13" s="1"/>
  <c r="R170" i="13"/>
  <c r="R179" i="13" s="1"/>
  <c r="U167" i="13"/>
  <c r="T167" i="13"/>
  <c r="R166" i="13"/>
  <c r="Q166" i="13"/>
  <c r="P166" i="13"/>
  <c r="R165" i="13"/>
  <c r="Q165" i="13"/>
  <c r="S161" i="13"/>
  <c r="D322" i="13" s="1"/>
  <c r="R161" i="13"/>
  <c r="S159" i="13"/>
  <c r="R145" i="13" s="1"/>
  <c r="R159" i="13"/>
  <c r="Q145" i="13" s="1"/>
  <c r="S152" i="13"/>
  <c r="R152" i="13"/>
  <c r="E96" i="13" s="1"/>
  <c r="Q152" i="13"/>
  <c r="D96" i="13"/>
  <c r="C77" i="13"/>
  <c r="E67" i="13"/>
  <c r="D67" i="13"/>
  <c r="C67" i="13"/>
  <c r="F65" i="13"/>
  <c r="G65" i="13" s="1"/>
  <c r="M61" i="13"/>
  <c r="L61" i="13"/>
  <c r="K61" i="13"/>
  <c r="J61" i="13"/>
  <c r="I61" i="13"/>
  <c r="H61" i="13"/>
  <c r="G61" i="13"/>
  <c r="F61" i="13"/>
  <c r="E61" i="13"/>
  <c r="D61" i="13"/>
  <c r="C61" i="13"/>
  <c r="F45" i="13"/>
  <c r="O18" i="13"/>
  <c r="N18" i="13"/>
  <c r="M18" i="13"/>
  <c r="L18" i="13"/>
  <c r="K18" i="13"/>
  <c r="J18" i="13"/>
  <c r="I18" i="13"/>
  <c r="H18" i="13"/>
  <c r="G18" i="13"/>
  <c r="F18" i="13"/>
  <c r="E18" i="13"/>
  <c r="D18" i="13"/>
  <c r="C18" i="13"/>
  <c r="O15" i="13"/>
  <c r="N15" i="13"/>
  <c r="M15" i="13"/>
  <c r="L15" i="13"/>
  <c r="K15" i="13"/>
  <c r="J15" i="13"/>
  <c r="I15" i="13"/>
  <c r="H15" i="13"/>
  <c r="G15" i="13"/>
  <c r="F15" i="13"/>
  <c r="E15" i="13"/>
  <c r="D15" i="13"/>
  <c r="C15" i="13"/>
  <c r="F9" i="13"/>
  <c r="F7" i="13"/>
  <c r="O4" i="13"/>
  <c r="N4" i="13"/>
  <c r="M4" i="13"/>
  <c r="L4" i="13"/>
  <c r="K4" i="13"/>
  <c r="J4" i="13"/>
  <c r="I4" i="13"/>
  <c r="G4" i="13"/>
  <c r="E4" i="13"/>
  <c r="E12" i="13" s="1"/>
  <c r="D4" i="13"/>
  <c r="D12" i="13" s="1"/>
  <c r="C4" i="13"/>
  <c r="C12" i="13" s="1"/>
  <c r="C520" i="10"/>
  <c r="B520" i="10"/>
  <c r="B519" i="10"/>
  <c r="C518" i="10"/>
  <c r="B518" i="10"/>
  <c r="B516" i="10"/>
  <c r="C515" i="10"/>
  <c r="B515" i="10"/>
  <c r="C514" i="10"/>
  <c r="B514" i="10"/>
  <c r="B513" i="10"/>
  <c r="C512" i="10"/>
  <c r="B512" i="10"/>
  <c r="E508" i="10"/>
  <c r="D508" i="10"/>
  <c r="C508" i="10"/>
  <c r="B508" i="10"/>
  <c r="E507" i="10"/>
  <c r="D507" i="10"/>
  <c r="C507" i="10"/>
  <c r="B507" i="10"/>
  <c r="E506" i="10"/>
  <c r="D506" i="10"/>
  <c r="C506" i="10"/>
  <c r="B506" i="10"/>
  <c r="C505" i="10"/>
  <c r="B505" i="10"/>
  <c r="F500" i="10"/>
  <c r="E500" i="10"/>
  <c r="D500" i="10"/>
  <c r="C500" i="10"/>
  <c r="A500" i="10"/>
  <c r="B495" i="10"/>
  <c r="B494" i="10"/>
  <c r="A494" i="10"/>
  <c r="B492" i="10"/>
  <c r="B491" i="10"/>
  <c r="B489" i="10"/>
  <c r="B488" i="10"/>
  <c r="B487" i="10"/>
  <c r="B482" i="10"/>
  <c r="A482" i="10"/>
  <c r="E481" i="10"/>
  <c r="D481" i="10"/>
  <c r="B481" i="10"/>
  <c r="A481" i="10"/>
  <c r="D480" i="10"/>
  <c r="D472" i="10" s="1"/>
  <c r="C480" i="10"/>
  <c r="C472" i="10" s="1"/>
  <c r="B480" i="10"/>
  <c r="A480" i="10"/>
  <c r="I473" i="10"/>
  <c r="H473" i="10"/>
  <c r="A473" i="10"/>
  <c r="D471" i="10"/>
  <c r="C471" i="10"/>
  <c r="C470" i="10"/>
  <c r="C504" i="10" s="1"/>
  <c r="B470" i="10"/>
  <c r="B504" i="10" s="1"/>
  <c r="A470" i="10"/>
  <c r="B467" i="10"/>
  <c r="A467" i="10"/>
  <c r="A461" i="10"/>
  <c r="O460" i="10"/>
  <c r="N460" i="10"/>
  <c r="M460" i="10"/>
  <c r="L460" i="10"/>
  <c r="K460" i="10"/>
  <c r="J460" i="10"/>
  <c r="I460" i="10"/>
  <c r="H460" i="10"/>
  <c r="G460" i="10"/>
  <c r="F460" i="10"/>
  <c r="E460" i="10"/>
  <c r="D460" i="10"/>
  <c r="C460" i="10"/>
  <c r="A460" i="10"/>
  <c r="A459" i="10"/>
  <c r="H457" i="10"/>
  <c r="G457" i="10"/>
  <c r="E457" i="10"/>
  <c r="D457" i="10"/>
  <c r="C457" i="10"/>
  <c r="A457" i="10"/>
  <c r="A456" i="10"/>
  <c r="O455" i="10"/>
  <c r="O466" i="10" s="1"/>
  <c r="B455" i="10"/>
  <c r="B466" i="10" s="1"/>
  <c r="A455" i="10"/>
  <c r="A466" i="10" s="1"/>
  <c r="E454" i="10"/>
  <c r="D454" i="10"/>
  <c r="C454" i="10"/>
  <c r="B454" i="10"/>
  <c r="A454" i="10"/>
  <c r="O453" i="10"/>
  <c r="N453" i="10"/>
  <c r="M453" i="10"/>
  <c r="L453" i="10"/>
  <c r="K453" i="10"/>
  <c r="J453" i="10"/>
  <c r="I453" i="10"/>
  <c r="H453" i="10"/>
  <c r="G453" i="10"/>
  <c r="F453" i="10"/>
  <c r="E453" i="10"/>
  <c r="D453" i="10"/>
  <c r="C453" i="10"/>
  <c r="B453" i="10"/>
  <c r="A453" i="10"/>
  <c r="O452" i="10"/>
  <c r="O486" i="10" s="1"/>
  <c r="O504" i="10" s="1"/>
  <c r="N452" i="10"/>
  <c r="N486" i="10" s="1"/>
  <c r="N504" i="10" s="1"/>
  <c r="M452" i="10"/>
  <c r="M486" i="10" s="1"/>
  <c r="M504" i="10" s="1"/>
  <c r="L452" i="10"/>
  <c r="L486" i="10" s="1"/>
  <c r="L504" i="10" s="1"/>
  <c r="K452" i="10"/>
  <c r="K486" i="10" s="1"/>
  <c r="K504" i="10" s="1"/>
  <c r="J452" i="10"/>
  <c r="J486" i="10" s="1"/>
  <c r="J504" i="10" s="1"/>
  <c r="I452" i="10"/>
  <c r="I486" i="10" s="1"/>
  <c r="I504" i="10" s="1"/>
  <c r="H452" i="10"/>
  <c r="H486" i="10" s="1"/>
  <c r="H504" i="10" s="1"/>
  <c r="G452" i="10"/>
  <c r="G486" i="10" s="1"/>
  <c r="G504" i="10" s="1"/>
  <c r="F452" i="10"/>
  <c r="F486" i="10" s="1"/>
  <c r="F504" i="10" s="1"/>
  <c r="E452" i="10"/>
  <c r="E486" i="10" s="1"/>
  <c r="E504" i="10" s="1"/>
  <c r="D452" i="10"/>
  <c r="D486" i="10" s="1"/>
  <c r="D504" i="10" s="1"/>
  <c r="C452" i="10"/>
  <c r="C486" i="10" s="1"/>
  <c r="B452" i="10"/>
  <c r="B486" i="10" s="1"/>
  <c r="F432" i="10"/>
  <c r="F431" i="10"/>
  <c r="F430" i="10"/>
  <c r="E392" i="10"/>
  <c r="D392" i="10"/>
  <c r="V388" i="10" s="1"/>
  <c r="C392" i="10"/>
  <c r="U388" i="10" s="1"/>
  <c r="T390" i="10"/>
  <c r="E390" i="10"/>
  <c r="D390" i="10"/>
  <c r="C390" i="10"/>
  <c r="X388" i="10"/>
  <c r="T388" i="10"/>
  <c r="E380" i="10"/>
  <c r="F373" i="10"/>
  <c r="E373" i="10"/>
  <c r="D373" i="10"/>
  <c r="C373" i="10"/>
  <c r="G358" i="10"/>
  <c r="H358" i="10" s="1"/>
  <c r="I358" i="10" s="1"/>
  <c r="J358" i="10" s="1"/>
  <c r="K358" i="10" s="1"/>
  <c r="L358" i="10" s="1"/>
  <c r="M358" i="10" s="1"/>
  <c r="N358" i="10" s="1"/>
  <c r="O358" i="10" s="1"/>
  <c r="E358" i="10"/>
  <c r="D358" i="10"/>
  <c r="C358" i="10"/>
  <c r="B358" i="10"/>
  <c r="I353" i="10"/>
  <c r="J353" i="10" s="1"/>
  <c r="K353" i="10" s="1"/>
  <c r="L353" i="10" s="1"/>
  <c r="M353" i="10" s="1"/>
  <c r="N353" i="10" s="1"/>
  <c r="O353" i="10" s="1"/>
  <c r="G346" i="10"/>
  <c r="H346" i="10" s="1"/>
  <c r="I346" i="10" s="1"/>
  <c r="J346" i="10" s="1"/>
  <c r="K346" i="10" s="1"/>
  <c r="L346" i="10" s="1"/>
  <c r="M346" i="10" s="1"/>
  <c r="N346" i="10" s="1"/>
  <c r="O346" i="10" s="1"/>
  <c r="O345" i="10"/>
  <c r="N345" i="10"/>
  <c r="M345" i="10"/>
  <c r="L345" i="10"/>
  <c r="K345" i="10"/>
  <c r="J345" i="10"/>
  <c r="I345" i="10"/>
  <c r="H345" i="10"/>
  <c r="G345" i="10"/>
  <c r="F345" i="10"/>
  <c r="E345" i="10"/>
  <c r="D345" i="10"/>
  <c r="C345" i="10"/>
  <c r="B345" i="10"/>
  <c r="K340" i="10"/>
  <c r="L340" i="10" s="1"/>
  <c r="M340" i="10" s="1"/>
  <c r="N340" i="10" s="1"/>
  <c r="O340" i="10" s="1"/>
  <c r="G333" i="10"/>
  <c r="H333" i="10" s="1"/>
  <c r="E333" i="10"/>
  <c r="D333" i="10"/>
  <c r="C333" i="10"/>
  <c r="B333" i="10"/>
  <c r="E332" i="10"/>
  <c r="F331" i="10"/>
  <c r="F332" i="10" s="1"/>
  <c r="O325" i="10"/>
  <c r="N324" i="10"/>
  <c r="N325" i="10" s="1"/>
  <c r="J318" i="10"/>
  <c r="K318" i="10" s="1"/>
  <c r="L318" i="10" s="1"/>
  <c r="M318" i="10" s="1"/>
  <c r="N318" i="10" s="1"/>
  <c r="O318" i="10" s="1"/>
  <c r="G318" i="10"/>
  <c r="B317" i="10"/>
  <c r="F272" i="13"/>
  <c r="F288" i="10"/>
  <c r="G288" i="10" s="1"/>
  <c r="H288" i="10" s="1"/>
  <c r="I288" i="10" s="1"/>
  <c r="P287" i="10"/>
  <c r="F287" i="10"/>
  <c r="E287" i="10"/>
  <c r="D287" i="10"/>
  <c r="C287" i="10"/>
  <c r="A287" i="10"/>
  <c r="F284" i="10"/>
  <c r="G284" i="10" s="1"/>
  <c r="H284" i="10" s="1"/>
  <c r="I284" i="10" s="1"/>
  <c r="P283" i="10"/>
  <c r="F283" i="10"/>
  <c r="E283" i="10"/>
  <c r="D283" i="10"/>
  <c r="C283" i="10"/>
  <c r="A283" i="10"/>
  <c r="F272" i="10"/>
  <c r="G272" i="10" s="1"/>
  <c r="C268" i="10"/>
  <c r="H267" i="10"/>
  <c r="I267" i="10" s="1"/>
  <c r="J267" i="10" s="1"/>
  <c r="K267" i="10" s="1"/>
  <c r="L267" i="10" s="1"/>
  <c r="M267" i="10" s="1"/>
  <c r="N267" i="10" s="1"/>
  <c r="O267" i="10" s="1"/>
  <c r="E266" i="10"/>
  <c r="F266" i="10" s="1"/>
  <c r="G266" i="10" s="1"/>
  <c r="H266" i="10" s="1"/>
  <c r="I266" i="10" s="1"/>
  <c r="J266" i="10" s="1"/>
  <c r="K266" i="10" s="1"/>
  <c r="L266" i="10" s="1"/>
  <c r="M266" i="10" s="1"/>
  <c r="N266" i="10" s="1"/>
  <c r="O266" i="10" s="1"/>
  <c r="D265" i="10"/>
  <c r="F260" i="10"/>
  <c r="E260" i="10"/>
  <c r="D260" i="10"/>
  <c r="C260" i="10"/>
  <c r="F249" i="10"/>
  <c r="G249" i="10" s="1"/>
  <c r="H249" i="10" s="1"/>
  <c r="I249" i="10" s="1"/>
  <c r="J249" i="10" s="1"/>
  <c r="K249" i="10" s="1"/>
  <c r="L249" i="10" s="1"/>
  <c r="M249" i="10" s="1"/>
  <c r="N249" i="10" s="1"/>
  <c r="O249" i="10" s="1"/>
  <c r="F248" i="10"/>
  <c r="D244" i="10"/>
  <c r="C244" i="10"/>
  <c r="C519" i="10" s="1"/>
  <c r="G243" i="10"/>
  <c r="H243" i="10" s="1"/>
  <c r="I243" i="10" s="1"/>
  <c r="J243" i="10" s="1"/>
  <c r="K243" i="10" s="1"/>
  <c r="L243" i="10" s="1"/>
  <c r="M243" i="10" s="1"/>
  <c r="N243" i="10" s="1"/>
  <c r="O243" i="10" s="1"/>
  <c r="G242" i="10"/>
  <c r="H242" i="10" s="1"/>
  <c r="I242" i="10" s="1"/>
  <c r="J242" i="10" s="1"/>
  <c r="K242" i="10" s="1"/>
  <c r="L242" i="10" s="1"/>
  <c r="M242" i="10" s="1"/>
  <c r="N242" i="10" s="1"/>
  <c r="O242" i="10" s="1"/>
  <c r="E241" i="10"/>
  <c r="F241" i="10" s="1"/>
  <c r="F236" i="10"/>
  <c r="E236" i="10"/>
  <c r="D236" i="10"/>
  <c r="C236" i="10"/>
  <c r="G235" i="10"/>
  <c r="H235" i="10" s="1"/>
  <c r="H236" i="10" s="1"/>
  <c r="E212" i="10"/>
  <c r="D212" i="10"/>
  <c r="F197" i="10"/>
  <c r="E197" i="10"/>
  <c r="D197" i="10"/>
  <c r="C197" i="10"/>
  <c r="E494" i="10"/>
  <c r="D494" i="10"/>
  <c r="C494" i="10"/>
  <c r="F157" i="10"/>
  <c r="E36" i="14" s="1"/>
  <c r="O156" i="10"/>
  <c r="N37" i="14" s="1"/>
  <c r="AN37" i="14" s="1"/>
  <c r="E156" i="10"/>
  <c r="D37" i="14" s="1"/>
  <c r="D156" i="10"/>
  <c r="C37" i="14" s="1"/>
  <c r="C156" i="10"/>
  <c r="C155" i="10" s="1"/>
  <c r="B156" i="10"/>
  <c r="B157" i="10" s="1"/>
  <c r="F155" i="10"/>
  <c r="E38" i="14" s="1"/>
  <c r="E139" i="10"/>
  <c r="D139" i="10"/>
  <c r="C139" i="10"/>
  <c r="G131" i="10"/>
  <c r="F131" i="10"/>
  <c r="E131" i="10"/>
  <c r="E162" i="10" s="1"/>
  <c r="D131" i="10"/>
  <c r="C131" i="10"/>
  <c r="C162" i="10" s="1"/>
  <c r="F126" i="10"/>
  <c r="E28" i="14" s="1"/>
  <c r="O125" i="10"/>
  <c r="N29" i="14" s="1"/>
  <c r="AN29" i="14" s="1"/>
  <c r="E125" i="10"/>
  <c r="D29" i="14" s="1"/>
  <c r="D125" i="10"/>
  <c r="C29" i="14" s="1"/>
  <c r="C125" i="10"/>
  <c r="C124" i="10" s="1"/>
  <c r="B125" i="10"/>
  <c r="B126" i="10" s="1"/>
  <c r="F124" i="10"/>
  <c r="F125" i="10" s="1"/>
  <c r="D109" i="10"/>
  <c r="D63" i="10" s="1"/>
  <c r="C109" i="10"/>
  <c r="C63" i="10" s="1"/>
  <c r="D107" i="10"/>
  <c r="D61" i="10" s="1"/>
  <c r="C107" i="10"/>
  <c r="C61" i="10" s="1"/>
  <c r="D89" i="10"/>
  <c r="C89" i="10"/>
  <c r="I73" i="10"/>
  <c r="J73" i="10" s="1"/>
  <c r="F73" i="10"/>
  <c r="O72" i="10"/>
  <c r="E72" i="10"/>
  <c r="E71" i="10" s="1"/>
  <c r="D72" i="10"/>
  <c r="C72" i="10"/>
  <c r="C456" i="10" s="1"/>
  <c r="B72" i="10"/>
  <c r="B456" i="10" s="1"/>
  <c r="D37" i="10"/>
  <c r="C37" i="10"/>
  <c r="U389" i="10" s="1"/>
  <c r="D35" i="10"/>
  <c r="C35" i="10"/>
  <c r="C499" i="10" s="1"/>
  <c r="F18" i="10"/>
  <c r="F20" i="10" s="1"/>
  <c r="E18" i="10"/>
  <c r="E20" i="10" s="1"/>
  <c r="D18" i="10"/>
  <c r="D20" i="10" s="1"/>
  <c r="C18" i="10"/>
  <c r="C20" i="10" s="1"/>
  <c r="F14" i="10"/>
  <c r="D8" i="10"/>
  <c r="D317" i="10" s="1"/>
  <c r="C8" i="10"/>
  <c r="H4" i="10"/>
  <c r="H360" i="10" s="1"/>
  <c r="G4" i="10"/>
  <c r="F4" i="10"/>
  <c r="F360" i="10" s="1"/>
  <c r="E4" i="10"/>
  <c r="D4" i="10"/>
  <c r="D213" i="10" s="1"/>
  <c r="C4" i="10"/>
  <c r="C213" i="10" s="1"/>
  <c r="AE291" i="19"/>
  <c r="AE288" i="19"/>
  <c r="AE285" i="19"/>
  <c r="M263" i="19"/>
  <c r="L263" i="19"/>
  <c r="K263" i="19"/>
  <c r="H263" i="19"/>
  <c r="G263" i="19"/>
  <c r="F263" i="19"/>
  <c r="E263" i="19"/>
  <c r="D263" i="19"/>
  <c r="D261" i="19"/>
  <c r="D260" i="19"/>
  <c r="M256" i="19"/>
  <c r="L256" i="19"/>
  <c r="K256" i="19"/>
  <c r="H256" i="19"/>
  <c r="G256" i="19"/>
  <c r="F256" i="19"/>
  <c r="E256" i="19"/>
  <c r="D256" i="19"/>
  <c r="D254" i="19"/>
  <c r="D253" i="19"/>
  <c r="M244" i="19"/>
  <c r="L244" i="19"/>
  <c r="K244" i="19"/>
  <c r="H244" i="19"/>
  <c r="G244" i="19"/>
  <c r="F244" i="19"/>
  <c r="E244" i="19"/>
  <c r="M243" i="19"/>
  <c r="L243" i="19"/>
  <c r="K243" i="19"/>
  <c r="G243" i="19"/>
  <c r="F243" i="19"/>
  <c r="E243" i="19"/>
  <c r="M233" i="19"/>
  <c r="M251" i="19" s="1"/>
  <c r="L233" i="19"/>
  <c r="L251" i="19" s="1"/>
  <c r="K233" i="19"/>
  <c r="K251" i="19" s="1"/>
  <c r="H233" i="19"/>
  <c r="H251" i="19" s="1"/>
  <c r="G233" i="19"/>
  <c r="G251" i="19" s="1"/>
  <c r="F233" i="19"/>
  <c r="F251" i="19" s="1"/>
  <c r="E233" i="19"/>
  <c r="E251" i="19" s="1"/>
  <c r="D233" i="19"/>
  <c r="D251" i="19" s="1"/>
  <c r="C233" i="19"/>
  <c r="C251" i="19" s="1"/>
  <c r="T183" i="19"/>
  <c r="T187" i="19" s="1"/>
  <c r="K197" i="19" s="1"/>
  <c r="S183" i="19"/>
  <c r="R183" i="19"/>
  <c r="Q183" i="19"/>
  <c r="Q187" i="19" s="1"/>
  <c r="P183" i="19"/>
  <c r="P187" i="19" s="1"/>
  <c r="O183" i="19"/>
  <c r="O186" i="19" s="1"/>
  <c r="D196" i="19" s="1"/>
  <c r="N183" i="19"/>
  <c r="M183" i="19"/>
  <c r="L183" i="19"/>
  <c r="K183" i="19"/>
  <c r="H183" i="19"/>
  <c r="G183" i="19"/>
  <c r="F183" i="19"/>
  <c r="F187" i="19" s="1"/>
  <c r="T181" i="19"/>
  <c r="S181" i="19"/>
  <c r="R181" i="19"/>
  <c r="Q181" i="19"/>
  <c r="P181" i="19"/>
  <c r="O181" i="19"/>
  <c r="N181" i="19"/>
  <c r="M181" i="19"/>
  <c r="L181" i="19"/>
  <c r="K181" i="19"/>
  <c r="H181" i="19"/>
  <c r="G181" i="19"/>
  <c r="F181" i="19"/>
  <c r="E160" i="19"/>
  <c r="D160" i="19"/>
  <c r="C160" i="19"/>
  <c r="M156" i="19"/>
  <c r="L156" i="19"/>
  <c r="K156" i="19"/>
  <c r="H156" i="19"/>
  <c r="G156" i="19"/>
  <c r="F156" i="19"/>
  <c r="M155" i="19"/>
  <c r="L155" i="19"/>
  <c r="K155" i="19"/>
  <c r="H155" i="19"/>
  <c r="G155" i="19"/>
  <c r="F155" i="19"/>
  <c r="M153" i="19"/>
  <c r="L153" i="19"/>
  <c r="K153" i="19"/>
  <c r="H153" i="19"/>
  <c r="G153" i="19"/>
  <c r="F153" i="19"/>
  <c r="E153" i="19"/>
  <c r="D153" i="19"/>
  <c r="C153" i="19"/>
  <c r="M152" i="19"/>
  <c r="L152" i="19"/>
  <c r="K152" i="19"/>
  <c r="H152" i="19"/>
  <c r="G152" i="19"/>
  <c r="F152" i="19"/>
  <c r="E152" i="19"/>
  <c r="D152" i="19"/>
  <c r="C152" i="19"/>
  <c r="AC107" i="19"/>
  <c r="AB107" i="19"/>
  <c r="AA107" i="19"/>
  <c r="Z107" i="19"/>
  <c r="AC106" i="19"/>
  <c r="AB106" i="19"/>
  <c r="AA106" i="19"/>
  <c r="Z106" i="19"/>
  <c r="H92" i="19"/>
  <c r="G92" i="19"/>
  <c r="F92" i="19"/>
  <c r="E92" i="19"/>
  <c r="D92" i="19"/>
  <c r="C92" i="19"/>
  <c r="G88" i="19"/>
  <c r="F88" i="19"/>
  <c r="E88" i="19"/>
  <c r="D88" i="19"/>
  <c r="G77" i="19"/>
  <c r="F77" i="19"/>
  <c r="G72" i="19"/>
  <c r="H73" i="19" s="1"/>
  <c r="F72" i="19"/>
  <c r="E72" i="19"/>
  <c r="D72" i="19"/>
  <c r="B13" i="19"/>
  <c r="B12" i="19"/>
  <c r="B9" i="19"/>
  <c r="K14" i="19"/>
  <c r="M382" i="3"/>
  <c r="K382" i="3"/>
  <c r="J382" i="3"/>
  <c r="I382" i="3"/>
  <c r="H382" i="3"/>
  <c r="G370" i="3"/>
  <c r="M248" i="19"/>
  <c r="M247" i="19"/>
  <c r="H243" i="19"/>
  <c r="U356" i="3"/>
  <c r="Z364" i="3" s="1"/>
  <c r="T356" i="3"/>
  <c r="Y364" i="3" s="1"/>
  <c r="X364" i="3"/>
  <c r="G242" i="19"/>
  <c r="F242" i="19"/>
  <c r="M348" i="3"/>
  <c r="M265" i="3" s="1"/>
  <c r="K348" i="3"/>
  <c r="J348" i="3"/>
  <c r="I348" i="3"/>
  <c r="J265" i="3" s="1"/>
  <c r="H348" i="3"/>
  <c r="G348" i="3"/>
  <c r="M347" i="3"/>
  <c r="K347" i="3"/>
  <c r="C235" i="19" s="1"/>
  <c r="J347" i="3"/>
  <c r="I347" i="3"/>
  <c r="J261" i="3" s="1"/>
  <c r="H347" i="3"/>
  <c r="G347" i="3"/>
  <c r="C333" i="3"/>
  <c r="C278" i="19" s="1"/>
  <c r="F328" i="3"/>
  <c r="E159" i="19" s="1"/>
  <c r="E328" i="3"/>
  <c r="D159" i="19" s="1"/>
  <c r="D328" i="3"/>
  <c r="C159" i="19" s="1"/>
  <c r="L318" i="3"/>
  <c r="L317" i="3"/>
  <c r="K317" i="3" s="1"/>
  <c r="L316" i="3"/>
  <c r="K316" i="3" s="1"/>
  <c r="L315" i="3"/>
  <c r="K315" i="3" s="1"/>
  <c r="L314" i="3"/>
  <c r="K314" i="3" s="1"/>
  <c r="T308" i="3"/>
  <c r="V306" i="3"/>
  <c r="U306" i="3"/>
  <c r="T306" i="3"/>
  <c r="T309" i="3" s="1"/>
  <c r="M306" i="3"/>
  <c r="M309" i="3" s="1"/>
  <c r="L306" i="3"/>
  <c r="K306" i="3"/>
  <c r="K309" i="3" s="1"/>
  <c r="J306" i="3"/>
  <c r="J309" i="3" s="1"/>
  <c r="I306" i="3"/>
  <c r="I309" i="3" s="1"/>
  <c r="M303" i="3"/>
  <c r="J303" i="3"/>
  <c r="I303" i="3"/>
  <c r="H303" i="3"/>
  <c r="L302" i="3"/>
  <c r="M301" i="3"/>
  <c r="J301" i="3"/>
  <c r="I301" i="3"/>
  <c r="H301" i="3"/>
  <c r="M282" i="3"/>
  <c r="K282" i="3"/>
  <c r="M280" i="3"/>
  <c r="K280" i="3"/>
  <c r="J280" i="3"/>
  <c r="I280" i="3"/>
  <c r="H280" i="3"/>
  <c r="G280" i="3"/>
  <c r="F280" i="3"/>
  <c r="E280" i="3"/>
  <c r="D280" i="3"/>
  <c r="B270" i="3"/>
  <c r="B275" i="3" s="1"/>
  <c r="B280" i="3" s="1"/>
  <c r="B269" i="3"/>
  <c r="B274" i="3" s="1"/>
  <c r="B279" i="3" s="1"/>
  <c r="B268" i="3"/>
  <c r="B273" i="3" s="1"/>
  <c r="B278" i="3" s="1"/>
  <c r="M257" i="3"/>
  <c r="D266" i="19" s="1"/>
  <c r="K257" i="3"/>
  <c r="C266" i="19" s="1"/>
  <c r="J257" i="3"/>
  <c r="I257" i="3"/>
  <c r="H257" i="3"/>
  <c r="K254" i="3"/>
  <c r="C263" i="19" s="1"/>
  <c r="M253" i="3"/>
  <c r="L253" i="3"/>
  <c r="L255" i="3" s="1"/>
  <c r="J253" i="3"/>
  <c r="J255" i="3" s="1"/>
  <c r="H253" i="3"/>
  <c r="H255" i="3" s="1"/>
  <c r="K252" i="3"/>
  <c r="K251" i="3"/>
  <c r="K247" i="3"/>
  <c r="C256" i="19" s="1"/>
  <c r="M246" i="3"/>
  <c r="D255" i="19" s="1"/>
  <c r="L246" i="3"/>
  <c r="L248" i="3" s="1"/>
  <c r="J246" i="3"/>
  <c r="J248" i="3" s="1"/>
  <c r="H246" i="3"/>
  <c r="H248" i="3" s="1"/>
  <c r="K245" i="3"/>
  <c r="M206" i="3"/>
  <c r="K206" i="3"/>
  <c r="K327" i="3" s="1"/>
  <c r="J206" i="3"/>
  <c r="I206" i="3"/>
  <c r="H206" i="3"/>
  <c r="G206" i="3"/>
  <c r="D208" i="19"/>
  <c r="E207" i="19"/>
  <c r="C207" i="19"/>
  <c r="M198" i="3"/>
  <c r="K198" i="3"/>
  <c r="J198" i="3"/>
  <c r="I198" i="3"/>
  <c r="H198" i="3"/>
  <c r="M197" i="3"/>
  <c r="K197" i="3"/>
  <c r="J197" i="3"/>
  <c r="I197" i="3"/>
  <c r="H197" i="3"/>
  <c r="M194" i="3"/>
  <c r="K194" i="3"/>
  <c r="J194" i="3"/>
  <c r="I194" i="3"/>
  <c r="H194" i="3"/>
  <c r="H75" i="3" s="1"/>
  <c r="G194" i="3"/>
  <c r="C82" i="19" s="1"/>
  <c r="C194" i="3"/>
  <c r="K183" i="3"/>
  <c r="J183" i="3"/>
  <c r="I183" i="3"/>
  <c r="L182" i="3"/>
  <c r="G182" i="3"/>
  <c r="I177" i="3"/>
  <c r="M176" i="3"/>
  <c r="AF166" i="3"/>
  <c r="AE166" i="3"/>
  <c r="AF156" i="3"/>
  <c r="AE156" i="3"/>
  <c r="AF93" i="3"/>
  <c r="AE93" i="3"/>
  <c r="AD93" i="3"/>
  <c r="L93" i="3"/>
  <c r="AF91" i="3"/>
  <c r="AE91" i="3"/>
  <c r="AD91" i="3"/>
  <c r="L91" i="3"/>
  <c r="AF85" i="3"/>
  <c r="AE85" i="3"/>
  <c r="AD85" i="3"/>
  <c r="V85" i="3"/>
  <c r="U85" i="3" s="1"/>
  <c r="Z85" i="3"/>
  <c r="Q85" i="3"/>
  <c r="L85" i="3"/>
  <c r="M83" i="3"/>
  <c r="G381" i="19" s="1"/>
  <c r="K83" i="3"/>
  <c r="F381" i="19" s="1"/>
  <c r="J83" i="3"/>
  <c r="E381" i="19" s="1"/>
  <c r="I83" i="3"/>
  <c r="D381" i="19" s="1"/>
  <c r="H83" i="3"/>
  <c r="C381" i="19" s="1"/>
  <c r="G83" i="3"/>
  <c r="F83" i="3"/>
  <c r="E83" i="3"/>
  <c r="AF80" i="3"/>
  <c r="AE80" i="3"/>
  <c r="AD80" i="3"/>
  <c r="V80" i="3"/>
  <c r="U80" i="3" s="1"/>
  <c r="T83" i="3"/>
  <c r="AO83" i="3" s="1"/>
  <c r="Q80" i="3"/>
  <c r="L80" i="3"/>
  <c r="AF77" i="3"/>
  <c r="AE77" i="3"/>
  <c r="AD77" i="3"/>
  <c r="L77" i="3"/>
  <c r="AF71" i="3"/>
  <c r="AE71" i="3"/>
  <c r="AD71" i="3"/>
  <c r="L71" i="3"/>
  <c r="AF68" i="3"/>
  <c r="AE68" i="3"/>
  <c r="AD68" i="3"/>
  <c r="L68" i="3"/>
  <c r="M63" i="3"/>
  <c r="G380" i="19" s="1"/>
  <c r="G385" i="19" s="1"/>
  <c r="G390" i="19" s="1"/>
  <c r="K63" i="3"/>
  <c r="F380" i="19" s="1"/>
  <c r="F385" i="19" s="1"/>
  <c r="F390" i="19" s="1"/>
  <c r="J63" i="3"/>
  <c r="E380" i="19" s="1"/>
  <c r="E385" i="19" s="1"/>
  <c r="E390" i="19" s="1"/>
  <c r="I63" i="3"/>
  <c r="D380" i="19" s="1"/>
  <c r="D385" i="19" s="1"/>
  <c r="D390" i="19" s="1"/>
  <c r="G63" i="3"/>
  <c r="F63" i="3"/>
  <c r="E63" i="3"/>
  <c r="M55" i="3"/>
  <c r="K55" i="3"/>
  <c r="J55" i="3"/>
  <c r="I55" i="3"/>
  <c r="H55" i="3"/>
  <c r="B55" i="3"/>
  <c r="M54" i="3"/>
  <c r="K54" i="3"/>
  <c r="J54" i="3"/>
  <c r="I54" i="3"/>
  <c r="H54" i="3"/>
  <c r="B54" i="3"/>
  <c r="B53" i="3"/>
  <c r="M48" i="3"/>
  <c r="AM48" i="3" s="1"/>
  <c r="K48" i="3"/>
  <c r="AK48" i="3" s="1"/>
  <c r="J48" i="3"/>
  <c r="AJ48" i="3" s="1"/>
  <c r="I48" i="3"/>
  <c r="H48" i="3"/>
  <c r="G48" i="3"/>
  <c r="F48" i="3"/>
  <c r="E48" i="3"/>
  <c r="AH38" i="3"/>
  <c r="AF38" i="3"/>
  <c r="AE38" i="3"/>
  <c r="AD38" i="3"/>
  <c r="L38" i="3"/>
  <c r="AH36" i="3"/>
  <c r="AF36" i="3"/>
  <c r="AE36" i="3"/>
  <c r="AD36" i="3"/>
  <c r="K29" i="3"/>
  <c r="K31" i="3" s="1"/>
  <c r="J29" i="3"/>
  <c r="J31" i="3" s="1"/>
  <c r="I29" i="3"/>
  <c r="I31" i="3" s="1"/>
  <c r="AH25" i="3"/>
  <c r="AF25" i="3"/>
  <c r="AE25" i="3"/>
  <c r="AD25" i="3"/>
  <c r="AH14" i="3"/>
  <c r="AF14" i="3"/>
  <c r="AE14" i="3"/>
  <c r="AD14" i="3"/>
  <c r="AH7" i="3"/>
  <c r="AF7" i="3"/>
  <c r="AE7" i="3"/>
  <c r="AD7" i="3"/>
  <c r="K103" i="3"/>
  <c r="G6" i="3"/>
  <c r="F6" i="3"/>
  <c r="E6" i="3"/>
  <c r="E69" i="3" s="1"/>
  <c r="AF2" i="3"/>
  <c r="AE2" i="3"/>
  <c r="AD2" i="3"/>
  <c r="AC2" i="3"/>
  <c r="E127" i="8"/>
  <c r="E129" i="8" s="1"/>
  <c r="D127" i="8"/>
  <c r="D129" i="8" s="1"/>
  <c r="F126" i="8"/>
  <c r="G125" i="8"/>
  <c r="F125" i="8"/>
  <c r="E120" i="8"/>
  <c r="E122" i="8" s="1"/>
  <c r="D120" i="8"/>
  <c r="D122" i="8" s="1"/>
  <c r="F119" i="8"/>
  <c r="G118" i="8"/>
  <c r="F118" i="8"/>
  <c r="H113" i="8"/>
  <c r="E113" i="8"/>
  <c r="D113" i="8"/>
  <c r="H125" i="8"/>
  <c r="H109" i="8"/>
  <c r="I109" i="8" s="1"/>
  <c r="J109" i="8" s="1"/>
  <c r="K109" i="8" s="1"/>
  <c r="E109" i="8"/>
  <c r="D109" i="8"/>
  <c r="C109" i="8"/>
  <c r="I108" i="8"/>
  <c r="H104" i="8"/>
  <c r="I104" i="8" s="1"/>
  <c r="G103" i="8"/>
  <c r="F103" i="8"/>
  <c r="H99" i="8"/>
  <c r="G99" i="8"/>
  <c r="G98" i="8"/>
  <c r="I95" i="8"/>
  <c r="I99" i="8" s="1"/>
  <c r="H94" i="8"/>
  <c r="I94" i="8" s="1"/>
  <c r="H93" i="8"/>
  <c r="G93" i="8"/>
  <c r="G97" i="8" s="1"/>
  <c r="F93" i="8"/>
  <c r="F91" i="8"/>
  <c r="E91" i="8"/>
  <c r="E95" i="8" s="1"/>
  <c r="D91" i="8"/>
  <c r="D95" i="8" s="1"/>
  <c r="C91" i="8"/>
  <c r="C95" i="8" s="1"/>
  <c r="C112" i="8" s="1"/>
  <c r="F90" i="8"/>
  <c r="E90" i="8"/>
  <c r="E94" i="8" s="1"/>
  <c r="D90" i="8"/>
  <c r="D94" i="8" s="1"/>
  <c r="C90" i="8"/>
  <c r="C94" i="8" s="1"/>
  <c r="C108" i="8" s="1"/>
  <c r="F87" i="8"/>
  <c r="G91" i="8" s="1"/>
  <c r="G87" i="8" s="1"/>
  <c r="F86" i="8"/>
  <c r="F85" i="8" s="1"/>
  <c r="G89" i="8" s="1"/>
  <c r="E85" i="8"/>
  <c r="E103" i="8" s="1"/>
  <c r="E104" i="8" s="1"/>
  <c r="D85" i="8"/>
  <c r="D103" i="8" s="1"/>
  <c r="D104" i="8" s="1"/>
  <c r="C85" i="8"/>
  <c r="C103" i="8" s="1"/>
  <c r="C104" i="8" s="1"/>
  <c r="B85" i="8"/>
  <c r="B103" i="8" s="1"/>
  <c r="B104" i="8" s="1"/>
  <c r="C80" i="8"/>
  <c r="E73" i="8"/>
  <c r="D73" i="8"/>
  <c r="C73" i="8"/>
  <c r="C80" i="14" s="1"/>
  <c r="B73" i="8"/>
  <c r="H72" i="8"/>
  <c r="G69" i="8"/>
  <c r="H69" i="8" s="1"/>
  <c r="N68" i="8"/>
  <c r="M68" i="8"/>
  <c r="L68" i="8"/>
  <c r="K68" i="8"/>
  <c r="J68" i="8"/>
  <c r="I68" i="8"/>
  <c r="H68" i="8"/>
  <c r="G68" i="8"/>
  <c r="F68" i="8"/>
  <c r="E68" i="8"/>
  <c r="D68" i="8"/>
  <c r="E67" i="8"/>
  <c r="E69" i="8" s="1"/>
  <c r="F70" i="8" s="1"/>
  <c r="D67" i="8"/>
  <c r="D69" i="8" s="1"/>
  <c r="C67" i="8"/>
  <c r="C69" i="8" s="1"/>
  <c r="B67" i="8"/>
  <c r="B69" i="8" s="1"/>
  <c r="C53" i="13" s="1"/>
  <c r="E65" i="8"/>
  <c r="D65" i="8"/>
  <c r="C65" i="8"/>
  <c r="C79" i="14" s="1"/>
  <c r="B65" i="8"/>
  <c r="B64" i="8" s="1"/>
  <c r="G51" i="8"/>
  <c r="H51" i="8" s="1"/>
  <c r="A50" i="8"/>
  <c r="A55" i="8" s="1"/>
  <c r="F47" i="8"/>
  <c r="G46" i="8"/>
  <c r="H46" i="8" s="1"/>
  <c r="I46" i="8" s="1"/>
  <c r="J46" i="8" s="1"/>
  <c r="K46" i="8" s="1"/>
  <c r="L46" i="8" s="1"/>
  <c r="M46" i="8" s="1"/>
  <c r="N46" i="8" s="1"/>
  <c r="E33" i="8"/>
  <c r="D33" i="8"/>
  <c r="D64" i="14" s="1"/>
  <c r="C33" i="8"/>
  <c r="C64" i="14" s="1"/>
  <c r="B33" i="8"/>
  <c r="B26" i="8" s="1"/>
  <c r="C26" i="8"/>
  <c r="N21" i="8"/>
  <c r="M21" i="8"/>
  <c r="L21" i="8"/>
  <c r="K21" i="8"/>
  <c r="J21" i="8"/>
  <c r="I21" i="8"/>
  <c r="H21" i="8"/>
  <c r="G21" i="8"/>
  <c r="F21" i="8"/>
  <c r="E21" i="8"/>
  <c r="D21" i="8"/>
  <c r="D22" i="8" s="1"/>
  <c r="C21" i="8"/>
  <c r="B21" i="8"/>
  <c r="C20" i="8"/>
  <c r="E19" i="8"/>
  <c r="E20" i="8" s="1"/>
  <c r="E22" i="8" s="1"/>
  <c r="E18" i="8"/>
  <c r="D18" i="8"/>
  <c r="C18" i="8"/>
  <c r="G17" i="8"/>
  <c r="H17" i="8" s="1"/>
  <c r="C9" i="8"/>
  <c r="D473" i="10" s="1"/>
  <c r="B9" i="8"/>
  <c r="C473" i="10" s="1"/>
  <c r="D7" i="8"/>
  <c r="C7" i="8"/>
  <c r="C61" i="14" s="1"/>
  <c r="C60" i="14" s="1"/>
  <c r="B7" i="8"/>
  <c r="H191" i="2"/>
  <c r="I191" i="2" s="1"/>
  <c r="J191" i="2" s="1"/>
  <c r="K191" i="2" s="1"/>
  <c r="L191" i="2" s="1"/>
  <c r="M191" i="2" s="1"/>
  <c r="N191" i="2" s="1"/>
  <c r="O191" i="2" s="1"/>
  <c r="F190" i="2"/>
  <c r="C447" i="13" s="1"/>
  <c r="E190" i="2"/>
  <c r="E185" i="2" s="1"/>
  <c r="D190" i="2"/>
  <c r="D185" i="2" s="1"/>
  <c r="B12" i="18" s="1"/>
  <c r="C190" i="2"/>
  <c r="C185" i="2" s="1"/>
  <c r="H189" i="2"/>
  <c r="I189" i="2" s="1"/>
  <c r="J189" i="2" s="1"/>
  <c r="K189" i="2" s="1"/>
  <c r="L189" i="2" s="1"/>
  <c r="M189" i="2" s="1"/>
  <c r="N189" i="2" s="1"/>
  <c r="O189" i="2" s="1"/>
  <c r="H188" i="2"/>
  <c r="I188" i="2" s="1"/>
  <c r="J188" i="2" s="1"/>
  <c r="K188" i="2" s="1"/>
  <c r="L188" i="2" s="1"/>
  <c r="M188" i="2" s="1"/>
  <c r="N188" i="2" s="1"/>
  <c r="O188" i="2" s="1"/>
  <c r="H186" i="2"/>
  <c r="I186" i="2" s="1"/>
  <c r="J186" i="2" s="1"/>
  <c r="K186" i="2" s="1"/>
  <c r="L186" i="2" s="1"/>
  <c r="M186" i="2" s="1"/>
  <c r="N186" i="2" s="1"/>
  <c r="O186" i="2" s="1"/>
  <c r="H184" i="2"/>
  <c r="I184" i="2" s="1"/>
  <c r="J184" i="2" s="1"/>
  <c r="K184" i="2" s="1"/>
  <c r="L184" i="2" s="1"/>
  <c r="H183" i="2"/>
  <c r="I183" i="2" s="1"/>
  <c r="J183" i="2" s="1"/>
  <c r="K183" i="2" s="1"/>
  <c r="L183" i="2" s="1"/>
  <c r="M183" i="2" s="1"/>
  <c r="N183" i="2" s="1"/>
  <c r="O183" i="2" s="1"/>
  <c r="H182" i="2"/>
  <c r="I182" i="2" s="1"/>
  <c r="J182" i="2" s="1"/>
  <c r="K182" i="2" s="1"/>
  <c r="L182" i="2" s="1"/>
  <c r="M182" i="2" s="1"/>
  <c r="N182" i="2" s="1"/>
  <c r="O182" i="2" s="1"/>
  <c r="H181" i="2"/>
  <c r="I181" i="2" s="1"/>
  <c r="J181" i="2" s="1"/>
  <c r="K181" i="2" s="1"/>
  <c r="L181" i="2" s="1"/>
  <c r="M181" i="2" s="1"/>
  <c r="N181" i="2" s="1"/>
  <c r="O181" i="2" s="1"/>
  <c r="H180" i="2"/>
  <c r="I180" i="2" s="1"/>
  <c r="J180" i="2" s="1"/>
  <c r="K180" i="2" s="1"/>
  <c r="L180" i="2" s="1"/>
  <c r="M180" i="2" s="1"/>
  <c r="N180" i="2" s="1"/>
  <c r="O180" i="2" s="1"/>
  <c r="H179" i="2"/>
  <c r="I179" i="2" s="1"/>
  <c r="J179" i="2" s="1"/>
  <c r="K179" i="2" s="1"/>
  <c r="L179" i="2" s="1"/>
  <c r="M179" i="2" s="1"/>
  <c r="N179" i="2" s="1"/>
  <c r="O179" i="2" s="1"/>
  <c r="H178" i="2"/>
  <c r="I178" i="2" s="1"/>
  <c r="J178" i="2" s="1"/>
  <c r="K178" i="2" s="1"/>
  <c r="L178" i="2" s="1"/>
  <c r="M178" i="2" s="1"/>
  <c r="N178" i="2" s="1"/>
  <c r="O178" i="2" s="1"/>
  <c r="H177" i="2"/>
  <c r="I177" i="2" s="1"/>
  <c r="J177" i="2" s="1"/>
  <c r="K177" i="2" s="1"/>
  <c r="L177" i="2" s="1"/>
  <c r="M177" i="2" s="1"/>
  <c r="N177" i="2" s="1"/>
  <c r="O177" i="2" s="1"/>
  <c r="H176" i="2"/>
  <c r="I176" i="2" s="1"/>
  <c r="J176" i="2" s="1"/>
  <c r="K176" i="2" s="1"/>
  <c r="L176" i="2" s="1"/>
  <c r="M176" i="2" s="1"/>
  <c r="N176" i="2" s="1"/>
  <c r="O176" i="2" s="1"/>
  <c r="H175" i="2"/>
  <c r="I175" i="2" s="1"/>
  <c r="J175" i="2" s="1"/>
  <c r="K175" i="2" s="1"/>
  <c r="L175" i="2" s="1"/>
  <c r="M175" i="2" s="1"/>
  <c r="N175" i="2" s="1"/>
  <c r="O175" i="2" s="1"/>
  <c r="F172" i="2"/>
  <c r="E172" i="2"/>
  <c r="D172" i="2"/>
  <c r="C172" i="2"/>
  <c r="H171" i="2"/>
  <c r="I171" i="2" s="1"/>
  <c r="J171" i="2" s="1"/>
  <c r="K171" i="2" s="1"/>
  <c r="L171" i="2" s="1"/>
  <c r="M171" i="2" s="1"/>
  <c r="N171" i="2" s="1"/>
  <c r="O171" i="2" s="1"/>
  <c r="H170" i="2"/>
  <c r="I170" i="2" s="1"/>
  <c r="J170" i="2" s="1"/>
  <c r="K170" i="2" s="1"/>
  <c r="L170" i="2" s="1"/>
  <c r="M170" i="2" s="1"/>
  <c r="N170" i="2" s="1"/>
  <c r="O170" i="2" s="1"/>
  <c r="H169" i="2"/>
  <c r="F168" i="2"/>
  <c r="E168" i="2"/>
  <c r="D168" i="2"/>
  <c r="C168" i="2"/>
  <c r="H165" i="2"/>
  <c r="I165" i="2" s="1"/>
  <c r="J165" i="2" s="1"/>
  <c r="K165" i="2" s="1"/>
  <c r="L165" i="2" s="1"/>
  <c r="M165" i="2" s="1"/>
  <c r="N165" i="2" s="1"/>
  <c r="O165" i="2" s="1"/>
  <c r="H164" i="2"/>
  <c r="I164" i="2" s="1"/>
  <c r="J164" i="2" s="1"/>
  <c r="K164" i="2" s="1"/>
  <c r="L164" i="2" s="1"/>
  <c r="M164" i="2" s="1"/>
  <c r="N164" i="2" s="1"/>
  <c r="O164" i="2" s="1"/>
  <c r="H163" i="2"/>
  <c r="I163" i="2" s="1"/>
  <c r="J163" i="2" s="1"/>
  <c r="K163" i="2" s="1"/>
  <c r="L163" i="2" s="1"/>
  <c r="M163" i="2" s="1"/>
  <c r="N163" i="2" s="1"/>
  <c r="O163" i="2" s="1"/>
  <c r="H162" i="2"/>
  <c r="F161" i="2"/>
  <c r="E161" i="2"/>
  <c r="D161" i="2"/>
  <c r="C161" i="2"/>
  <c r="H160" i="2"/>
  <c r="I160" i="2" s="1"/>
  <c r="J160" i="2" s="1"/>
  <c r="K160" i="2" s="1"/>
  <c r="L160" i="2" s="1"/>
  <c r="M160" i="2" s="1"/>
  <c r="N160" i="2" s="1"/>
  <c r="O160" i="2" s="1"/>
  <c r="H159" i="2"/>
  <c r="I159" i="2" s="1"/>
  <c r="J159" i="2" s="1"/>
  <c r="K159" i="2" s="1"/>
  <c r="K101" i="2" s="1"/>
  <c r="H158" i="2"/>
  <c r="I158" i="2" s="1"/>
  <c r="J158" i="2" s="1"/>
  <c r="K158" i="2" s="1"/>
  <c r="L158" i="2" s="1"/>
  <c r="M158" i="2" s="1"/>
  <c r="N158" i="2" s="1"/>
  <c r="O158" i="2" s="1"/>
  <c r="F157" i="2"/>
  <c r="D152" i="2"/>
  <c r="C327" i="3" s="1"/>
  <c r="P330" i="3" s="1"/>
  <c r="C152" i="2"/>
  <c r="F150" i="2"/>
  <c r="E150" i="2"/>
  <c r="D150" i="2"/>
  <c r="C150" i="2"/>
  <c r="H149" i="2"/>
  <c r="I149" i="2" s="1"/>
  <c r="J149" i="2" s="1"/>
  <c r="K149" i="2" s="1"/>
  <c r="L149" i="2" s="1"/>
  <c r="M149" i="2" s="1"/>
  <c r="N149" i="2" s="1"/>
  <c r="O149" i="2" s="1"/>
  <c r="H148" i="2"/>
  <c r="I148" i="2" s="1"/>
  <c r="J148" i="2" s="1"/>
  <c r="K148" i="2" s="1"/>
  <c r="L148" i="2" s="1"/>
  <c r="M148" i="2" s="1"/>
  <c r="N148" i="2" s="1"/>
  <c r="O148" i="2" s="1"/>
  <c r="H147" i="2"/>
  <c r="H96" i="2" s="1"/>
  <c r="F146" i="2"/>
  <c r="E146" i="2"/>
  <c r="D146" i="2"/>
  <c r="C146" i="2"/>
  <c r="E132" i="2"/>
  <c r="F130" i="2" s="1"/>
  <c r="D132" i="2"/>
  <c r="E130" i="2" s="1"/>
  <c r="C132" i="2"/>
  <c r="D130" i="2" s="1"/>
  <c r="H119" i="2"/>
  <c r="I119" i="2" s="1"/>
  <c r="J119" i="2" s="1"/>
  <c r="K119" i="2" s="1"/>
  <c r="L119" i="2" s="1"/>
  <c r="M119" i="2" s="1"/>
  <c r="N119" i="2" s="1"/>
  <c r="O119" i="2" s="1"/>
  <c r="H118" i="2"/>
  <c r="I118" i="2" s="1"/>
  <c r="J118" i="2" s="1"/>
  <c r="K118" i="2" s="1"/>
  <c r="L118" i="2" s="1"/>
  <c r="M118" i="2" s="1"/>
  <c r="N118" i="2" s="1"/>
  <c r="O118" i="2" s="1"/>
  <c r="H117" i="2"/>
  <c r="I117" i="2" s="1"/>
  <c r="G114" i="2"/>
  <c r="F114" i="2"/>
  <c r="E114" i="2"/>
  <c r="D114" i="2"/>
  <c r="C114" i="2"/>
  <c r="H113" i="2"/>
  <c r="I113" i="2" s="1"/>
  <c r="J113" i="2" s="1"/>
  <c r="K113" i="2" s="1"/>
  <c r="L113" i="2" s="1"/>
  <c r="M113" i="2" s="1"/>
  <c r="N113" i="2" s="1"/>
  <c r="O113" i="2" s="1"/>
  <c r="G109" i="2"/>
  <c r="F109" i="2"/>
  <c r="E109" i="2"/>
  <c r="D109" i="2"/>
  <c r="C109" i="2"/>
  <c r="H108" i="2"/>
  <c r="I108" i="2" s="1"/>
  <c r="J108" i="2" s="1"/>
  <c r="K108" i="2" s="1"/>
  <c r="L108" i="2" s="1"/>
  <c r="M108" i="2" s="1"/>
  <c r="N108" i="2" s="1"/>
  <c r="O108" i="2" s="1"/>
  <c r="G96" i="2"/>
  <c r="F95" i="2"/>
  <c r="E95" i="2"/>
  <c r="D95" i="2"/>
  <c r="C95" i="2"/>
  <c r="H91" i="2"/>
  <c r="I91" i="2" s="1"/>
  <c r="J91" i="2" s="1"/>
  <c r="K91" i="2" s="1"/>
  <c r="L91" i="2" s="1"/>
  <c r="M91" i="2" s="1"/>
  <c r="N91" i="2" s="1"/>
  <c r="O91" i="2" s="1"/>
  <c r="H89" i="2"/>
  <c r="I89" i="2" s="1"/>
  <c r="J89" i="2" s="1"/>
  <c r="K89" i="2" s="1"/>
  <c r="L89" i="2" s="1"/>
  <c r="M89" i="2" s="1"/>
  <c r="N89" i="2" s="1"/>
  <c r="O89" i="2" s="1"/>
  <c r="F66" i="2"/>
  <c r="C295" i="13" s="1"/>
  <c r="F295" i="13" s="1"/>
  <c r="H63" i="2"/>
  <c r="I63" i="2" s="1"/>
  <c r="J63" i="2" s="1"/>
  <c r="K63" i="2" s="1"/>
  <c r="L63" i="2" s="1"/>
  <c r="M63" i="2" s="1"/>
  <c r="N63" i="2" s="1"/>
  <c r="O63" i="2" s="1"/>
  <c r="E63" i="2"/>
  <c r="F62" i="2"/>
  <c r="C277" i="13" s="1"/>
  <c r="D283" i="13" s="1"/>
  <c r="F40" i="2"/>
  <c r="F136" i="2" s="1"/>
  <c r="E40" i="2"/>
  <c r="D84" i="14" s="1"/>
  <c r="D40" i="2"/>
  <c r="C84" i="14" s="1"/>
  <c r="C40" i="2"/>
  <c r="H27" i="2"/>
  <c r="I27" i="2" s="1"/>
  <c r="J27" i="2" s="1"/>
  <c r="K27" i="2" s="1"/>
  <c r="L27" i="2" s="1"/>
  <c r="M27" i="2" s="1"/>
  <c r="N27" i="2" s="1"/>
  <c r="O27" i="2" s="1"/>
  <c r="H23" i="2"/>
  <c r="I23" i="2" s="1"/>
  <c r="J23" i="2" s="1"/>
  <c r="K23" i="2" s="1"/>
  <c r="L23" i="2" s="1"/>
  <c r="M23" i="2" s="1"/>
  <c r="N23" i="2" s="1"/>
  <c r="O23" i="2" s="1"/>
  <c r="D18" i="2"/>
  <c r="D13" i="2"/>
  <c r="C13" i="2"/>
  <c r="H10" i="2"/>
  <c r="D629" i="13" s="1"/>
  <c r="C629" i="13"/>
  <c r="D4" i="2"/>
  <c r="D23" i="2" s="1"/>
  <c r="C4" i="2"/>
  <c r="C52" i="2" s="1"/>
  <c r="H380" i="19" l="1"/>
  <c r="H385" i="19" s="1"/>
  <c r="H390" i="19" s="1"/>
  <c r="AN63" i="3"/>
  <c r="H381" i="19"/>
  <c r="H382" i="19" s="1"/>
  <c r="AN83" i="3"/>
  <c r="K41" i="3"/>
  <c r="I41" i="3"/>
  <c r="E63" i="19" s="1"/>
  <c r="G386" i="19"/>
  <c r="G387" i="19" s="1"/>
  <c r="G382" i="19"/>
  <c r="F386" i="19"/>
  <c r="F387" i="19" s="1"/>
  <c r="F382" i="19"/>
  <c r="C386" i="19"/>
  <c r="C387" i="19" s="1"/>
  <c r="C382" i="19"/>
  <c r="D386" i="19"/>
  <c r="D387" i="19" s="1"/>
  <c r="D382" i="19"/>
  <c r="E386" i="19"/>
  <c r="E387" i="19" s="1"/>
  <c r="E382" i="19"/>
  <c r="V27" i="20"/>
  <c r="Y8" i="20"/>
  <c r="W27" i="20"/>
  <c r="Z8" i="20"/>
  <c r="V4" i="20"/>
  <c r="Y4" i="20" s="1"/>
  <c r="K4" i="20"/>
  <c r="P4" i="20" s="1"/>
  <c r="C10" i="19"/>
  <c r="M10" i="19" s="1"/>
  <c r="AM63" i="3"/>
  <c r="H87" i="3"/>
  <c r="I65" i="3"/>
  <c r="D10" i="19"/>
  <c r="N10" i="19" s="1"/>
  <c r="AM83" i="3"/>
  <c r="I87" i="3"/>
  <c r="J87" i="3"/>
  <c r="K87" i="3"/>
  <c r="M87" i="3"/>
  <c r="N87" i="3"/>
  <c r="AJ83" i="3"/>
  <c r="AK83" i="3"/>
  <c r="J41" i="3"/>
  <c r="N41" i="3"/>
  <c r="I63" i="19" s="1"/>
  <c r="M41" i="3"/>
  <c r="O18" i="3"/>
  <c r="I46" i="19" s="1"/>
  <c r="O41" i="3"/>
  <c r="J63" i="19" s="1"/>
  <c r="H41" i="3"/>
  <c r="D63" i="19" s="1"/>
  <c r="G41" i="3"/>
  <c r="C63" i="19" s="1"/>
  <c r="C24" i="19"/>
  <c r="M24" i="19" s="1"/>
  <c r="M185" i="3"/>
  <c r="I327" i="3"/>
  <c r="J18" i="3"/>
  <c r="J327" i="3"/>
  <c r="K18" i="3"/>
  <c r="M18" i="3"/>
  <c r="N18" i="3"/>
  <c r="H46" i="19" s="1"/>
  <c r="G327" i="3"/>
  <c r="F160" i="19" s="1"/>
  <c r="H18" i="3"/>
  <c r="C46" i="19" s="1"/>
  <c r="G18" i="3"/>
  <c r="H327" i="3"/>
  <c r="I18" i="3"/>
  <c r="D46" i="19" s="1"/>
  <c r="G4" i="20"/>
  <c r="L4" i="20" s="1"/>
  <c r="Q4" i="20" s="1"/>
  <c r="F20" i="5"/>
  <c r="G20" i="5" s="1"/>
  <c r="H20" i="5" s="1"/>
  <c r="I20" i="5" s="1"/>
  <c r="J20" i="5" s="1"/>
  <c r="K20" i="5" s="1"/>
  <c r="L20" i="5" s="1"/>
  <c r="M20" i="5" s="1"/>
  <c r="N20" i="5" s="1"/>
  <c r="O20" i="5" s="1"/>
  <c r="H103" i="10"/>
  <c r="H39" i="10" s="1"/>
  <c r="M327" i="3"/>
  <c r="M219" i="3"/>
  <c r="G889" i="13" s="1"/>
  <c r="G891" i="13" s="1"/>
  <c r="G892" i="13" s="1"/>
  <c r="N327" i="3"/>
  <c r="N160" i="19" s="1"/>
  <c r="N219" i="3"/>
  <c r="H889" i="13" s="1"/>
  <c r="H891" i="13" s="1"/>
  <c r="H892" i="13" s="1"/>
  <c r="V17" i="20"/>
  <c r="U17" i="20"/>
  <c r="U22" i="20" s="1"/>
  <c r="W17" i="20"/>
  <c r="U39" i="20"/>
  <c r="I17" i="8"/>
  <c r="D34" i="8"/>
  <c r="I72" i="8"/>
  <c r="J72" i="8" s="1"/>
  <c r="K72" i="8" s="1"/>
  <c r="L72" i="8" s="1"/>
  <c r="M72" i="8" s="1"/>
  <c r="N72" i="8" s="1"/>
  <c r="AA27" i="3"/>
  <c r="Z27" i="3" s="1"/>
  <c r="D26" i="8"/>
  <c r="E6" i="2" s="1"/>
  <c r="C71" i="14"/>
  <c r="K242" i="19"/>
  <c r="M242" i="19"/>
  <c r="U364" i="3"/>
  <c r="M246" i="19" s="1"/>
  <c r="D167" i="2"/>
  <c r="D166" i="2" s="1"/>
  <c r="P331" i="3"/>
  <c r="P336" i="3"/>
  <c r="C5" i="20"/>
  <c r="E5" i="2"/>
  <c r="C4" i="8"/>
  <c r="C6" i="20"/>
  <c r="D71" i="14"/>
  <c r="D80" i="14"/>
  <c r="E10" i="2"/>
  <c r="C13" i="20" s="1"/>
  <c r="E79" i="14"/>
  <c r="AE79" i="14" s="1"/>
  <c r="F8" i="2"/>
  <c r="E80" i="14"/>
  <c r="AE80" i="14" s="1"/>
  <c r="F10" i="2"/>
  <c r="D79" i="14"/>
  <c r="E8" i="2"/>
  <c r="D64" i="8"/>
  <c r="C34" i="8"/>
  <c r="E64" i="8"/>
  <c r="H97" i="8"/>
  <c r="D98" i="8"/>
  <c r="C89" i="8"/>
  <c r="C93" i="8" s="1"/>
  <c r="D89" i="8"/>
  <c r="D93" i="8" s="1"/>
  <c r="G90" i="8"/>
  <c r="G86" i="8" s="1"/>
  <c r="C64" i="8"/>
  <c r="G126" i="8"/>
  <c r="G127" i="8" s="1"/>
  <c r="G129" i="8" s="1"/>
  <c r="J221" i="10"/>
  <c r="K221" i="10" s="1"/>
  <c r="L221" i="10" s="1"/>
  <c r="M221" i="10" s="1"/>
  <c r="N221" i="10" s="1"/>
  <c r="O221" i="10" s="1"/>
  <c r="D4" i="8"/>
  <c r="D5" i="8" s="1"/>
  <c r="I132" i="10"/>
  <c r="J132" i="10"/>
  <c r="K132" i="10"/>
  <c r="L132" i="10"/>
  <c r="M132" i="10"/>
  <c r="N132" i="10"/>
  <c r="O132" i="10"/>
  <c r="H132" i="10"/>
  <c r="E123" i="10"/>
  <c r="D27" i="14" s="1"/>
  <c r="F162" i="10"/>
  <c r="G162" i="10"/>
  <c r="G163" i="10" s="1"/>
  <c r="G132" i="10"/>
  <c r="G331" i="10"/>
  <c r="G332" i="10" s="1"/>
  <c r="D155" i="10"/>
  <c r="C38" i="14" s="1"/>
  <c r="B11" i="18"/>
  <c r="C11" i="18"/>
  <c r="C52" i="14"/>
  <c r="J103" i="3"/>
  <c r="J75" i="3"/>
  <c r="N171" i="3"/>
  <c r="N103" i="3"/>
  <c r="N75" i="3"/>
  <c r="I39" i="3"/>
  <c r="I103" i="3"/>
  <c r="I75" i="3"/>
  <c r="C4" i="19"/>
  <c r="M103" i="3"/>
  <c r="M75" i="3"/>
  <c r="H91" i="8"/>
  <c r="H87" i="8" s="1"/>
  <c r="J104" i="8"/>
  <c r="I103" i="8"/>
  <c r="L109" i="8"/>
  <c r="B4" i="8"/>
  <c r="C5" i="8" s="1"/>
  <c r="D112" i="8"/>
  <c r="D99" i="8"/>
  <c r="J94" i="8"/>
  <c r="I98" i="8"/>
  <c r="I93" i="8"/>
  <c r="I97" i="8" s="1"/>
  <c r="E112" i="8"/>
  <c r="F99" i="8"/>
  <c r="E99" i="8"/>
  <c r="H126" i="8"/>
  <c r="H127" i="8" s="1"/>
  <c r="H129" i="8" s="1"/>
  <c r="E98" i="8"/>
  <c r="E108" i="8"/>
  <c r="F98" i="8"/>
  <c r="D131" i="8"/>
  <c r="E131" i="8"/>
  <c r="I113" i="8"/>
  <c r="E505" i="10"/>
  <c r="E26" i="8"/>
  <c r="F6" i="2" s="1"/>
  <c r="E89" i="8"/>
  <c r="E93" i="8" s="1"/>
  <c r="H98" i="8"/>
  <c r="H103" i="8"/>
  <c r="G119" i="8"/>
  <c r="G120" i="8" s="1"/>
  <c r="G122" i="8" s="1"/>
  <c r="E34" i="8"/>
  <c r="F34" i="8"/>
  <c r="F89" i="8"/>
  <c r="E64" i="14"/>
  <c r="E7" i="8"/>
  <c r="F5" i="2" s="1"/>
  <c r="D61" i="14"/>
  <c r="D60" i="14" s="1"/>
  <c r="D108" i="8"/>
  <c r="J95" i="8"/>
  <c r="D505" i="10"/>
  <c r="D510" i="10" s="1"/>
  <c r="D515" i="10" s="1"/>
  <c r="C22" i="8"/>
  <c r="F167" i="2"/>
  <c r="I101" i="2"/>
  <c r="E8" i="21"/>
  <c r="C8" i="21"/>
  <c r="H105" i="2"/>
  <c r="J101" i="2"/>
  <c r="E84" i="14"/>
  <c r="AE84" i="14" s="1"/>
  <c r="I105" i="2"/>
  <c r="L159" i="2"/>
  <c r="M159" i="2" s="1"/>
  <c r="N159" i="2" s="1"/>
  <c r="O159" i="2" s="1"/>
  <c r="O101" i="2" s="1"/>
  <c r="F185" i="2"/>
  <c r="D12" i="18" s="1"/>
  <c r="G101" i="2"/>
  <c r="C25" i="21"/>
  <c r="D143" i="2"/>
  <c r="D142" i="2" s="1"/>
  <c r="D11" i="17" s="1"/>
  <c r="H101" i="2"/>
  <c r="D24" i="5"/>
  <c r="F64" i="2"/>
  <c r="F17" i="5" s="1"/>
  <c r="F24" i="5" s="1"/>
  <c r="C167" i="2"/>
  <c r="C166" i="2" s="1"/>
  <c r="E62" i="2"/>
  <c r="E64" i="2" s="1"/>
  <c r="E77" i="2" s="1"/>
  <c r="D19" i="2"/>
  <c r="J105" i="2"/>
  <c r="K105" i="2"/>
  <c r="F12" i="21"/>
  <c r="D52" i="2"/>
  <c r="G105" i="2"/>
  <c r="G168" i="2"/>
  <c r="C12" i="18"/>
  <c r="F183" i="14"/>
  <c r="F184" i="14" s="1"/>
  <c r="F187" i="14" s="1"/>
  <c r="F193" i="14" s="1"/>
  <c r="C27" i="2"/>
  <c r="E12" i="21"/>
  <c r="E24" i="21"/>
  <c r="E25" i="21" s="1"/>
  <c r="F8" i="21"/>
  <c r="D29" i="21"/>
  <c r="C31" i="21"/>
  <c r="C32" i="21" s="1"/>
  <c r="C9" i="2"/>
  <c r="H114" i="2"/>
  <c r="B81" i="8"/>
  <c r="D12" i="21"/>
  <c r="G146" i="2"/>
  <c r="G21" i="5"/>
  <c r="C8" i="15" s="1"/>
  <c r="E29" i="21"/>
  <c r="D15" i="21"/>
  <c r="M184" i="2"/>
  <c r="L105" i="2"/>
  <c r="C28" i="21"/>
  <c r="C29" i="21" s="1"/>
  <c r="C12" i="21"/>
  <c r="D9" i="2"/>
  <c r="C15" i="2"/>
  <c r="C35" i="2"/>
  <c r="F71" i="2"/>
  <c r="F72" i="2" s="1"/>
  <c r="E167" i="2"/>
  <c r="E166" i="2" s="1"/>
  <c r="E53" i="13"/>
  <c r="D213" i="13"/>
  <c r="D15" i="2"/>
  <c r="D35" i="2"/>
  <c r="C143" i="2"/>
  <c r="C142" i="2" s="1"/>
  <c r="C4" i="17" s="1"/>
  <c r="C842" i="13"/>
  <c r="E213" i="13"/>
  <c r="D24" i="21"/>
  <c r="D25" i="21" s="1"/>
  <c r="D8" i="21"/>
  <c r="J117" i="2"/>
  <c r="I114" i="2"/>
  <c r="I162" i="2"/>
  <c r="H161" i="2"/>
  <c r="I147" i="2"/>
  <c r="H146" i="2"/>
  <c r="X629" i="13"/>
  <c r="N629" i="13"/>
  <c r="D27" i="2"/>
  <c r="C50" i="2"/>
  <c r="F25" i="21"/>
  <c r="H25" i="21" s="1"/>
  <c r="D53" i="13"/>
  <c r="C213" i="13"/>
  <c r="W629" i="13"/>
  <c r="M629" i="13"/>
  <c r="C23" i="2"/>
  <c r="D24" i="2" s="1"/>
  <c r="H157" i="2"/>
  <c r="I157" i="2" s="1"/>
  <c r="J157" i="2" s="1"/>
  <c r="K157" i="2" s="1"/>
  <c r="L157" i="2" s="1"/>
  <c r="M157" i="2" s="1"/>
  <c r="N157" i="2" s="1"/>
  <c r="O157" i="2" s="1"/>
  <c r="I169" i="2"/>
  <c r="H168" i="2"/>
  <c r="L83" i="3"/>
  <c r="D165" i="14"/>
  <c r="D168" i="14" s="1"/>
  <c r="B3" i="18"/>
  <c r="B2" i="18"/>
  <c r="B9" i="18" s="1"/>
  <c r="C73" i="14"/>
  <c r="C81" i="8"/>
  <c r="E171" i="14"/>
  <c r="E174" i="14" s="1"/>
  <c r="E176" i="14" s="1"/>
  <c r="G161" i="2"/>
  <c r="F171" i="14"/>
  <c r="F174" i="14" s="1"/>
  <c r="F176" i="14" s="1"/>
  <c r="F97" i="14" s="1"/>
  <c r="F99" i="14" s="1"/>
  <c r="F114" i="14" s="1"/>
  <c r="F28" i="21"/>
  <c r="F29" i="21" s="1"/>
  <c r="H29" i="21" s="1"/>
  <c r="I29" i="21" s="1"/>
  <c r="J29" i="21" s="1"/>
  <c r="K29" i="21" s="1"/>
  <c r="L29" i="21" s="1"/>
  <c r="M29" i="21" s="1"/>
  <c r="N29" i="21" s="1"/>
  <c r="O29" i="21" s="1"/>
  <c r="E31" i="21"/>
  <c r="D16" i="18"/>
  <c r="D18" i="5"/>
  <c r="D22" i="5" s="1"/>
  <c r="D26" i="5" s="1"/>
  <c r="D73" i="19"/>
  <c r="M29" i="3"/>
  <c r="M31" i="3" s="1"/>
  <c r="M30" i="3"/>
  <c r="M32" i="3" s="1"/>
  <c r="H66" i="19" s="1"/>
  <c r="N39" i="3"/>
  <c r="D4" i="19"/>
  <c r="H81" i="3"/>
  <c r="H39" i="3"/>
  <c r="J39" i="3"/>
  <c r="AJ6" i="3"/>
  <c r="G170" i="3"/>
  <c r="G172" i="3" s="1"/>
  <c r="G39" i="3"/>
  <c r="K72" i="3"/>
  <c r="K39" i="3"/>
  <c r="M81" i="3"/>
  <c r="M39" i="3"/>
  <c r="I51" i="8"/>
  <c r="F269" i="13"/>
  <c r="E269" i="13"/>
  <c r="C591" i="13"/>
  <c r="C528" i="13"/>
  <c r="M528" i="13" s="1"/>
  <c r="D591" i="13"/>
  <c r="X591" i="13" s="1"/>
  <c r="D528" i="13"/>
  <c r="N528" i="13" s="1"/>
  <c r="N261" i="3"/>
  <c r="N265" i="3"/>
  <c r="L242" i="19"/>
  <c r="O292" i="3"/>
  <c r="O293" i="3" s="1"/>
  <c r="O200" i="3"/>
  <c r="G330" i="3"/>
  <c r="G331" i="3" s="1"/>
  <c r="O330" i="3"/>
  <c r="E492" i="10"/>
  <c r="I235" i="10"/>
  <c r="I236" i="10" s="1"/>
  <c r="M324" i="10"/>
  <c r="M325" i="10" s="1"/>
  <c r="D491" i="10"/>
  <c r="C59" i="10"/>
  <c r="D492" i="10"/>
  <c r="E491" i="10"/>
  <c r="E9" i="10"/>
  <c r="C71" i="10"/>
  <c r="C455" i="10" s="1"/>
  <c r="C466" i="10" s="1"/>
  <c r="D124" i="10"/>
  <c r="C30" i="14" s="1"/>
  <c r="F9" i="10"/>
  <c r="E154" i="10"/>
  <c r="D35" i="14" s="1"/>
  <c r="C46" i="14"/>
  <c r="F71" i="10"/>
  <c r="F72" i="10" s="1"/>
  <c r="F70" i="10" s="1"/>
  <c r="E19" i="14" s="1"/>
  <c r="D9" i="10"/>
  <c r="C106" i="10"/>
  <c r="G213" i="10"/>
  <c r="C19" i="10"/>
  <c r="C76" i="10" s="1"/>
  <c r="C79" i="10" s="1"/>
  <c r="G272" i="13"/>
  <c r="E510" i="10"/>
  <c r="E514" i="10" s="1"/>
  <c r="H213" i="10"/>
  <c r="H202" i="10" s="1"/>
  <c r="H185" i="10" s="1"/>
  <c r="H17" i="10"/>
  <c r="E19" i="10"/>
  <c r="E23" i="10" s="1"/>
  <c r="E201" i="10" s="1"/>
  <c r="E202" i="10" s="1"/>
  <c r="C21" i="10"/>
  <c r="F156" i="10"/>
  <c r="E37" i="14" s="1"/>
  <c r="C492" i="10"/>
  <c r="E21" i="10"/>
  <c r="E160" i="10" s="1"/>
  <c r="E163" i="10" s="1"/>
  <c r="C33" i="10"/>
  <c r="C5" i="17" s="1"/>
  <c r="E129" i="10"/>
  <c r="E24" i="10"/>
  <c r="E233" i="10" s="1"/>
  <c r="E234" i="10" s="1"/>
  <c r="D129" i="10"/>
  <c r="D24" i="10"/>
  <c r="D233" i="10" s="1"/>
  <c r="D234" i="10" s="1"/>
  <c r="F24" i="10"/>
  <c r="F233" i="10" s="1"/>
  <c r="F234" i="10" s="1"/>
  <c r="F129" i="10"/>
  <c r="F132" i="10" s="1"/>
  <c r="I20" i="14"/>
  <c r="AI20" i="14" s="1"/>
  <c r="J457" i="10"/>
  <c r="K73" i="10"/>
  <c r="C129" i="10"/>
  <c r="C130" i="10" s="1"/>
  <c r="C24" i="10"/>
  <c r="D59" i="10"/>
  <c r="F213" i="10"/>
  <c r="F347" i="10"/>
  <c r="G347" i="10" s="1"/>
  <c r="H347" i="10" s="1"/>
  <c r="I347" i="10" s="1"/>
  <c r="J347" i="10" s="1"/>
  <c r="K347" i="10" s="1"/>
  <c r="L347" i="10" s="1"/>
  <c r="M347" i="10" s="1"/>
  <c r="N347" i="10" s="1"/>
  <c r="O347" i="10" s="1"/>
  <c r="F319" i="10"/>
  <c r="C273" i="13" s="1"/>
  <c r="D19" i="10"/>
  <c r="D21" i="10"/>
  <c r="D160" i="10" s="1"/>
  <c r="E30" i="14"/>
  <c r="G124" i="10"/>
  <c r="J518" i="10"/>
  <c r="J512" i="10"/>
  <c r="C21" i="14"/>
  <c r="D456" i="10"/>
  <c r="G319" i="10"/>
  <c r="D273" i="13" s="1"/>
  <c r="H20" i="14"/>
  <c r="AH20" i="14" s="1"/>
  <c r="I457" i="10"/>
  <c r="F19" i="10"/>
  <c r="F21" i="10"/>
  <c r="F160" i="10" s="1"/>
  <c r="W389" i="10"/>
  <c r="D21" i="14"/>
  <c r="E456" i="10"/>
  <c r="F494" i="10"/>
  <c r="G241" i="10"/>
  <c r="F244" i="10"/>
  <c r="H259" i="10"/>
  <c r="C4" i="21"/>
  <c r="C21" i="21"/>
  <c r="C317" i="10"/>
  <c r="C459" i="10"/>
  <c r="D499" i="10"/>
  <c r="D391" i="10"/>
  <c r="D396" i="10" s="1"/>
  <c r="E29" i="14"/>
  <c r="W388" i="10"/>
  <c r="E393" i="10"/>
  <c r="E518" i="10"/>
  <c r="E512" i="10"/>
  <c r="M518" i="10"/>
  <c r="M512" i="10"/>
  <c r="D4" i="21"/>
  <c r="D21" i="21"/>
  <c r="B8" i="18"/>
  <c r="C3" i="14"/>
  <c r="D459" i="10"/>
  <c r="D33" i="10"/>
  <c r="D385" i="10" s="1"/>
  <c r="E38" i="10"/>
  <c r="D71" i="10"/>
  <c r="N21" i="14"/>
  <c r="AN21" i="14" s="1"/>
  <c r="O456" i="10"/>
  <c r="I333" i="10"/>
  <c r="H331" i="10"/>
  <c r="H332" i="10" s="1"/>
  <c r="E360" i="10"/>
  <c r="E213" i="10"/>
  <c r="E347" i="10"/>
  <c r="E21" i="21"/>
  <c r="C8" i="18"/>
  <c r="D3" i="14"/>
  <c r="E4" i="21"/>
  <c r="E459" i="10"/>
  <c r="E317" i="10"/>
  <c r="D22" i="14"/>
  <c r="E455" i="10"/>
  <c r="E466" i="10" s="1"/>
  <c r="B73" i="10"/>
  <c r="B457" i="10" s="1"/>
  <c r="D106" i="10"/>
  <c r="F123" i="10"/>
  <c r="E27" i="14" s="1"/>
  <c r="G248" i="10"/>
  <c r="H248" i="10" s="1"/>
  <c r="I248" i="10" s="1"/>
  <c r="J248" i="10" s="1"/>
  <c r="K248" i="10" s="1"/>
  <c r="L248" i="10" s="1"/>
  <c r="M248" i="10" s="1"/>
  <c r="N248" i="10" s="1"/>
  <c r="O248" i="10" s="1"/>
  <c r="D393" i="10"/>
  <c r="V389" i="10"/>
  <c r="D8" i="18"/>
  <c r="E3" i="14"/>
  <c r="F4" i="21"/>
  <c r="F21" i="21"/>
  <c r="G22" i="21" s="1"/>
  <c r="F459" i="10"/>
  <c r="F352" i="10"/>
  <c r="E55" i="8" s="1"/>
  <c r="E54" i="8" s="1"/>
  <c r="F339" i="10"/>
  <c r="E50" i="8" s="1"/>
  <c r="F317" i="10"/>
  <c r="F457" i="10"/>
  <c r="E20" i="14"/>
  <c r="N39" i="14"/>
  <c r="E198" i="10"/>
  <c r="D268" i="10"/>
  <c r="E265" i="10"/>
  <c r="C491" i="10"/>
  <c r="C393" i="10"/>
  <c r="U390" i="10" s="1"/>
  <c r="F518" i="10"/>
  <c r="F512" i="10"/>
  <c r="N518" i="10"/>
  <c r="N512" i="10"/>
  <c r="G126" i="10"/>
  <c r="G155" i="10"/>
  <c r="G157" i="10"/>
  <c r="D162" i="10"/>
  <c r="G512" i="10"/>
  <c r="G518" i="10"/>
  <c r="O512" i="10"/>
  <c r="O518" i="10"/>
  <c r="G236" i="10"/>
  <c r="H272" i="10"/>
  <c r="H512" i="10"/>
  <c r="H518" i="10"/>
  <c r="H318" i="10"/>
  <c r="H319" i="10" s="1"/>
  <c r="E273" i="13" s="1"/>
  <c r="C195" i="10"/>
  <c r="C495" i="10" s="1"/>
  <c r="D195" i="10"/>
  <c r="D495" i="10" s="1"/>
  <c r="K518" i="10"/>
  <c r="K512" i="10"/>
  <c r="E195" i="10"/>
  <c r="E495" i="10" s="1"/>
  <c r="D518" i="10"/>
  <c r="D512" i="10"/>
  <c r="L518" i="10"/>
  <c r="L512" i="10"/>
  <c r="I518" i="10"/>
  <c r="I512" i="10"/>
  <c r="G360" i="10"/>
  <c r="F56" i="8" s="1"/>
  <c r="G56" i="8"/>
  <c r="F923" i="13"/>
  <c r="F924" i="13" s="1"/>
  <c r="F928" i="13"/>
  <c r="K240" i="3"/>
  <c r="G117" i="19" s="1"/>
  <c r="K212" i="3"/>
  <c r="K219" i="3" s="1"/>
  <c r="F889" i="13" s="1"/>
  <c r="F891" i="13" s="1"/>
  <c r="F892" i="13" s="1"/>
  <c r="AI48" i="3"/>
  <c r="N200" i="3"/>
  <c r="N240" i="3"/>
  <c r="I117" i="19" s="1"/>
  <c r="M240" i="3"/>
  <c r="H117" i="19" s="1"/>
  <c r="AI83" i="3"/>
  <c r="H240" i="3"/>
  <c r="D117" i="19" s="1"/>
  <c r="H212" i="3"/>
  <c r="H219" i="3" s="1"/>
  <c r="C889" i="13" s="1"/>
  <c r="C891" i="13" s="1"/>
  <c r="C892" i="13" s="1"/>
  <c r="G240" i="3"/>
  <c r="C117" i="19" s="1"/>
  <c r="G212" i="3"/>
  <c r="AI6" i="3"/>
  <c r="I240" i="3"/>
  <c r="E117" i="19" s="1"/>
  <c r="I212" i="3"/>
  <c r="I219" i="3" s="1"/>
  <c r="D889" i="13" s="1"/>
  <c r="D891" i="13" s="1"/>
  <c r="D892" i="13" s="1"/>
  <c r="J240" i="3"/>
  <c r="F117" i="19" s="1"/>
  <c r="J212" i="3"/>
  <c r="J219" i="3" s="1"/>
  <c r="F120" i="8"/>
  <c r="F122" i="8" s="1"/>
  <c r="I112" i="8"/>
  <c r="J108" i="8"/>
  <c r="I118" i="8"/>
  <c r="H118" i="8"/>
  <c r="J473" i="10"/>
  <c r="K473" i="10"/>
  <c r="F14" i="13"/>
  <c r="N14" i="13"/>
  <c r="G14" i="13"/>
  <c r="O14" i="13"/>
  <c r="E14" i="13"/>
  <c r="M14" i="13"/>
  <c r="K14" i="13"/>
  <c r="E394" i="13"/>
  <c r="R156" i="13"/>
  <c r="Q144" i="13" s="1"/>
  <c r="D68" i="13"/>
  <c r="E68" i="13"/>
  <c r="F127" i="8"/>
  <c r="F129" i="8" s="1"/>
  <c r="Q36" i="3"/>
  <c r="H80" i="14"/>
  <c r="AH80" i="14" s="1"/>
  <c r="I10" i="2"/>
  <c r="V36" i="3"/>
  <c r="U36" i="3" s="1"/>
  <c r="E13" i="20"/>
  <c r="F13" i="20"/>
  <c r="P13" i="20" s="1"/>
  <c r="G80" i="14"/>
  <c r="AG80" i="14" s="1"/>
  <c r="H67" i="8"/>
  <c r="F842" i="13"/>
  <c r="H213" i="13"/>
  <c r="I69" i="8"/>
  <c r="G213" i="13"/>
  <c r="E842" i="13"/>
  <c r="G67" i="8"/>
  <c r="J4" i="4"/>
  <c r="J5" i="4" s="1"/>
  <c r="T261" i="3"/>
  <c r="U261" i="3" s="1"/>
  <c r="W261" i="3" s="1"/>
  <c r="T265" i="3"/>
  <c r="U265" i="3" s="1"/>
  <c r="W265" i="3" s="1"/>
  <c r="I72" i="3"/>
  <c r="N248" i="3"/>
  <c r="H220" i="19"/>
  <c r="N255" i="3"/>
  <c r="F253" i="19"/>
  <c r="N177" i="3"/>
  <c r="D236" i="19"/>
  <c r="F4" i="13"/>
  <c r="F12" i="13" s="1"/>
  <c r="F289" i="13"/>
  <c r="G288" i="13"/>
  <c r="C387" i="13"/>
  <c r="C388" i="13" s="1"/>
  <c r="C389" i="13" s="1"/>
  <c r="T150" i="13"/>
  <c r="E364" i="13"/>
  <c r="E369" i="13" s="1"/>
  <c r="H14" i="13"/>
  <c r="D394" i="13"/>
  <c r="C14" i="13"/>
  <c r="I14" i="13"/>
  <c r="R167" i="13"/>
  <c r="J14" i="13"/>
  <c r="C261" i="13"/>
  <c r="F753" i="13"/>
  <c r="Q167" i="13"/>
  <c r="F754" i="13"/>
  <c r="C746" i="13"/>
  <c r="D321" i="13"/>
  <c r="C350" i="13"/>
  <c r="D14" i="13"/>
  <c r="L14" i="13"/>
  <c r="C743" i="13"/>
  <c r="S156" i="13"/>
  <c r="D320" i="13" s="1"/>
  <c r="E350" i="13"/>
  <c r="E376" i="13" s="1"/>
  <c r="C457" i="13"/>
  <c r="G67" i="13"/>
  <c r="H65" i="13"/>
  <c r="D350" i="13"/>
  <c r="F350" i="13"/>
  <c r="E801" i="13"/>
  <c r="H801" i="13" s="1"/>
  <c r="D803" i="13"/>
  <c r="G803" i="13" s="1"/>
  <c r="J803" i="13" s="1"/>
  <c r="G801" i="13"/>
  <c r="J801" i="13" s="1"/>
  <c r="F801" i="13"/>
  <c r="I801" i="13" s="1"/>
  <c r="J176" i="3"/>
  <c r="J185" i="3" s="1"/>
  <c r="F67" i="13"/>
  <c r="F68" i="13" s="1"/>
  <c r="R172" i="13"/>
  <c r="E377" i="13"/>
  <c r="D388" i="13"/>
  <c r="D389" i="13" s="1"/>
  <c r="C279" i="13"/>
  <c r="D285" i="13" s="1"/>
  <c r="H364" i="13"/>
  <c r="H369" i="13" s="1"/>
  <c r="D284" i="13"/>
  <c r="D287" i="13"/>
  <c r="F751" i="13"/>
  <c r="E804" i="13"/>
  <c r="H804" i="13" s="1"/>
  <c r="K804" i="13" s="1"/>
  <c r="F277" i="13"/>
  <c r="G283" i="13" s="1"/>
  <c r="F284" i="13"/>
  <c r="G284" i="13" s="1"/>
  <c r="F804" i="13"/>
  <c r="I804" i="13" s="1"/>
  <c r="L804" i="13" s="1"/>
  <c r="G228" i="3"/>
  <c r="C123" i="19" s="1"/>
  <c r="D82" i="19"/>
  <c r="H228" i="3"/>
  <c r="D123" i="19" s="1"/>
  <c r="H82" i="19"/>
  <c r="N228" i="3"/>
  <c r="S229" i="3" s="1"/>
  <c r="G82" i="19"/>
  <c r="M228" i="3"/>
  <c r="I270" i="3"/>
  <c r="I275" i="3" s="1"/>
  <c r="E82" i="19"/>
  <c r="I228" i="3"/>
  <c r="E123" i="19" s="1"/>
  <c r="H183" i="3"/>
  <c r="F82" i="19"/>
  <c r="J228" i="3"/>
  <c r="J78" i="3"/>
  <c r="J170" i="3"/>
  <c r="J172" i="3" s="1"/>
  <c r="K291" i="3"/>
  <c r="K228" i="3"/>
  <c r="AH48" i="3"/>
  <c r="H346" i="3"/>
  <c r="I351" i="3" s="1"/>
  <c r="N31" i="3"/>
  <c r="H29" i="3"/>
  <c r="H31" i="3" s="1"/>
  <c r="K157" i="19"/>
  <c r="G157" i="19"/>
  <c r="AE48" i="3"/>
  <c r="N383" i="3"/>
  <c r="G29" i="3"/>
  <c r="G31" i="3" s="1"/>
  <c r="G346" i="3"/>
  <c r="H351" i="3" s="1"/>
  <c r="G65" i="3"/>
  <c r="AH83" i="3"/>
  <c r="AD83" i="3"/>
  <c r="H59" i="3"/>
  <c r="C894" i="13" s="1"/>
  <c r="T186" i="19"/>
  <c r="K196" i="19" s="1"/>
  <c r="I311" i="3"/>
  <c r="N346" i="3"/>
  <c r="K208" i="19"/>
  <c r="H208" i="19"/>
  <c r="AF83" i="3"/>
  <c r="H200" i="3"/>
  <c r="M248" i="3"/>
  <c r="D257" i="19" s="1"/>
  <c r="H168" i="19"/>
  <c r="H157" i="19"/>
  <c r="H169" i="19"/>
  <c r="P192" i="19" s="1"/>
  <c r="AD6" i="3"/>
  <c r="D72" i="13" s="1"/>
  <c r="J311" i="3"/>
  <c r="D410" i="13"/>
  <c r="L410" i="13"/>
  <c r="L411" i="13" s="1"/>
  <c r="F73" i="19"/>
  <c r="L157" i="19"/>
  <c r="F410" i="13"/>
  <c r="C755" i="13"/>
  <c r="F755" i="13" s="1"/>
  <c r="N53" i="3"/>
  <c r="M157" i="19"/>
  <c r="S188" i="19"/>
  <c r="H198" i="19" s="1"/>
  <c r="L188" i="19"/>
  <c r="T188" i="19"/>
  <c r="K198" i="19" s="1"/>
  <c r="M188" i="19"/>
  <c r="P186" i="19"/>
  <c r="E196" i="19" s="1"/>
  <c r="N188" i="19"/>
  <c r="J330" i="3"/>
  <c r="J331" i="3" s="1"/>
  <c r="H53" i="3"/>
  <c r="I253" i="3"/>
  <c r="I255" i="3" s="1"/>
  <c r="K255" i="3" s="1"/>
  <c r="C264" i="19" s="1"/>
  <c r="J346" i="3"/>
  <c r="K351" i="3" s="1"/>
  <c r="E73" i="19"/>
  <c r="N311" i="3"/>
  <c r="AE83" i="3"/>
  <c r="AF6" i="3"/>
  <c r="N65" i="3"/>
  <c r="N330" i="3"/>
  <c r="N331" i="3" s="1"/>
  <c r="AF48" i="3"/>
  <c r="N81" i="3"/>
  <c r="I346" i="3"/>
  <c r="E410" i="13"/>
  <c r="M410" i="13"/>
  <c r="M411" i="13" s="1"/>
  <c r="J410" i="13"/>
  <c r="J411" i="13" s="1"/>
  <c r="J33" i="3"/>
  <c r="H69" i="3"/>
  <c r="E330" i="3"/>
  <c r="E331" i="3" s="1"/>
  <c r="K410" i="13"/>
  <c r="K411" i="13" s="1"/>
  <c r="H65" i="3"/>
  <c r="I78" i="3"/>
  <c r="M261" i="3"/>
  <c r="K302" i="3"/>
  <c r="K301" i="3" s="1"/>
  <c r="N59" i="3"/>
  <c r="N69" i="3"/>
  <c r="N33" i="3"/>
  <c r="N270" i="3"/>
  <c r="N291" i="3"/>
  <c r="N292" i="3"/>
  <c r="N72" i="3"/>
  <c r="N78" i="3"/>
  <c r="H33" i="3"/>
  <c r="E53" i="3"/>
  <c r="E59" i="3"/>
  <c r="G78" i="3"/>
  <c r="J292" i="3"/>
  <c r="J293" i="3" s="1"/>
  <c r="H232" i="3"/>
  <c r="C208" i="19"/>
  <c r="J231" i="3"/>
  <c r="C236" i="19"/>
  <c r="K346" i="3"/>
  <c r="AF5" i="3"/>
  <c r="K383" i="3"/>
  <c r="K78" i="3"/>
  <c r="AH6" i="3"/>
  <c r="I33" i="3"/>
  <c r="G53" i="3"/>
  <c r="G59" i="3"/>
  <c r="H78" i="3"/>
  <c r="F168" i="19"/>
  <c r="F207" i="19"/>
  <c r="K231" i="3"/>
  <c r="K270" i="3"/>
  <c r="K200" i="3"/>
  <c r="M311" i="3"/>
  <c r="G168" i="19"/>
  <c r="M231" i="3"/>
  <c r="G207" i="19"/>
  <c r="E78" i="3"/>
  <c r="E72" i="3"/>
  <c r="M383" i="3"/>
  <c r="M78" i="3"/>
  <c r="M72" i="3"/>
  <c r="M53" i="3"/>
  <c r="K33" i="3"/>
  <c r="I53" i="3"/>
  <c r="I59" i="3"/>
  <c r="J69" i="3"/>
  <c r="H177" i="3"/>
  <c r="M291" i="3"/>
  <c r="M292" i="3"/>
  <c r="M293" i="3" s="1"/>
  <c r="M200" i="3"/>
  <c r="M270" i="3"/>
  <c r="F169" i="19"/>
  <c r="F208" i="19"/>
  <c r="K232" i="3"/>
  <c r="I232" i="3"/>
  <c r="C254" i="19"/>
  <c r="K261" i="3"/>
  <c r="F59" i="3"/>
  <c r="F53" i="3"/>
  <c r="F170" i="3"/>
  <c r="F172" i="3" s="1"/>
  <c r="F81" i="3"/>
  <c r="F69" i="3"/>
  <c r="M33" i="3"/>
  <c r="AD48" i="3"/>
  <c r="J53" i="3"/>
  <c r="J59" i="3"/>
  <c r="AJ59" i="3" s="1"/>
  <c r="K69" i="3"/>
  <c r="F72" i="3"/>
  <c r="E81" i="3"/>
  <c r="I170" i="3"/>
  <c r="M183" i="3"/>
  <c r="M232" i="3"/>
  <c r="K244" i="3"/>
  <c r="G72" i="3"/>
  <c r="G81" i="3"/>
  <c r="G69" i="3"/>
  <c r="K53" i="3"/>
  <c r="K59" i="3"/>
  <c r="AK59" i="3" s="1"/>
  <c r="H72" i="3"/>
  <c r="C192" i="19"/>
  <c r="C260" i="19"/>
  <c r="H170" i="3"/>
  <c r="M69" i="3"/>
  <c r="J81" i="3"/>
  <c r="K171" i="3"/>
  <c r="I200" i="3"/>
  <c r="I81" i="3"/>
  <c r="I69" i="3"/>
  <c r="AE6" i="3"/>
  <c r="E72" i="13" s="1"/>
  <c r="G33" i="3"/>
  <c r="L257" i="3"/>
  <c r="M59" i="3"/>
  <c r="J72" i="3"/>
  <c r="F78" i="3"/>
  <c r="K81" i="3"/>
  <c r="M171" i="3"/>
  <c r="D86" i="16"/>
  <c r="J200" i="3"/>
  <c r="H231" i="3"/>
  <c r="I246" i="3"/>
  <c r="I291" i="3"/>
  <c r="D235" i="19"/>
  <c r="M346" i="3"/>
  <c r="Q186" i="19"/>
  <c r="F196" i="19" s="1"/>
  <c r="G291" i="3"/>
  <c r="H292" i="3"/>
  <c r="H293" i="3" s="1"/>
  <c r="G292" i="3"/>
  <c r="G293" i="3" s="1"/>
  <c r="G270" i="3"/>
  <c r="E254" i="19"/>
  <c r="C261" i="19"/>
  <c r="K265" i="3"/>
  <c r="H291" i="3"/>
  <c r="H270" i="3"/>
  <c r="E208" i="19"/>
  <c r="J232" i="3"/>
  <c r="M255" i="3"/>
  <c r="D264" i="19" s="1"/>
  <c r="D262" i="19"/>
  <c r="I292" i="3"/>
  <c r="I293" i="3" s="1"/>
  <c r="H383" i="3"/>
  <c r="G187" i="19"/>
  <c r="G186" i="19"/>
  <c r="J291" i="3"/>
  <c r="K292" i="3"/>
  <c r="K293" i="3" s="1"/>
  <c r="J270" i="3"/>
  <c r="D207" i="19"/>
  <c r="I231" i="3"/>
  <c r="G169" i="19"/>
  <c r="G208" i="19"/>
  <c r="F330" i="3"/>
  <c r="M330" i="3"/>
  <c r="M331" i="3" s="1"/>
  <c r="D330" i="3"/>
  <c r="K330" i="3"/>
  <c r="K331" i="3" s="1"/>
  <c r="C330" i="3"/>
  <c r="C331" i="3" s="1"/>
  <c r="C334" i="3" s="1"/>
  <c r="C279" i="19" s="1"/>
  <c r="I330" i="3"/>
  <c r="I331" i="3" s="1"/>
  <c r="C328" i="3"/>
  <c r="H330" i="3"/>
  <c r="H331" i="3" s="1"/>
  <c r="S187" i="19"/>
  <c r="I383" i="3"/>
  <c r="H186" i="19"/>
  <c r="H187" i="19"/>
  <c r="R186" i="19"/>
  <c r="G196" i="19" s="1"/>
  <c r="R187" i="19"/>
  <c r="G197" i="19" s="1"/>
  <c r="R188" i="19"/>
  <c r="G198" i="19" s="1"/>
  <c r="H188" i="19"/>
  <c r="J383" i="3"/>
  <c r="K188" i="19"/>
  <c r="K187" i="19"/>
  <c r="E242" i="19"/>
  <c r="G410" i="13"/>
  <c r="G411" i="13" s="1"/>
  <c r="O188" i="19"/>
  <c r="D198" i="19" s="1"/>
  <c r="W364" i="3"/>
  <c r="F186" i="19"/>
  <c r="I410" i="13"/>
  <c r="L187" i="19"/>
  <c r="L174" i="19" s="1"/>
  <c r="L186" i="19"/>
  <c r="O187" i="19"/>
  <c r="H410" i="13"/>
  <c r="H411" i="13" s="1"/>
  <c r="K15" i="19"/>
  <c r="F197" i="19"/>
  <c r="G73" i="19"/>
  <c r="F157" i="19"/>
  <c r="E197" i="19"/>
  <c r="M187" i="19"/>
  <c r="F188" i="19"/>
  <c r="P188" i="19"/>
  <c r="K186" i="19"/>
  <c r="K173" i="19" s="1"/>
  <c r="S186" i="19"/>
  <c r="N187" i="19"/>
  <c r="G188" i="19"/>
  <c r="Q188" i="19"/>
  <c r="P174" i="19"/>
  <c r="M186" i="19"/>
  <c r="N186" i="19"/>
  <c r="H386" i="19" l="1"/>
  <c r="H387" i="19" s="1"/>
  <c r="J103" i="10"/>
  <c r="I103" i="10"/>
  <c r="J104" i="10" s="1"/>
  <c r="I4" i="10"/>
  <c r="U35" i="3"/>
  <c r="U47" i="3" s="1"/>
  <c r="U57" i="3" s="1"/>
  <c r="U58" i="3" s="1"/>
  <c r="AP36" i="3"/>
  <c r="D14" i="19"/>
  <c r="N14" i="19" s="1"/>
  <c r="AN59" i="3"/>
  <c r="H172" i="3"/>
  <c r="C77" i="19"/>
  <c r="W22" i="20"/>
  <c r="Z22" i="20" s="1"/>
  <c r="Z17" i="20"/>
  <c r="V22" i="20"/>
  <c r="Y22" i="20" s="1"/>
  <c r="Y17" i="20"/>
  <c r="W4" i="20"/>
  <c r="Z4" i="20" s="1"/>
  <c r="H4" i="20"/>
  <c r="D21" i="19"/>
  <c r="N21" i="19" s="1"/>
  <c r="N4" i="19"/>
  <c r="C14" i="19"/>
  <c r="M14" i="19" s="1"/>
  <c r="AM59" i="3"/>
  <c r="E17" i="5"/>
  <c r="R229" i="3"/>
  <c r="G328" i="3"/>
  <c r="F159" i="19" s="1"/>
  <c r="C21" i="19"/>
  <c r="M21" i="19" s="1"/>
  <c r="M4" i="19"/>
  <c r="G123" i="19"/>
  <c r="G131" i="19" s="1"/>
  <c r="P229" i="3"/>
  <c r="C25" i="19"/>
  <c r="M25" i="19" s="1"/>
  <c r="M229" i="3"/>
  <c r="D25" i="19"/>
  <c r="N25" i="19" s="1"/>
  <c r="N229" i="3"/>
  <c r="F123" i="19"/>
  <c r="F135" i="19" s="1"/>
  <c r="O229" i="3"/>
  <c r="C48" i="5"/>
  <c r="N101" i="2"/>
  <c r="F18" i="5"/>
  <c r="F22" i="5" s="1"/>
  <c r="D14" i="18"/>
  <c r="F78" i="2"/>
  <c r="F77" i="2"/>
  <c r="H21" i="5"/>
  <c r="J39" i="10"/>
  <c r="H156" i="2"/>
  <c r="H47" i="10"/>
  <c r="V205" i="3" s="1"/>
  <c r="U205" i="3" s="1"/>
  <c r="U239" i="3" s="1"/>
  <c r="J17" i="8"/>
  <c r="E629" i="13"/>
  <c r="Y629" i="13" s="1"/>
  <c r="AA36" i="3"/>
  <c r="Z36" i="3" s="1"/>
  <c r="Z35" i="3" s="1"/>
  <c r="Z47" i="3" s="1"/>
  <c r="Z57" i="3" s="1"/>
  <c r="Z58" i="3" s="1"/>
  <c r="F166" i="2"/>
  <c r="F4" i="2"/>
  <c r="F32" i="2" s="1"/>
  <c r="E25" i="10"/>
  <c r="E257" i="10" s="1"/>
  <c r="E258" i="10" s="1"/>
  <c r="E263" i="10" s="1"/>
  <c r="F454" i="10"/>
  <c r="E218" i="10"/>
  <c r="D163" i="10"/>
  <c r="D60" i="10"/>
  <c r="W252" i="3"/>
  <c r="X265" i="3"/>
  <c r="W245" i="3"/>
  <c r="X261" i="3"/>
  <c r="L101" i="2"/>
  <c r="M101" i="2"/>
  <c r="P338" i="3"/>
  <c r="P339" i="3"/>
  <c r="P340" i="3"/>
  <c r="C8" i="20"/>
  <c r="H90" i="8"/>
  <c r="H86" i="8" s="1"/>
  <c r="I119" i="8" s="1"/>
  <c r="I120" i="8" s="1"/>
  <c r="I122" i="8" s="1"/>
  <c r="H119" i="8"/>
  <c r="G85" i="8"/>
  <c r="H89" i="8" s="1"/>
  <c r="E65" i="14"/>
  <c r="D97" i="8"/>
  <c r="E13" i="2"/>
  <c r="C12" i="20"/>
  <c r="D14" i="3"/>
  <c r="AC14" i="3" s="1"/>
  <c r="D65" i="14"/>
  <c r="D13" i="20"/>
  <c r="L36" i="3"/>
  <c r="L25" i="3"/>
  <c r="L183" i="3" s="1"/>
  <c r="F13" i="2"/>
  <c r="L48" i="3" s="1"/>
  <c r="D12" i="20"/>
  <c r="E18" i="2"/>
  <c r="C20" i="20" s="1"/>
  <c r="E4" i="2"/>
  <c r="D7" i="3"/>
  <c r="F18" i="2"/>
  <c r="D20" i="20" s="1"/>
  <c r="L7" i="3"/>
  <c r="G131" i="8"/>
  <c r="G79" i="8" s="1"/>
  <c r="G81" i="14" s="1"/>
  <c r="AG81" i="14" s="1"/>
  <c r="E262" i="10"/>
  <c r="E275" i="10" s="1"/>
  <c r="E489" i="10"/>
  <c r="F246" i="10"/>
  <c r="D488" i="10"/>
  <c r="D238" i="10"/>
  <c r="D239" i="10"/>
  <c r="E238" i="10"/>
  <c r="E246" i="10"/>
  <c r="E488" i="10"/>
  <c r="E239" i="10"/>
  <c r="C128" i="10"/>
  <c r="C481" i="10" s="1"/>
  <c r="C233" i="10"/>
  <c r="C234" i="10" s="1"/>
  <c r="E209" i="10"/>
  <c r="E226" i="10" s="1"/>
  <c r="E208" i="10"/>
  <c r="E225" i="10" s="1"/>
  <c r="E487" i="10"/>
  <c r="E207" i="10"/>
  <c r="H209" i="10"/>
  <c r="H226" i="10" s="1"/>
  <c r="F159" i="10"/>
  <c r="F172" i="10" s="1"/>
  <c r="F161" i="10"/>
  <c r="G161" i="10"/>
  <c r="G218" i="10"/>
  <c r="C160" i="10"/>
  <c r="F163" i="10"/>
  <c r="E39" i="14" s="1"/>
  <c r="D159" i="10"/>
  <c r="D482" i="10" s="1"/>
  <c r="E161" i="10"/>
  <c r="E159" i="10"/>
  <c r="E513" i="10"/>
  <c r="E519" i="10" s="1"/>
  <c r="F456" i="10"/>
  <c r="F455" i="10"/>
  <c r="F466" i="10" s="1"/>
  <c r="E168" i="10"/>
  <c r="E130" i="10"/>
  <c r="D137" i="10"/>
  <c r="D130" i="10"/>
  <c r="F130" i="10"/>
  <c r="G130" i="10"/>
  <c r="E21" i="14"/>
  <c r="H24" i="10"/>
  <c r="H25" i="10"/>
  <c r="H23" i="10"/>
  <c r="I17" i="10"/>
  <c r="E76" i="10"/>
  <c r="E75" i="10" s="1"/>
  <c r="I90" i="8"/>
  <c r="I86" i="8" s="1"/>
  <c r="I126" i="8"/>
  <c r="J113" i="8"/>
  <c r="M109" i="8"/>
  <c r="L301" i="3"/>
  <c r="D6" i="20"/>
  <c r="H120" i="8"/>
  <c r="H122" i="8" s="1"/>
  <c r="H131" i="8" s="1"/>
  <c r="H79" i="8" s="1"/>
  <c r="H81" i="14" s="1"/>
  <c r="AH81" i="14" s="1"/>
  <c r="K104" i="8"/>
  <c r="J103" i="8"/>
  <c r="J99" i="8"/>
  <c r="K95" i="8"/>
  <c r="E61" i="14"/>
  <c r="E60" i="14" s="1"/>
  <c r="F505" i="10"/>
  <c r="D5" i="20"/>
  <c r="K94" i="8"/>
  <c r="J98" i="8"/>
  <c r="J93" i="8"/>
  <c r="J97" i="8" s="1"/>
  <c r="I91" i="8"/>
  <c r="I87" i="8" s="1"/>
  <c r="F97" i="8"/>
  <c r="E97" i="8"/>
  <c r="D25" i="17"/>
  <c r="D28" i="2"/>
  <c r="D13" i="17"/>
  <c r="E78" i="2"/>
  <c r="D4" i="17"/>
  <c r="D27" i="17"/>
  <c r="D28" i="5"/>
  <c r="D192" i="2"/>
  <c r="E16" i="18"/>
  <c r="D171" i="14"/>
  <c r="D174" i="14" s="1"/>
  <c r="D176" i="14" s="1"/>
  <c r="F188" i="14"/>
  <c r="F194" i="14" s="1"/>
  <c r="F195" i="14" s="1"/>
  <c r="F213" i="14" s="1"/>
  <c r="F215" i="14" s="1"/>
  <c r="F221" i="14" s="1"/>
  <c r="F224" i="14" s="1"/>
  <c r="D36" i="2"/>
  <c r="F120" i="14"/>
  <c r="F122" i="14" s="1"/>
  <c r="F131" i="14"/>
  <c r="F118" i="14"/>
  <c r="J162" i="2"/>
  <c r="I161" i="2"/>
  <c r="G64" i="2"/>
  <c r="H62" i="2"/>
  <c r="I146" i="2"/>
  <c r="I96" i="2"/>
  <c r="J147" i="2"/>
  <c r="J169" i="2"/>
  <c r="I168" i="2"/>
  <c r="K117" i="2"/>
  <c r="J114" i="2"/>
  <c r="C82" i="14"/>
  <c r="B4" i="18"/>
  <c r="D16" i="2"/>
  <c r="D42" i="2"/>
  <c r="D44" i="2" s="1"/>
  <c r="B5" i="18" s="1"/>
  <c r="D47" i="2"/>
  <c r="C16" i="2"/>
  <c r="C42" i="2"/>
  <c r="C44" i="2" s="1"/>
  <c r="C47" i="2"/>
  <c r="C56" i="2" s="1"/>
  <c r="N184" i="2"/>
  <c r="M105" i="2"/>
  <c r="C11" i="17"/>
  <c r="C13" i="17"/>
  <c r="B13" i="18"/>
  <c r="C27" i="17"/>
  <c r="C25" i="17"/>
  <c r="C192" i="2"/>
  <c r="C14" i="18"/>
  <c r="E18" i="5"/>
  <c r="E24" i="5"/>
  <c r="G336" i="3"/>
  <c r="G338" i="3" s="1"/>
  <c r="N591" i="13"/>
  <c r="M591" i="13"/>
  <c r="W591" i="13"/>
  <c r="J51" i="8"/>
  <c r="G269" i="13"/>
  <c r="E591" i="13"/>
  <c r="E528" i="13"/>
  <c r="O528" i="13" s="1"/>
  <c r="O56" i="3"/>
  <c r="G356" i="3"/>
  <c r="G358" i="3" s="1"/>
  <c r="O351" i="3"/>
  <c r="O356" i="3" s="1"/>
  <c r="O331" i="3"/>
  <c r="O336" i="3"/>
  <c r="J177" i="3"/>
  <c r="O234" i="3"/>
  <c r="E26" i="19" s="1"/>
  <c r="D77" i="19"/>
  <c r="I172" i="3"/>
  <c r="J235" i="10"/>
  <c r="K235" i="10" s="1"/>
  <c r="D386" i="10"/>
  <c r="D198" i="10"/>
  <c r="D516" i="10"/>
  <c r="D513" i="10"/>
  <c r="D519" i="10" s="1"/>
  <c r="C7" i="17"/>
  <c r="D514" i="10"/>
  <c r="F154" i="10"/>
  <c r="E35" i="14" s="1"/>
  <c r="L324" i="10"/>
  <c r="L325" i="10" s="1"/>
  <c r="E22" i="14"/>
  <c r="C23" i="10"/>
  <c r="C201" i="10" s="1"/>
  <c r="C202" i="10" s="1"/>
  <c r="G487" i="10"/>
  <c r="O168" i="10"/>
  <c r="E516" i="10"/>
  <c r="F5" i="21"/>
  <c r="D132" i="10"/>
  <c r="C31" i="14" s="1"/>
  <c r="E515" i="10"/>
  <c r="D5" i="21"/>
  <c r="E5" i="21"/>
  <c r="D22" i="21"/>
  <c r="G105" i="14"/>
  <c r="G104" i="14" s="1"/>
  <c r="C84" i="10"/>
  <c r="H272" i="13"/>
  <c r="C25" i="10"/>
  <c r="C257" i="10" s="1"/>
  <c r="C258" i="10" s="1"/>
  <c r="G71" i="10"/>
  <c r="I272" i="10"/>
  <c r="J333" i="10"/>
  <c r="I331" i="10"/>
  <c r="I332" i="10" s="1"/>
  <c r="C76" i="14"/>
  <c r="C77" i="14" s="1"/>
  <c r="F36" i="14"/>
  <c r="AF36" i="14" s="1"/>
  <c r="H157" i="10"/>
  <c r="W390" i="10"/>
  <c r="E397" i="10"/>
  <c r="F238" i="10"/>
  <c r="F488" i="10"/>
  <c r="F128" i="10"/>
  <c r="F141" i="10" s="1"/>
  <c r="C271" i="13"/>
  <c r="F320" i="10"/>
  <c r="E44" i="8"/>
  <c r="D455" i="10"/>
  <c r="D466" i="10" s="1"/>
  <c r="C22" i="14"/>
  <c r="G244" i="10"/>
  <c r="G246" i="10" s="1"/>
  <c r="H241" i="10"/>
  <c r="D25" i="10"/>
  <c r="D257" i="10" s="1"/>
  <c r="D258" i="10" s="1"/>
  <c r="C137" i="10"/>
  <c r="C132" i="10"/>
  <c r="C134" i="10" s="1"/>
  <c r="F23" i="10"/>
  <c r="F201" i="10" s="1"/>
  <c r="F202" i="10" s="1"/>
  <c r="F76" i="10"/>
  <c r="F38" i="14"/>
  <c r="AF38" i="14" s="1"/>
  <c r="G156" i="10"/>
  <c r="H155" i="10"/>
  <c r="F28" i="14"/>
  <c r="AF28" i="14" s="1"/>
  <c r="H126" i="10"/>
  <c r="C267" i="13"/>
  <c r="C268" i="13" s="1"/>
  <c r="E49" i="8"/>
  <c r="E22" i="21"/>
  <c r="C198" i="10"/>
  <c r="F239" i="10"/>
  <c r="D23" i="10"/>
  <c r="D201" i="10" s="1"/>
  <c r="D202" i="10" s="1"/>
  <c r="D76" i="10"/>
  <c r="D77" i="10" s="1"/>
  <c r="D39" i="14"/>
  <c r="E165" i="10"/>
  <c r="F30" i="14"/>
  <c r="AF30" i="14" s="1"/>
  <c r="H124" i="10"/>
  <c r="G125" i="10"/>
  <c r="F508" i="10"/>
  <c r="E70" i="14"/>
  <c r="E499" i="10"/>
  <c r="E391" i="10"/>
  <c r="E396" i="10" s="1"/>
  <c r="E36" i="10"/>
  <c r="E33" i="10"/>
  <c r="E385" i="10" s="1"/>
  <c r="N8" i="14"/>
  <c r="AN39" i="14"/>
  <c r="N40" i="14"/>
  <c r="AN40" i="14" s="1"/>
  <c r="D397" i="10"/>
  <c r="V390" i="10"/>
  <c r="D5" i="17"/>
  <c r="D7" i="17"/>
  <c r="D34" i="10"/>
  <c r="J20" i="14"/>
  <c r="AJ20" i="14" s="1"/>
  <c r="K457" i="10"/>
  <c r="L73" i="10"/>
  <c r="E268" i="10"/>
  <c r="E270" i="10" s="1"/>
  <c r="F265" i="10"/>
  <c r="F22" i="21"/>
  <c r="H21" i="21"/>
  <c r="I21" i="21" s="1"/>
  <c r="J21" i="21" s="1"/>
  <c r="K21" i="21" s="1"/>
  <c r="L21" i="21" s="1"/>
  <c r="M21" i="21" s="1"/>
  <c r="N21" i="21" s="1"/>
  <c r="O21" i="21" s="1"/>
  <c r="J17" i="10"/>
  <c r="H260" i="10"/>
  <c r="I259" i="10"/>
  <c r="F25" i="10"/>
  <c r="F257" i="10" s="1"/>
  <c r="F258" i="10" s="1"/>
  <c r="C461" i="10"/>
  <c r="C81" i="10"/>
  <c r="C462" i="10" s="1"/>
  <c r="C467" i="10" s="1"/>
  <c r="E137" i="10"/>
  <c r="E132" i="10"/>
  <c r="I213" i="10"/>
  <c r="I202" i="10" s="1"/>
  <c r="I360" i="10"/>
  <c r="H56" i="8" s="1"/>
  <c r="H57" i="8" s="1"/>
  <c r="I319" i="10"/>
  <c r="F273" i="13" s="1"/>
  <c r="J4" i="10"/>
  <c r="F930" i="13"/>
  <c r="F925" i="13" s="1"/>
  <c r="F936" i="13" s="1"/>
  <c r="E936" i="13" s="1"/>
  <c r="D936" i="13" s="1"/>
  <c r="C936" i="13" s="1"/>
  <c r="H5" i="13"/>
  <c r="H4" i="13" s="1"/>
  <c r="AI59" i="3"/>
  <c r="F131" i="8"/>
  <c r="J112" i="8"/>
  <c r="I125" i="8"/>
  <c r="J118" i="8"/>
  <c r="K108" i="8"/>
  <c r="L473" i="10"/>
  <c r="J65" i="3"/>
  <c r="F803" i="13"/>
  <c r="I803" i="13" s="1"/>
  <c r="R183" i="13"/>
  <c r="Q198" i="13" s="1"/>
  <c r="R191" i="13"/>
  <c r="Q202" i="13" s="1"/>
  <c r="R187" i="13"/>
  <c r="Q201" i="13" s="1"/>
  <c r="F81" i="14"/>
  <c r="AF81" i="14" s="1"/>
  <c r="I80" i="14"/>
  <c r="AI80" i="14" s="1"/>
  <c r="J10" i="2"/>
  <c r="F629" i="13" s="1"/>
  <c r="J73" i="8"/>
  <c r="G13" i="20"/>
  <c r="Q13" i="20" s="1"/>
  <c r="G842" i="13"/>
  <c r="I213" i="13"/>
  <c r="J69" i="8"/>
  <c r="I67" i="8"/>
  <c r="K4" i="4"/>
  <c r="N56" i="3"/>
  <c r="C211" i="19"/>
  <c r="J234" i="3"/>
  <c r="E209" i="19"/>
  <c r="I411" i="13"/>
  <c r="N293" i="3"/>
  <c r="F63" i="19"/>
  <c r="E46" i="19"/>
  <c r="K65" i="3"/>
  <c r="I356" i="3"/>
  <c r="H356" i="3"/>
  <c r="E211" i="19"/>
  <c r="K177" i="3"/>
  <c r="G63" i="19"/>
  <c r="C268" i="19" s="1"/>
  <c r="E261" i="19"/>
  <c r="N351" i="3"/>
  <c r="H123" i="19"/>
  <c r="J61" i="3"/>
  <c r="E894" i="13"/>
  <c r="E895" i="13" s="1"/>
  <c r="N61" i="3"/>
  <c r="H894" i="13"/>
  <c r="H895" i="13" s="1"/>
  <c r="H61" i="3"/>
  <c r="I123" i="19"/>
  <c r="N234" i="3"/>
  <c r="D26" i="19" s="1"/>
  <c r="K61" i="3"/>
  <c r="F894" i="13"/>
  <c r="F895" i="13" s="1"/>
  <c r="D894" i="13"/>
  <c r="D895" i="13" s="1"/>
  <c r="I61" i="3"/>
  <c r="G894" i="13"/>
  <c r="G895" i="13" s="1"/>
  <c r="E803" i="13"/>
  <c r="H803" i="13" s="1"/>
  <c r="G287" i="13"/>
  <c r="D277" i="13"/>
  <c r="F285" i="13"/>
  <c r="R144" i="13"/>
  <c r="D278" i="13"/>
  <c r="D291" i="13"/>
  <c r="D293" i="13"/>
  <c r="D295" i="13"/>
  <c r="D289" i="13"/>
  <c r="D292" i="13"/>
  <c r="D279" i="13"/>
  <c r="D294" i="13"/>
  <c r="F279" i="13"/>
  <c r="R181" i="13"/>
  <c r="R174" i="13"/>
  <c r="E802" i="13"/>
  <c r="H802" i="13" s="1"/>
  <c r="K802" i="13" s="1"/>
  <c r="F802" i="13"/>
  <c r="I802" i="13" s="1"/>
  <c r="L802" i="13" s="1"/>
  <c r="G802" i="13"/>
  <c r="J802" i="13" s="1"/>
  <c r="M802" i="13" s="1"/>
  <c r="H67" i="13"/>
  <c r="I65" i="13"/>
  <c r="G68" i="13"/>
  <c r="H60" i="3"/>
  <c r="M107" i="19" s="1"/>
  <c r="H207" i="19"/>
  <c r="H173" i="19"/>
  <c r="H174" i="19"/>
  <c r="C837" i="13"/>
  <c r="N60" i="3"/>
  <c r="I62" i="19" s="1"/>
  <c r="H56" i="3"/>
  <c r="H89" i="3"/>
  <c r="H92" i="3" s="1"/>
  <c r="G173" i="19"/>
  <c r="K169" i="19"/>
  <c r="Q192" i="19" s="1"/>
  <c r="D192" i="19"/>
  <c r="N175" i="19"/>
  <c r="F56" i="3"/>
  <c r="K253" i="3"/>
  <c r="C262" i="19" s="1"/>
  <c r="C198" i="19"/>
  <c r="H175" i="19"/>
  <c r="F270" i="19"/>
  <c r="H170" i="19"/>
  <c r="N89" i="3"/>
  <c r="AN89" i="3" s="1"/>
  <c r="E268" i="19"/>
  <c r="P173" i="19"/>
  <c r="L173" i="19"/>
  <c r="G175" i="19"/>
  <c r="E246" i="19"/>
  <c r="E336" i="3"/>
  <c r="E340" i="3" s="1"/>
  <c r="J351" i="3"/>
  <c r="J356" i="3" s="1"/>
  <c r="K303" i="3"/>
  <c r="K56" i="3"/>
  <c r="K311" i="3"/>
  <c r="I56" i="3"/>
  <c r="C336" i="3"/>
  <c r="C338" i="3" s="1"/>
  <c r="N275" i="3"/>
  <c r="N328" i="3"/>
  <c r="N159" i="19" s="1"/>
  <c r="N371" i="3"/>
  <c r="N336" i="3"/>
  <c r="N338" i="3" s="1"/>
  <c r="H160" i="19"/>
  <c r="I371" i="3"/>
  <c r="I336" i="3"/>
  <c r="I338" i="3" s="1"/>
  <c r="I328" i="3"/>
  <c r="C253" i="19"/>
  <c r="J275" i="3"/>
  <c r="G89" i="3"/>
  <c r="G60" i="3"/>
  <c r="E262" i="19"/>
  <c r="G275" i="3"/>
  <c r="I248" i="3"/>
  <c r="K248" i="3" s="1"/>
  <c r="C257" i="19" s="1"/>
  <c r="K246" i="3"/>
  <c r="C255" i="19" s="1"/>
  <c r="M89" i="3"/>
  <c r="AM89" i="3" s="1"/>
  <c r="M60" i="3"/>
  <c r="AH59" i="3"/>
  <c r="E77" i="19"/>
  <c r="J282" i="3"/>
  <c r="C78" i="13"/>
  <c r="G211" i="19"/>
  <c r="G209" i="19"/>
  <c r="G170" i="19"/>
  <c r="M234" i="3"/>
  <c r="C26" i="19" s="1"/>
  <c r="F89" i="3"/>
  <c r="F60" i="3"/>
  <c r="F170" i="19"/>
  <c r="F211" i="19"/>
  <c r="K234" i="3"/>
  <c r="F209" i="19"/>
  <c r="H353" i="3"/>
  <c r="H376" i="3" s="1"/>
  <c r="H352" i="3"/>
  <c r="H375" i="3" s="1"/>
  <c r="P191" i="19"/>
  <c r="C191" i="19"/>
  <c r="I89" i="3"/>
  <c r="AD59" i="3"/>
  <c r="I60" i="3"/>
  <c r="G160" i="19"/>
  <c r="H371" i="3"/>
  <c r="I353" i="3" s="1"/>
  <c r="I376" i="3" s="1"/>
  <c r="H328" i="3"/>
  <c r="H336" i="3"/>
  <c r="H338" i="3" s="1"/>
  <c r="H197" i="19"/>
  <c r="O174" i="19"/>
  <c r="K174" i="19"/>
  <c r="D197" i="19"/>
  <c r="F336" i="3"/>
  <c r="F331" i="3"/>
  <c r="C238" i="19"/>
  <c r="M56" i="3"/>
  <c r="G56" i="3"/>
  <c r="E60" i="3"/>
  <c r="E89" i="3"/>
  <c r="K275" i="3"/>
  <c r="M275" i="3"/>
  <c r="G174" i="19"/>
  <c r="K175" i="19"/>
  <c r="O175" i="19"/>
  <c r="J371" i="3"/>
  <c r="K353" i="3" s="1"/>
  <c r="K160" i="19"/>
  <c r="J328" i="3"/>
  <c r="J336" i="3"/>
  <c r="J338" i="3" s="1"/>
  <c r="C209" i="19"/>
  <c r="H234" i="3"/>
  <c r="J60" i="3"/>
  <c r="AE59" i="3"/>
  <c r="J89" i="3"/>
  <c r="AJ89" i="3" s="1"/>
  <c r="M371" i="3"/>
  <c r="M336" i="3"/>
  <c r="M338" i="3" s="1"/>
  <c r="M160" i="19"/>
  <c r="M328" i="3"/>
  <c r="D331" i="3"/>
  <c r="D336" i="3"/>
  <c r="K60" i="3"/>
  <c r="K89" i="3"/>
  <c r="AK89" i="3" s="1"/>
  <c r="AF59" i="3"/>
  <c r="D234" i="19"/>
  <c r="D209" i="19"/>
  <c r="D211" i="19"/>
  <c r="I234" i="3"/>
  <c r="M173" i="19"/>
  <c r="H242" i="19"/>
  <c r="H275" i="3"/>
  <c r="J56" i="3"/>
  <c r="K336" i="3"/>
  <c r="K338" i="3" s="1"/>
  <c r="L160" i="19"/>
  <c r="K328" i="3"/>
  <c r="K371" i="3"/>
  <c r="K356" i="3"/>
  <c r="P364" i="3" s="1"/>
  <c r="M351" i="3"/>
  <c r="M356" i="3" s="1"/>
  <c r="C234" i="19"/>
  <c r="H196" i="19"/>
  <c r="O173" i="19"/>
  <c r="C197" i="19"/>
  <c r="C202" i="19" s="1"/>
  <c r="C196" i="19"/>
  <c r="N174" i="19"/>
  <c r="N173" i="19"/>
  <c r="E198" i="19"/>
  <c r="L175" i="19"/>
  <c r="P175" i="19"/>
  <c r="F198" i="19"/>
  <c r="M175" i="19"/>
  <c r="M174" i="19"/>
  <c r="D15" i="19" l="1"/>
  <c r="I39" i="10"/>
  <c r="I156" i="2" s="1"/>
  <c r="I104" i="10"/>
  <c r="K103" i="10"/>
  <c r="K104" i="10" s="1"/>
  <c r="K5" i="4"/>
  <c r="M4" i="20"/>
  <c r="R4" i="20" s="1"/>
  <c r="I4" i="20"/>
  <c r="N356" i="3"/>
  <c r="K246" i="19" s="1"/>
  <c r="C15" i="19"/>
  <c r="F16" i="18"/>
  <c r="D8" i="15"/>
  <c r="H246" i="19"/>
  <c r="H127" i="19"/>
  <c r="G125" i="19"/>
  <c r="G127" i="19"/>
  <c r="G135" i="19"/>
  <c r="F131" i="19"/>
  <c r="H12" i="2"/>
  <c r="D630" i="13" s="1"/>
  <c r="X630" i="13" s="1"/>
  <c r="O629" i="13"/>
  <c r="I21" i="5"/>
  <c r="E8" i="15" s="1"/>
  <c r="I47" i="10"/>
  <c r="AA205" i="3" s="1"/>
  <c r="G14" i="8"/>
  <c r="V10" i="3" s="1"/>
  <c r="U10" i="3" s="1"/>
  <c r="H56" i="10"/>
  <c r="F33" i="20"/>
  <c r="U193" i="3"/>
  <c r="K39" i="10"/>
  <c r="J47" i="10"/>
  <c r="J156" i="2"/>
  <c r="H33" i="20" s="1"/>
  <c r="K17" i="8"/>
  <c r="E251" i="10"/>
  <c r="E227" i="10" s="1"/>
  <c r="E228" i="10" s="1"/>
  <c r="Y261" i="3"/>
  <c r="Y265" i="3"/>
  <c r="P333" i="3"/>
  <c r="P334" i="3" s="1"/>
  <c r="I12" i="2"/>
  <c r="AA38" i="3" s="1"/>
  <c r="E224" i="10"/>
  <c r="E220" i="10" s="1"/>
  <c r="D30" i="8" s="1"/>
  <c r="E79" i="10"/>
  <c r="E27" i="10" s="1"/>
  <c r="D9" i="14" s="1"/>
  <c r="H85" i="8"/>
  <c r="I89" i="8" s="1"/>
  <c r="C407" i="13"/>
  <c r="AC7" i="3"/>
  <c r="E27" i="2"/>
  <c r="E28" i="2" s="1"/>
  <c r="D73" i="14"/>
  <c r="D6" i="3"/>
  <c r="E35" i="2"/>
  <c r="E36" i="2" s="1"/>
  <c r="C2" i="18"/>
  <c r="C9" i="18" s="1"/>
  <c r="E15" i="2"/>
  <c r="C62" i="13"/>
  <c r="E52" i="2"/>
  <c r="D81" i="8"/>
  <c r="C3" i="18"/>
  <c r="E9" i="2"/>
  <c r="E23" i="2"/>
  <c r="E24" i="2" s="1"/>
  <c r="I127" i="8"/>
  <c r="I129" i="8" s="1"/>
  <c r="I131" i="8" s="1"/>
  <c r="I79" i="8" s="1"/>
  <c r="J12" i="2" s="1"/>
  <c r="H14" i="20" s="1"/>
  <c r="R14" i="20" s="1"/>
  <c r="F14" i="20"/>
  <c r="P14" i="20" s="1"/>
  <c r="H105" i="14"/>
  <c r="H104" i="14" s="1"/>
  <c r="H487" i="10"/>
  <c r="C262" i="10"/>
  <c r="C489" i="10"/>
  <c r="C263" i="10"/>
  <c r="C516" i="10" s="1"/>
  <c r="C270" i="10"/>
  <c r="D262" i="10"/>
  <c r="D489" i="10"/>
  <c r="D263" i="10"/>
  <c r="D270" i="10"/>
  <c r="C488" i="10"/>
  <c r="C238" i="10"/>
  <c r="C513" i="10" s="1"/>
  <c r="C239" i="10"/>
  <c r="E215" i="10"/>
  <c r="C209" i="10"/>
  <c r="C226" i="10" s="1"/>
  <c r="C208" i="10"/>
  <c r="C225" i="10" s="1"/>
  <c r="C228" i="10"/>
  <c r="C207" i="10"/>
  <c r="C487" i="10"/>
  <c r="C218" i="10"/>
  <c r="F208" i="10"/>
  <c r="F225" i="10" s="1"/>
  <c r="F209" i="10"/>
  <c r="F226" i="10" s="1"/>
  <c r="F487" i="10"/>
  <c r="L286" i="3"/>
  <c r="F207" i="10"/>
  <c r="D208" i="10"/>
  <c r="D225" i="10" s="1"/>
  <c r="D209" i="10"/>
  <c r="D226" i="10" s="1"/>
  <c r="D228" i="10"/>
  <c r="D207" i="10"/>
  <c r="D487" i="10"/>
  <c r="D218" i="10"/>
  <c r="F218" i="10"/>
  <c r="C159" i="10"/>
  <c r="C482" i="10" s="1"/>
  <c r="C163" i="10"/>
  <c r="C165" i="10" s="1"/>
  <c r="C168" i="10"/>
  <c r="E172" i="10"/>
  <c r="E482" i="10"/>
  <c r="D161" i="10"/>
  <c r="F165" i="10"/>
  <c r="F175" i="10"/>
  <c r="F174" i="10" s="1"/>
  <c r="F180" i="10" s="1"/>
  <c r="F171" i="10"/>
  <c r="F144" i="10"/>
  <c r="F143" i="10" s="1"/>
  <c r="F149" i="10" s="1"/>
  <c r="F140" i="10"/>
  <c r="E50" i="14" s="1"/>
  <c r="F481" i="10"/>
  <c r="F137" i="10"/>
  <c r="E480" i="10"/>
  <c r="E472" i="10" s="1"/>
  <c r="E91" i="10"/>
  <c r="E45" i="14"/>
  <c r="D168" i="10"/>
  <c r="E77" i="10"/>
  <c r="F77" i="10"/>
  <c r="G77" i="10"/>
  <c r="I24" i="10"/>
  <c r="I25" i="10"/>
  <c r="I23" i="10"/>
  <c r="K324" i="10"/>
  <c r="K325" i="10" s="1"/>
  <c r="D520" i="10"/>
  <c r="J24" i="10"/>
  <c r="J25" i="10"/>
  <c r="J23" i="10"/>
  <c r="E84" i="10"/>
  <c r="D134" i="10"/>
  <c r="J236" i="10"/>
  <c r="J91" i="8"/>
  <c r="J87" i="8" s="1"/>
  <c r="I85" i="8"/>
  <c r="J89" i="8" s="1"/>
  <c r="J90" i="8"/>
  <c r="J86" i="8" s="1"/>
  <c r="J119" i="8"/>
  <c r="J120" i="8" s="1"/>
  <c r="J122" i="8" s="1"/>
  <c r="J126" i="8"/>
  <c r="K113" i="8"/>
  <c r="K103" i="8"/>
  <c r="L104" i="8"/>
  <c r="L94" i="8"/>
  <c r="K98" i="8"/>
  <c r="K93" i="8"/>
  <c r="K97" i="8" s="1"/>
  <c r="N109" i="8"/>
  <c r="L95" i="8"/>
  <c r="K99" i="8"/>
  <c r="G340" i="3"/>
  <c r="G333" i="3" s="1"/>
  <c r="G334" i="3" s="1"/>
  <c r="G339" i="3"/>
  <c r="G17" i="5"/>
  <c r="C5" i="15" s="1"/>
  <c r="G77" i="2"/>
  <c r="G78" i="2"/>
  <c r="C23" i="15" s="1"/>
  <c r="K162" i="2"/>
  <c r="J161" i="2"/>
  <c r="C86" i="14"/>
  <c r="D50" i="2"/>
  <c r="D56" i="2"/>
  <c r="Z629" i="13"/>
  <c r="P629" i="13"/>
  <c r="G16" i="18"/>
  <c r="J21" i="5"/>
  <c r="F8" i="15" s="1"/>
  <c r="O184" i="2"/>
  <c r="O105" i="2" s="1"/>
  <c r="N105" i="2"/>
  <c r="J146" i="2"/>
  <c r="K147" i="2"/>
  <c r="J96" i="2"/>
  <c r="K169" i="2"/>
  <c r="J168" i="2"/>
  <c r="E22" i="5"/>
  <c r="C57" i="2"/>
  <c r="C85" i="2"/>
  <c r="C84" i="2" s="1"/>
  <c r="C83" i="2" s="1"/>
  <c r="C129" i="2" s="1"/>
  <c r="C138" i="2" s="1"/>
  <c r="L117" i="2"/>
  <c r="K114" i="2"/>
  <c r="G87" i="2"/>
  <c r="C630" i="13"/>
  <c r="C592" i="13"/>
  <c r="I62" i="2"/>
  <c r="H64" i="2"/>
  <c r="G357" i="3"/>
  <c r="O591" i="13"/>
  <c r="Y591" i="13"/>
  <c r="H269" i="13"/>
  <c r="K51" i="8"/>
  <c r="F591" i="13"/>
  <c r="F528" i="13"/>
  <c r="P528" i="13" s="1"/>
  <c r="T364" i="3"/>
  <c r="L246" i="19" s="1"/>
  <c r="F246" i="19"/>
  <c r="F220" i="19"/>
  <c r="F46" i="19"/>
  <c r="O364" i="3"/>
  <c r="O357" i="3"/>
  <c r="O338" i="3"/>
  <c r="O339" i="3"/>
  <c r="O340" i="3"/>
  <c r="O353" i="3"/>
  <c r="O376" i="3" s="1"/>
  <c r="I105" i="14"/>
  <c r="I104" i="14" s="1"/>
  <c r="I209" i="10"/>
  <c r="I226" i="10" s="1"/>
  <c r="E520" i="10"/>
  <c r="I272" i="13"/>
  <c r="D165" i="10"/>
  <c r="G72" i="10"/>
  <c r="G455" i="10"/>
  <c r="G466" i="10" s="1"/>
  <c r="H71" i="10"/>
  <c r="F22" i="14"/>
  <c r="AF22" i="14" s="1"/>
  <c r="F168" i="10"/>
  <c r="F482" i="10"/>
  <c r="G36" i="14"/>
  <c r="AG36" i="14" s="1"/>
  <c r="I157" i="10"/>
  <c r="K236" i="10"/>
  <c r="L235" i="10"/>
  <c r="G239" i="10"/>
  <c r="G238" i="10"/>
  <c r="G488" i="10"/>
  <c r="I260" i="10"/>
  <c r="J259" i="10"/>
  <c r="E40" i="14"/>
  <c r="E8" i="14"/>
  <c r="C7" i="14"/>
  <c r="C32" i="14"/>
  <c r="E69" i="14"/>
  <c r="F507" i="10"/>
  <c r="G38" i="14"/>
  <c r="AG38" i="14" s="1"/>
  <c r="H156" i="10"/>
  <c r="I155" i="10"/>
  <c r="J331" i="10"/>
  <c r="J332" i="10" s="1"/>
  <c r="K333" i="10"/>
  <c r="G28" i="14"/>
  <c r="AG28" i="14" s="1"/>
  <c r="I126" i="10"/>
  <c r="I487" i="10"/>
  <c r="D31" i="14"/>
  <c r="E134" i="10"/>
  <c r="F268" i="10"/>
  <c r="F270" i="10" s="1"/>
  <c r="G265" i="10"/>
  <c r="F37" i="14"/>
  <c r="AF37" i="14" s="1"/>
  <c r="G154" i="10"/>
  <c r="J272" i="10"/>
  <c r="E5" i="17"/>
  <c r="E7" i="17"/>
  <c r="E34" i="10"/>
  <c r="E386" i="10"/>
  <c r="H244" i="10"/>
  <c r="I241" i="10"/>
  <c r="D40" i="14"/>
  <c r="D8" i="14"/>
  <c r="F321" i="10"/>
  <c r="E45" i="8" s="1"/>
  <c r="E43" i="8" s="1"/>
  <c r="E59" i="8" s="1"/>
  <c r="F251" i="10"/>
  <c r="F29" i="14"/>
  <c r="AF29" i="14" s="1"/>
  <c r="G123" i="10"/>
  <c r="F27" i="14" s="1"/>
  <c r="AF27" i="14" s="1"/>
  <c r="G30" i="14"/>
  <c r="AG30" i="14" s="1"/>
  <c r="H125" i="10"/>
  <c r="I124" i="10"/>
  <c r="F79" i="10"/>
  <c r="F75" i="10"/>
  <c r="F84" i="10"/>
  <c r="K17" i="10"/>
  <c r="K20" i="14"/>
  <c r="AK20" i="14" s="1"/>
  <c r="L457" i="10"/>
  <c r="M73" i="10"/>
  <c r="D79" i="10"/>
  <c r="D84" i="10"/>
  <c r="J319" i="10"/>
  <c r="G273" i="13" s="1"/>
  <c r="J360" i="10"/>
  <c r="I56" i="8" s="1"/>
  <c r="I57" i="8" s="1"/>
  <c r="J213" i="10"/>
  <c r="J202" i="10" s="1"/>
  <c r="K4" i="10"/>
  <c r="F931" i="13"/>
  <c r="F918" i="13"/>
  <c r="F919" i="13" s="1"/>
  <c r="AI89" i="3"/>
  <c r="C529" i="13"/>
  <c r="M529" i="13" s="1"/>
  <c r="Q38" i="3"/>
  <c r="D863" i="13"/>
  <c r="E14" i="20"/>
  <c r="J125" i="8"/>
  <c r="K112" i="8"/>
  <c r="K118" i="8"/>
  <c r="L108" i="8"/>
  <c r="M473" i="10"/>
  <c r="J80" i="14"/>
  <c r="AJ80" i="14" s="1"/>
  <c r="K10" i="2"/>
  <c r="H842" i="13"/>
  <c r="K69" i="8"/>
  <c r="J67" i="8"/>
  <c r="L4" i="4"/>
  <c r="I358" i="3"/>
  <c r="I264" i="3" s="1"/>
  <c r="I135" i="19"/>
  <c r="I127" i="19"/>
  <c r="N92" i="3"/>
  <c r="H135" i="19"/>
  <c r="H125" i="19"/>
  <c r="H131" i="19"/>
  <c r="D62" i="19"/>
  <c r="G298" i="13"/>
  <c r="I131" i="19"/>
  <c r="I125" i="19"/>
  <c r="G285" i="13"/>
  <c r="I67" i="13"/>
  <c r="I68" i="13" s="1"/>
  <c r="J65" i="13"/>
  <c r="Q196" i="13"/>
  <c r="H68" i="13"/>
  <c r="N67" i="13"/>
  <c r="R182" i="13"/>
  <c r="Q197" i="13" s="1"/>
  <c r="R176" i="13"/>
  <c r="G292" i="13"/>
  <c r="G279" i="13"/>
  <c r="G293" i="13"/>
  <c r="G291" i="13"/>
  <c r="G294" i="13"/>
  <c r="G289" i="13"/>
  <c r="G295" i="13"/>
  <c r="G278" i="13"/>
  <c r="G277" i="13"/>
  <c r="S107" i="19"/>
  <c r="C339" i="3"/>
  <c r="C340" i="3"/>
  <c r="N353" i="3"/>
  <c r="N376" i="3" s="1"/>
  <c r="H97" i="3"/>
  <c r="H98" i="3" s="1"/>
  <c r="E338" i="3"/>
  <c r="E333" i="3" s="1"/>
  <c r="H374" i="3"/>
  <c r="M339" i="3"/>
  <c r="D202" i="19"/>
  <c r="N97" i="3"/>
  <c r="I339" i="3"/>
  <c r="J358" i="3"/>
  <c r="J353" i="3"/>
  <c r="J376" i="3" s="1"/>
  <c r="C201" i="19"/>
  <c r="K339" i="3"/>
  <c r="H211" i="19"/>
  <c r="H209" i="19"/>
  <c r="E339" i="3"/>
  <c r="N339" i="3"/>
  <c r="N340" i="3"/>
  <c r="N333" i="3" s="1"/>
  <c r="N370" i="3"/>
  <c r="E248" i="19"/>
  <c r="M370" i="3"/>
  <c r="M159" i="19"/>
  <c r="M340" i="3"/>
  <c r="M333" i="3" s="1"/>
  <c r="N278" i="19" s="1"/>
  <c r="C193" i="19"/>
  <c r="C203" i="19" s="1"/>
  <c r="P193" i="19"/>
  <c r="R107" i="19"/>
  <c r="E270" i="19"/>
  <c r="K159" i="19"/>
  <c r="J370" i="3"/>
  <c r="J340" i="3"/>
  <c r="J333" i="3" s="1"/>
  <c r="L278" i="19" s="1"/>
  <c r="E92" i="3"/>
  <c r="E97" i="3"/>
  <c r="E98" i="3" s="1"/>
  <c r="K370" i="3"/>
  <c r="M352" i="3" s="1"/>
  <c r="L159" i="19"/>
  <c r="K340" i="3"/>
  <c r="K333" i="3" s="1"/>
  <c r="M278" i="19" s="1"/>
  <c r="K110" i="19"/>
  <c r="E298" i="13"/>
  <c r="Q107" i="19"/>
  <c r="H62" i="19"/>
  <c r="D270" i="19" s="1"/>
  <c r="G97" i="3"/>
  <c r="G98" i="3" s="1"/>
  <c r="G92" i="3"/>
  <c r="J92" i="3"/>
  <c r="J97" i="3"/>
  <c r="AE89" i="3"/>
  <c r="J339" i="3"/>
  <c r="F97" i="3"/>
  <c r="F98" i="3" s="1"/>
  <c r="F92" i="3"/>
  <c r="M92" i="3"/>
  <c r="M97" i="3"/>
  <c r="AH89" i="3"/>
  <c r="E264" i="19"/>
  <c r="E238" i="19"/>
  <c r="C240" i="19"/>
  <c r="K376" i="3"/>
  <c r="AF89" i="3"/>
  <c r="K97" i="3"/>
  <c r="K92" i="3"/>
  <c r="G62" i="19"/>
  <c r="C270" i="19" s="1"/>
  <c r="P107" i="19"/>
  <c r="D238" i="19"/>
  <c r="M353" i="3"/>
  <c r="D338" i="3"/>
  <c r="D339" i="3"/>
  <c r="D340" i="3"/>
  <c r="H339" i="3"/>
  <c r="AD89" i="3"/>
  <c r="I97" i="3"/>
  <c r="I99" i="3" s="1"/>
  <c r="I92" i="3"/>
  <c r="H159" i="19"/>
  <c r="I370" i="3"/>
  <c r="I340" i="3"/>
  <c r="I333" i="3" s="1"/>
  <c r="K278" i="19" s="1"/>
  <c r="H358" i="3"/>
  <c r="H264" i="3" s="1"/>
  <c r="L107" i="19"/>
  <c r="F298" i="13"/>
  <c r="C62" i="19"/>
  <c r="C110" i="19"/>
  <c r="D298" i="13"/>
  <c r="H298" i="13"/>
  <c r="E62" i="19"/>
  <c r="N107" i="19"/>
  <c r="C242" i="19"/>
  <c r="K364" i="3"/>
  <c r="C246" i="19" s="1"/>
  <c r="K358" i="3"/>
  <c r="P366" i="3" s="1"/>
  <c r="G246" i="19"/>
  <c r="D242" i="19"/>
  <c r="M364" i="3"/>
  <c r="D246" i="19" s="1"/>
  <c r="M358" i="3"/>
  <c r="F62" i="19"/>
  <c r="O107" i="19"/>
  <c r="I298" i="13"/>
  <c r="E255" i="19"/>
  <c r="E257" i="19"/>
  <c r="F338" i="3"/>
  <c r="F339" i="3"/>
  <c r="F340" i="3"/>
  <c r="G159" i="19"/>
  <c r="H340" i="3"/>
  <c r="H333" i="3" s="1"/>
  <c r="H278" i="19" s="1"/>
  <c r="H370" i="3"/>
  <c r="D191" i="19"/>
  <c r="D201" i="19" s="1"/>
  <c r="K207" i="19"/>
  <c r="K168" i="19"/>
  <c r="Q191" i="19" s="1"/>
  <c r="N364" i="3" l="1"/>
  <c r="L103" i="10"/>
  <c r="L39" i="10" s="1"/>
  <c r="L5" i="4"/>
  <c r="N4" i="20"/>
  <c r="S4" i="20" s="1"/>
  <c r="D529" i="13"/>
  <c r="N529" i="13" s="1"/>
  <c r="E863" i="13"/>
  <c r="D592" i="13"/>
  <c r="N592" i="13" s="1"/>
  <c r="H14" i="8"/>
  <c r="AA10" i="3" s="1"/>
  <c r="D956" i="13"/>
  <c r="AN97" i="3"/>
  <c r="N630" i="13"/>
  <c r="C956" i="13"/>
  <c r="AM97" i="3"/>
  <c r="U227" i="3"/>
  <c r="U211" i="3"/>
  <c r="J951" i="13"/>
  <c r="V38" i="3"/>
  <c r="H87" i="2"/>
  <c r="G14" i="20"/>
  <c r="Q14" i="20" s="1"/>
  <c r="I87" i="2"/>
  <c r="F863" i="13"/>
  <c r="E529" i="13"/>
  <c r="O529" i="13" s="1"/>
  <c r="E630" i="13"/>
  <c r="Y630" i="13" s="1"/>
  <c r="E592" i="13"/>
  <c r="O592" i="13" s="1"/>
  <c r="K99" i="3"/>
  <c r="AK97" i="3"/>
  <c r="Z205" i="3"/>
  <c r="N951" i="13" s="1"/>
  <c r="U199" i="3"/>
  <c r="J48" i="10"/>
  <c r="J56" i="10"/>
  <c r="I56" i="10"/>
  <c r="I48" i="10"/>
  <c r="I14" i="8"/>
  <c r="K47" i="10"/>
  <c r="J14" i="8" s="1"/>
  <c r="K156" i="2"/>
  <c r="I33" i="20" s="1"/>
  <c r="G33" i="20"/>
  <c r="Z193" i="3"/>
  <c r="L17" i="8"/>
  <c r="C224" i="10"/>
  <c r="C220" i="10" s="1"/>
  <c r="D224" i="10"/>
  <c r="D220" i="10" s="1"/>
  <c r="D23" i="14"/>
  <c r="D6" i="14" s="1"/>
  <c r="D13" i="14" s="1"/>
  <c r="E81" i="10"/>
  <c r="E462" i="10" s="1"/>
  <c r="E467" i="10" s="1"/>
  <c r="E461" i="10"/>
  <c r="C27" i="10"/>
  <c r="Z265" i="3"/>
  <c r="Z261" i="3"/>
  <c r="F163" i="19"/>
  <c r="D82" i="14"/>
  <c r="C4" i="18"/>
  <c r="E42" i="2"/>
  <c r="E44" i="2" s="1"/>
  <c r="C5" i="18" s="1"/>
  <c r="E16" i="2"/>
  <c r="C43" i="22" s="1"/>
  <c r="C17" i="20"/>
  <c r="E47" i="2"/>
  <c r="J127" i="8"/>
  <c r="J129" i="8" s="1"/>
  <c r="J131" i="8" s="1"/>
  <c r="J79" i="8" s="1"/>
  <c r="D53" i="3"/>
  <c r="E56" i="3" s="1"/>
  <c r="AC6" i="3"/>
  <c r="C72" i="13" s="1"/>
  <c r="AE5" i="3"/>
  <c r="I81" i="14"/>
  <c r="AI81" i="14" s="1"/>
  <c r="D74" i="14"/>
  <c r="D76" i="14"/>
  <c r="D77" i="14" s="1"/>
  <c r="F252" i="10"/>
  <c r="F227" i="10"/>
  <c r="F224" i="10" s="1"/>
  <c r="F220" i="10" s="1"/>
  <c r="E30" i="8" s="1"/>
  <c r="F215" i="10"/>
  <c r="F216" i="10" s="1"/>
  <c r="L308" i="3"/>
  <c r="L303" i="3"/>
  <c r="L309" i="3"/>
  <c r="F147" i="10"/>
  <c r="F35" i="14"/>
  <c r="AF35" i="14" s="1"/>
  <c r="G165" i="10"/>
  <c r="E171" i="10"/>
  <c r="E175" i="10"/>
  <c r="E174" i="10" s="1"/>
  <c r="F178" i="10"/>
  <c r="F170" i="10"/>
  <c r="F480" i="10"/>
  <c r="F472" i="10" s="1"/>
  <c r="F91" i="10"/>
  <c r="F90" i="10" s="1"/>
  <c r="E95" i="10"/>
  <c r="E94" i="10" s="1"/>
  <c r="E90" i="10"/>
  <c r="J272" i="13"/>
  <c r="K23" i="10"/>
  <c r="K25" i="10"/>
  <c r="K24" i="10"/>
  <c r="J324" i="10"/>
  <c r="I324" i="10" s="1"/>
  <c r="K91" i="8"/>
  <c r="K87" i="8" s="1"/>
  <c r="K126" i="8"/>
  <c r="L113" i="8"/>
  <c r="K90" i="8"/>
  <c r="K86" i="8" s="1"/>
  <c r="J85" i="8"/>
  <c r="K89" i="8" s="1"/>
  <c r="K119" i="8"/>
  <c r="K120" i="8" s="1"/>
  <c r="K122" i="8" s="1"/>
  <c r="L98" i="8"/>
  <c r="L93" i="8"/>
  <c r="L97" i="8" s="1"/>
  <c r="M94" i="8"/>
  <c r="L103" i="8"/>
  <c r="M104" i="8"/>
  <c r="L99" i="8"/>
  <c r="M95" i="8"/>
  <c r="G278" i="3"/>
  <c r="G268" i="3" s="1"/>
  <c r="G273" i="3" s="1"/>
  <c r="G278" i="19"/>
  <c r="K168" i="2"/>
  <c r="L169" i="2"/>
  <c r="L162" i="2"/>
  <c r="K161" i="2"/>
  <c r="E26" i="5"/>
  <c r="E27" i="5"/>
  <c r="F592" i="13"/>
  <c r="P592" i="13" s="1"/>
  <c r="F630" i="13"/>
  <c r="M592" i="13"/>
  <c r="W592" i="13"/>
  <c r="W630" i="13"/>
  <c r="M630" i="13"/>
  <c r="L147" i="2"/>
  <c r="K146" i="2"/>
  <c r="K96" i="2"/>
  <c r="B6" i="18"/>
  <c r="C88" i="14"/>
  <c r="D57" i="2"/>
  <c r="C89" i="14" s="1"/>
  <c r="D85" i="2"/>
  <c r="D84" i="2" s="1"/>
  <c r="D83" i="2" s="1"/>
  <c r="D129" i="2" s="1"/>
  <c r="D138" i="2" s="1"/>
  <c r="D29" i="5"/>
  <c r="H17" i="5"/>
  <c r="H77" i="2"/>
  <c r="H78" i="2"/>
  <c r="D23" i="15" s="1"/>
  <c r="H16" i="18"/>
  <c r="K21" i="5"/>
  <c r="J62" i="2"/>
  <c r="I64" i="2"/>
  <c r="L114" i="2"/>
  <c r="M117" i="2"/>
  <c r="G24" i="5"/>
  <c r="C6" i="15" s="1"/>
  <c r="G18" i="5"/>
  <c r="E14" i="18"/>
  <c r="C17" i="19"/>
  <c r="C19" i="19" s="1"/>
  <c r="M19" i="19" s="1"/>
  <c r="M99" i="3"/>
  <c r="D17" i="19"/>
  <c r="D19" i="19" s="1"/>
  <c r="N19" i="19" s="1"/>
  <c r="N99" i="3"/>
  <c r="AJ97" i="3"/>
  <c r="J99" i="3"/>
  <c r="G863" i="13"/>
  <c r="F529" i="13"/>
  <c r="P529" i="13" s="1"/>
  <c r="J87" i="2"/>
  <c r="P591" i="13"/>
  <c r="Z591" i="13"/>
  <c r="I269" i="13"/>
  <c r="L51" i="8"/>
  <c r="T366" i="3"/>
  <c r="L248" i="19" s="1"/>
  <c r="T365" i="3"/>
  <c r="L247" i="19" s="1"/>
  <c r="O352" i="3"/>
  <c r="O375" i="3" s="1"/>
  <c r="O374" i="3" s="1"/>
  <c r="J264" i="3"/>
  <c r="O333" i="3"/>
  <c r="O366" i="3"/>
  <c r="O264" i="3"/>
  <c r="O260" i="3"/>
  <c r="J487" i="10"/>
  <c r="J209" i="10"/>
  <c r="J226" i="10" s="1"/>
  <c r="C39" i="14"/>
  <c r="C8" i="14" s="1"/>
  <c r="D15" i="14"/>
  <c r="G456" i="10"/>
  <c r="F21" i="14"/>
  <c r="AF21" i="14" s="1"/>
  <c r="G70" i="10"/>
  <c r="G81" i="10" s="1"/>
  <c r="G22" i="14"/>
  <c r="AG22" i="14" s="1"/>
  <c r="I71" i="10"/>
  <c r="H455" i="10"/>
  <c r="H466" i="10" s="1"/>
  <c r="H72" i="10"/>
  <c r="G29" i="14"/>
  <c r="AG29" i="14" s="1"/>
  <c r="H123" i="10"/>
  <c r="E51" i="14"/>
  <c r="E68" i="14"/>
  <c r="E71" i="14" s="1"/>
  <c r="F506" i="10"/>
  <c r="F39" i="14"/>
  <c r="G37" i="14"/>
  <c r="AG37" i="14" s="1"/>
  <c r="H154" i="10"/>
  <c r="I244" i="10"/>
  <c r="J241" i="10"/>
  <c r="H28" i="14"/>
  <c r="AH28" i="14" s="1"/>
  <c r="J126" i="10"/>
  <c r="L236" i="10"/>
  <c r="M235" i="10"/>
  <c r="F393" i="10"/>
  <c r="X389" i="10"/>
  <c r="F38" i="10"/>
  <c r="D32" i="14"/>
  <c r="D7" i="14"/>
  <c r="D14" i="14" s="1"/>
  <c r="L17" i="10"/>
  <c r="K259" i="10"/>
  <c r="J260" i="10"/>
  <c r="H36" i="14"/>
  <c r="AH36" i="14" s="1"/>
  <c r="J157" i="10"/>
  <c r="G251" i="10"/>
  <c r="G227" i="10" s="1"/>
  <c r="J105" i="14"/>
  <c r="J104" i="14" s="1"/>
  <c r="L333" i="10"/>
  <c r="K331" i="10"/>
  <c r="K332" i="10" s="1"/>
  <c r="L20" i="14"/>
  <c r="AL20" i="14" s="1"/>
  <c r="M457" i="10"/>
  <c r="N73" i="10"/>
  <c r="D98" i="10"/>
  <c r="D114" i="10"/>
  <c r="F461" i="10"/>
  <c r="F81" i="10"/>
  <c r="E23" i="14"/>
  <c r="G268" i="10"/>
  <c r="G270" i="10" s="1"/>
  <c r="H265" i="10"/>
  <c r="H38" i="14"/>
  <c r="AH38" i="14" s="1"/>
  <c r="J155" i="10"/>
  <c r="I156" i="10"/>
  <c r="C23" i="14"/>
  <c r="D461" i="10"/>
  <c r="D81" i="10"/>
  <c r="D462" i="10" s="1"/>
  <c r="D467" i="10" s="1"/>
  <c r="D100" i="10"/>
  <c r="D27" i="10"/>
  <c r="C9" i="14" s="1"/>
  <c r="C14" i="14" s="1"/>
  <c r="D116" i="10"/>
  <c r="H30" i="14"/>
  <c r="AH30" i="14" s="1"/>
  <c r="I125" i="10"/>
  <c r="J124" i="10"/>
  <c r="K272" i="10"/>
  <c r="F489" i="10"/>
  <c r="F262" i="10"/>
  <c r="F263" i="10"/>
  <c r="D16" i="14"/>
  <c r="D10" i="14"/>
  <c r="L4" i="10"/>
  <c r="K319" i="10"/>
  <c r="H273" i="13" s="1"/>
  <c r="K360" i="10"/>
  <c r="J56" i="8" s="1"/>
  <c r="J57" i="8" s="1"/>
  <c r="K213" i="10"/>
  <c r="K202" i="10" s="1"/>
  <c r="E935" i="13"/>
  <c r="E937" i="13" s="1"/>
  <c r="C935" i="13"/>
  <c r="C937" i="13" s="1"/>
  <c r="D935" i="13"/>
  <c r="D937" i="13" s="1"/>
  <c r="F935" i="13"/>
  <c r="F937" i="13" s="1"/>
  <c r="N31" i="14"/>
  <c r="AI97" i="3"/>
  <c r="K125" i="8"/>
  <c r="K127" i="8" s="1"/>
  <c r="K129" i="8" s="1"/>
  <c r="L112" i="8"/>
  <c r="L118" i="8"/>
  <c r="M108" i="8"/>
  <c r="N473" i="10"/>
  <c r="I842" i="13"/>
  <c r="L69" i="8"/>
  <c r="K67" i="8"/>
  <c r="M218" i="10"/>
  <c r="F64" i="14"/>
  <c r="AF64" i="14" s="1"/>
  <c r="M4" i="4"/>
  <c r="N264" i="3"/>
  <c r="K248" i="19"/>
  <c r="N357" i="3"/>
  <c r="K247" i="19" s="1"/>
  <c r="E260" i="19"/>
  <c r="F260" i="19"/>
  <c r="Q204" i="13"/>
  <c r="J67" i="13"/>
  <c r="J68" i="13" s="1"/>
  <c r="K65" i="13"/>
  <c r="R184" i="13"/>
  <c r="R193" i="13" s="1"/>
  <c r="N163" i="19"/>
  <c r="O278" i="19"/>
  <c r="N366" i="3"/>
  <c r="D163" i="19"/>
  <c r="E278" i="19"/>
  <c r="F164" i="19"/>
  <c r="G279" i="19"/>
  <c r="E334" i="3"/>
  <c r="E239" i="19"/>
  <c r="N352" i="3"/>
  <c r="N375" i="3" s="1"/>
  <c r="N374" i="3" s="1"/>
  <c r="M357" i="3"/>
  <c r="F248" i="19"/>
  <c r="N98" i="3"/>
  <c r="D18" i="19" s="1"/>
  <c r="K357" i="3"/>
  <c r="N278" i="3"/>
  <c r="N268" i="3" s="1"/>
  <c r="N334" i="3"/>
  <c r="I278" i="3"/>
  <c r="I268" i="3" s="1"/>
  <c r="H163" i="19"/>
  <c r="I334" i="3"/>
  <c r="K163" i="19"/>
  <c r="J278" i="3"/>
  <c r="J268" i="3" s="1"/>
  <c r="J334" i="3"/>
  <c r="M163" i="19"/>
  <c r="M278" i="3"/>
  <c r="M268" i="3" s="1"/>
  <c r="M334" i="3"/>
  <c r="D239" i="19"/>
  <c r="M375" i="3"/>
  <c r="K98" i="3"/>
  <c r="AF97" i="3"/>
  <c r="J98" i="3"/>
  <c r="AE97" i="3"/>
  <c r="J357" i="3"/>
  <c r="K352" i="3"/>
  <c r="D333" i="3"/>
  <c r="D278" i="19" s="1"/>
  <c r="I98" i="3"/>
  <c r="AD97" i="3"/>
  <c r="D240" i="19"/>
  <c r="M376" i="3"/>
  <c r="H248" i="19"/>
  <c r="M366" i="3"/>
  <c r="D248" i="19" s="1"/>
  <c r="D244" i="19"/>
  <c r="M264" i="3"/>
  <c r="G163" i="19"/>
  <c r="H278" i="3"/>
  <c r="H268" i="3" s="1"/>
  <c r="H334" i="3"/>
  <c r="M98" i="3"/>
  <c r="C18" i="19" s="1"/>
  <c r="AH97" i="3"/>
  <c r="I352" i="3"/>
  <c r="I375" i="3" s="1"/>
  <c r="I374" i="3" s="1"/>
  <c r="H357" i="3"/>
  <c r="H260" i="3" s="1"/>
  <c r="E240" i="19"/>
  <c r="K366" i="3"/>
  <c r="C248" i="19" s="1"/>
  <c r="G248" i="19"/>
  <c r="C244" i="19"/>
  <c r="K264" i="3"/>
  <c r="F333" i="3"/>
  <c r="F278" i="19" s="1"/>
  <c r="K278" i="3"/>
  <c r="K268" i="3" s="1"/>
  <c r="L163" i="19"/>
  <c r="K334" i="3"/>
  <c r="J352" i="3"/>
  <c r="J375" i="3" s="1"/>
  <c r="J374" i="3" s="1"/>
  <c r="I357" i="3"/>
  <c r="K209" i="19"/>
  <c r="D193" i="19"/>
  <c r="D203" i="19" s="1"/>
  <c r="K170" i="19"/>
  <c r="Q193" i="19" s="1"/>
  <c r="K211" i="19"/>
  <c r="E266" i="19"/>
  <c r="L104" i="10" l="1"/>
  <c r="M103" i="10"/>
  <c r="M39" i="10" s="1"/>
  <c r="M5" i="4"/>
  <c r="X592" i="13"/>
  <c r="O630" i="13"/>
  <c r="D5" i="15"/>
  <c r="G7" i="5"/>
  <c r="M260" i="3"/>
  <c r="Y592" i="13"/>
  <c r="G22" i="5"/>
  <c r="C9" i="15" s="1"/>
  <c r="G30" i="5"/>
  <c r="Z211" i="3"/>
  <c r="U233" i="3"/>
  <c r="U359" i="3" s="1"/>
  <c r="W227" i="3"/>
  <c r="K56" i="10"/>
  <c r="K48" i="10"/>
  <c r="Z227" i="3"/>
  <c r="M104" i="10"/>
  <c r="L156" i="2"/>
  <c r="L47" i="10"/>
  <c r="K14" i="8" s="1"/>
  <c r="M17" i="8"/>
  <c r="K12" i="2"/>
  <c r="K87" i="2" s="1"/>
  <c r="J81" i="14"/>
  <c r="AJ81" i="14" s="1"/>
  <c r="E281" i="10"/>
  <c r="D24" i="14"/>
  <c r="J325" i="10"/>
  <c r="G269" i="3"/>
  <c r="G274" i="3" s="1"/>
  <c r="G279" i="3" s="1"/>
  <c r="K365" i="3"/>
  <c r="C247" i="19" s="1"/>
  <c r="P365" i="3"/>
  <c r="L311" i="3"/>
  <c r="D86" i="14"/>
  <c r="C24" i="20"/>
  <c r="E56" i="2"/>
  <c r="E50" i="2"/>
  <c r="K131" i="8"/>
  <c r="K79" i="8" s="1"/>
  <c r="L12" i="2" s="1"/>
  <c r="L87" i="2" s="1"/>
  <c r="G35" i="14"/>
  <c r="AG35" i="14" s="1"/>
  <c r="H165" i="10"/>
  <c r="H270" i="10" s="1"/>
  <c r="E170" i="10"/>
  <c r="D51" i="14"/>
  <c r="G27" i="14"/>
  <c r="AG27" i="14" s="1"/>
  <c r="H134" i="10"/>
  <c r="H246" i="10" s="1"/>
  <c r="H234" i="10" s="1"/>
  <c r="D49" i="14"/>
  <c r="E89" i="10"/>
  <c r="E92" i="10"/>
  <c r="E107" i="10"/>
  <c r="E109" i="10"/>
  <c r="E471" i="10"/>
  <c r="E96" i="10"/>
  <c r="D43" i="14"/>
  <c r="D46" i="14" s="1"/>
  <c r="E100" i="10"/>
  <c r="E101" i="10" s="1"/>
  <c r="E98" i="10"/>
  <c r="E470" i="10" s="1"/>
  <c r="F95" i="10"/>
  <c r="F94" i="10" s="1"/>
  <c r="L24" i="10"/>
  <c r="L23" i="10"/>
  <c r="L25" i="10"/>
  <c r="G462" i="10"/>
  <c r="G467" i="10" s="1"/>
  <c r="C40" i="14"/>
  <c r="L91" i="8"/>
  <c r="L87" i="8" s="1"/>
  <c r="L90" i="8"/>
  <c r="L86" i="8" s="1"/>
  <c r="K85" i="8"/>
  <c r="L89" i="8" s="1"/>
  <c r="L119" i="8"/>
  <c r="L120" i="8" s="1"/>
  <c r="L122" i="8" s="1"/>
  <c r="M103" i="8"/>
  <c r="N104" i="8"/>
  <c r="N103" i="8" s="1"/>
  <c r="M98" i="8"/>
  <c r="M93" i="8"/>
  <c r="M97" i="8" s="1"/>
  <c r="N94" i="8"/>
  <c r="L126" i="8"/>
  <c r="M113" i="8"/>
  <c r="M99" i="8"/>
  <c r="N95" i="8"/>
  <c r="N99" i="8" s="1"/>
  <c r="Z592" i="13"/>
  <c r="I17" i="5"/>
  <c r="E5" i="15" s="1"/>
  <c r="I78" i="2"/>
  <c r="E23" i="15" s="1"/>
  <c r="I77" i="2"/>
  <c r="M147" i="2"/>
  <c r="L146" i="2"/>
  <c r="L96" i="2"/>
  <c r="K62" i="2"/>
  <c r="J64" i="2"/>
  <c r="L21" i="5"/>
  <c r="I16" i="18"/>
  <c r="L161" i="2"/>
  <c r="M162" i="2"/>
  <c r="Z630" i="13"/>
  <c r="P630" i="13"/>
  <c r="L168" i="2"/>
  <c r="M169" i="2"/>
  <c r="N117" i="2"/>
  <c r="M114" i="2"/>
  <c r="H24" i="5"/>
  <c r="D6" i="15" s="1"/>
  <c r="F14" i="18"/>
  <c r="H18" i="5"/>
  <c r="N409" i="13"/>
  <c r="O278" i="3"/>
  <c r="O268" i="3" s="1"/>
  <c r="O269" i="3" s="1"/>
  <c r="O274" i="3" s="1"/>
  <c r="O279" i="3" s="1"/>
  <c r="J269" i="13"/>
  <c r="M51" i="8"/>
  <c r="N51" i="8" s="1"/>
  <c r="G253" i="19"/>
  <c r="O365" i="3"/>
  <c r="F247" i="19"/>
  <c r="O334" i="3"/>
  <c r="F938" i="13"/>
  <c r="F940" i="13"/>
  <c r="D938" i="13"/>
  <c r="D940" i="13"/>
  <c r="C938" i="13"/>
  <c r="C940" i="13"/>
  <c r="E938" i="13"/>
  <c r="E940" i="13"/>
  <c r="K487" i="10"/>
  <c r="K209" i="10"/>
  <c r="K226" i="10" s="1"/>
  <c r="H22" i="14"/>
  <c r="AH22" i="14" s="1"/>
  <c r="I455" i="10"/>
  <c r="I466" i="10" s="1"/>
  <c r="I72" i="10"/>
  <c r="J71" i="10"/>
  <c r="F19" i="14"/>
  <c r="AF19" i="14" s="1"/>
  <c r="G454" i="10"/>
  <c r="F23" i="14"/>
  <c r="G461" i="10"/>
  <c r="H70" i="10"/>
  <c r="H81" i="10" s="1"/>
  <c r="K20" i="15" s="1"/>
  <c r="H456" i="10"/>
  <c r="G21" i="14"/>
  <c r="AG21" i="14" s="1"/>
  <c r="I325" i="10"/>
  <c r="H324" i="10"/>
  <c r="D8" i="20"/>
  <c r="L272" i="10"/>
  <c r="C16" i="14"/>
  <c r="C10" i="14"/>
  <c r="L259" i="10"/>
  <c r="K260" i="10"/>
  <c r="F9" i="14"/>
  <c r="F510" i="10"/>
  <c r="M333" i="10"/>
  <c r="L331" i="10"/>
  <c r="L332" i="10" s="1"/>
  <c r="N235" i="10"/>
  <c r="M236" i="10"/>
  <c r="G168" i="10"/>
  <c r="D470" i="10"/>
  <c r="F8" i="14"/>
  <c r="AF39" i="14"/>
  <c r="F40" i="14"/>
  <c r="AF40" i="14" s="1"/>
  <c r="H268" i="10"/>
  <c r="I265" i="10"/>
  <c r="E6" i="14"/>
  <c r="E24" i="14"/>
  <c r="I28" i="14"/>
  <c r="AI28" i="14" s="1"/>
  <c r="K126" i="10"/>
  <c r="D11" i="18"/>
  <c r="F195" i="10"/>
  <c r="F495" i="10" s="1"/>
  <c r="I30" i="14"/>
  <c r="AI30" i="14" s="1"/>
  <c r="J125" i="10"/>
  <c r="K124" i="10"/>
  <c r="C6" i="14"/>
  <c r="C13" i="14" s="1"/>
  <c r="C24" i="14"/>
  <c r="G489" i="10"/>
  <c r="G262" i="10"/>
  <c r="G263" i="10"/>
  <c r="F462" i="10"/>
  <c r="F467" i="10" s="1"/>
  <c r="N457" i="10"/>
  <c r="M20" i="14"/>
  <c r="AM20" i="14" s="1"/>
  <c r="O73" i="10"/>
  <c r="G252" i="10"/>
  <c r="X390" i="10"/>
  <c r="F397" i="10"/>
  <c r="C15" i="14"/>
  <c r="F492" i="10"/>
  <c r="H29" i="14"/>
  <c r="AH29" i="14" s="1"/>
  <c r="I123" i="10"/>
  <c r="H37" i="14"/>
  <c r="AH37" i="14" s="1"/>
  <c r="I154" i="10"/>
  <c r="I36" i="14"/>
  <c r="AI36" i="14" s="1"/>
  <c r="K157" i="10"/>
  <c r="F499" i="10"/>
  <c r="F391" i="10"/>
  <c r="F396" i="10" s="1"/>
  <c r="F33" i="10"/>
  <c r="F36" i="10"/>
  <c r="K241" i="10"/>
  <c r="J244" i="10"/>
  <c r="G31" i="14"/>
  <c r="F275" i="10"/>
  <c r="I38" i="14"/>
  <c r="AI38" i="14" s="1"/>
  <c r="J156" i="10"/>
  <c r="K155" i="10"/>
  <c r="M17" i="10"/>
  <c r="E289" i="10"/>
  <c r="B293" i="10" s="1"/>
  <c r="E285" i="10"/>
  <c r="B292" i="10" s="1"/>
  <c r="G39" i="14"/>
  <c r="K105" i="14"/>
  <c r="K104" i="14" s="1"/>
  <c r="M4" i="10"/>
  <c r="L360" i="10"/>
  <c r="K56" i="8" s="1"/>
  <c r="K57" i="8" s="1"/>
  <c r="L319" i="10"/>
  <c r="I273" i="13" s="1"/>
  <c r="L213" i="10"/>
  <c r="L202" i="10" s="1"/>
  <c r="N32" i="14"/>
  <c r="AN32" i="14" s="1"/>
  <c r="AN31" i="14"/>
  <c r="N7" i="14"/>
  <c r="L125" i="8"/>
  <c r="M112" i="8"/>
  <c r="N108" i="8"/>
  <c r="M118" i="8"/>
  <c r="N260" i="3"/>
  <c r="E253" i="19" s="1"/>
  <c r="O473" i="10"/>
  <c r="J842" i="13"/>
  <c r="M69" i="8"/>
  <c r="L67" i="8"/>
  <c r="N218" i="10"/>
  <c r="N4" i="4"/>
  <c r="G260" i="19"/>
  <c r="N365" i="3"/>
  <c r="D243" i="19"/>
  <c r="H247" i="19"/>
  <c r="K67" i="13"/>
  <c r="K68" i="13" s="1"/>
  <c r="L65" i="13"/>
  <c r="H164" i="19"/>
  <c r="K279" i="19"/>
  <c r="M164" i="19"/>
  <c r="N279" i="19"/>
  <c r="N164" i="19"/>
  <c r="O279" i="19"/>
  <c r="K164" i="19"/>
  <c r="L279" i="19"/>
  <c r="L164" i="19"/>
  <c r="M279" i="19"/>
  <c r="G164" i="19"/>
  <c r="H279" i="19"/>
  <c r="D164" i="19"/>
  <c r="E279" i="19"/>
  <c r="C243" i="19"/>
  <c r="K260" i="3"/>
  <c r="M374" i="3"/>
  <c r="G247" i="19"/>
  <c r="M365" i="3"/>
  <c r="D247" i="19" s="1"/>
  <c r="N273" i="3"/>
  <c r="N269" i="3"/>
  <c r="N274" i="3" s="1"/>
  <c r="N279" i="3" s="1"/>
  <c r="C163" i="19"/>
  <c r="D334" i="3"/>
  <c r="H273" i="3"/>
  <c r="H269" i="3"/>
  <c r="H274" i="3" s="1"/>
  <c r="H279" i="3" s="1"/>
  <c r="C239" i="19"/>
  <c r="K375" i="3"/>
  <c r="K374" i="3" s="1"/>
  <c r="M273" i="3"/>
  <c r="M269" i="3"/>
  <c r="M274" i="3" s="1"/>
  <c r="M279" i="3" s="1"/>
  <c r="K273" i="3"/>
  <c r="K269" i="3"/>
  <c r="K274" i="3" s="1"/>
  <c r="K279" i="3" s="1"/>
  <c r="J260" i="3"/>
  <c r="J273" i="3"/>
  <c r="J269" i="3"/>
  <c r="J274" i="3" s="1"/>
  <c r="J279" i="3" s="1"/>
  <c r="E247" i="19"/>
  <c r="I260" i="3"/>
  <c r="E163" i="19"/>
  <c r="F334" i="3"/>
  <c r="E236" i="19"/>
  <c r="I273" i="3"/>
  <c r="I269" i="3"/>
  <c r="I274" i="3" s="1"/>
  <c r="I279" i="3" s="1"/>
  <c r="N103" i="10" l="1"/>
  <c r="N39" i="10" s="1"/>
  <c r="N5" i="4"/>
  <c r="K81" i="14"/>
  <c r="AK81" i="14" s="1"/>
  <c r="H22" i="5"/>
  <c r="D9" i="15" s="1"/>
  <c r="H863" i="13"/>
  <c r="L56" i="10"/>
  <c r="L48" i="10"/>
  <c r="X227" i="3"/>
  <c r="W193" i="3"/>
  <c r="M156" i="2"/>
  <c r="M47" i="10"/>
  <c r="N17" i="8"/>
  <c r="F385" i="10"/>
  <c r="F50" i="10"/>
  <c r="F51" i="10" s="1"/>
  <c r="D52" i="14"/>
  <c r="I863" i="13"/>
  <c r="E99" i="10"/>
  <c r="L127" i="8"/>
  <c r="L129" i="8" s="1"/>
  <c r="L131" i="8" s="1"/>
  <c r="L79" i="8" s="1"/>
  <c r="M12" i="2" s="1"/>
  <c r="J863" i="13" s="1"/>
  <c r="N118" i="8"/>
  <c r="E29" i="5"/>
  <c r="C3" i="22" s="1"/>
  <c r="E74" i="2"/>
  <c r="E85" i="2"/>
  <c r="E84" i="2" s="1"/>
  <c r="E83" i="2" s="1"/>
  <c r="E129" i="2" s="1"/>
  <c r="E138" i="2" s="1"/>
  <c r="C26" i="20"/>
  <c r="E75" i="2"/>
  <c r="D88" i="14"/>
  <c r="E57" i="2"/>
  <c r="D89" i="14" s="1"/>
  <c r="C6" i="18"/>
  <c r="E36" i="5"/>
  <c r="E31" i="5"/>
  <c r="C19" i="22" s="1"/>
  <c r="H258" i="10"/>
  <c r="H262" i="10" s="1"/>
  <c r="F228" i="10"/>
  <c r="F276" i="10"/>
  <c r="H239" i="10"/>
  <c r="H238" i="10"/>
  <c r="H251" i="10" s="1"/>
  <c r="H252" i="10" s="1"/>
  <c r="H488" i="10"/>
  <c r="H35" i="14"/>
  <c r="AH35" i="14" s="1"/>
  <c r="I165" i="10"/>
  <c r="I270" i="10" s="1"/>
  <c r="H27" i="14"/>
  <c r="AH27" i="14" s="1"/>
  <c r="I134" i="10"/>
  <c r="I246" i="10" s="1"/>
  <c r="I234" i="10" s="1"/>
  <c r="H462" i="10"/>
  <c r="H467" i="10" s="1"/>
  <c r="E63" i="10"/>
  <c r="E64" i="10" s="1"/>
  <c r="E110" i="10"/>
  <c r="E116" i="10"/>
  <c r="E117" i="10" s="1"/>
  <c r="D80" i="8"/>
  <c r="E152" i="2"/>
  <c r="D9" i="8"/>
  <c r="D139" i="14"/>
  <c r="C31" i="20"/>
  <c r="C34" i="20" s="1"/>
  <c r="D137" i="14"/>
  <c r="D227" i="13"/>
  <c r="E15" i="21"/>
  <c r="F96" i="13"/>
  <c r="E32" i="21"/>
  <c r="E61" i="10"/>
  <c r="E106" i="10"/>
  <c r="E108" i="10"/>
  <c r="E114" i="10"/>
  <c r="E115" i="10" s="1"/>
  <c r="E9" i="8"/>
  <c r="F471" i="10"/>
  <c r="F109" i="10"/>
  <c r="E43" i="14"/>
  <c r="F96" i="10"/>
  <c r="F100" i="10"/>
  <c r="F101" i="10" s="1"/>
  <c r="F89" i="10"/>
  <c r="F107" i="10"/>
  <c r="E49" i="14"/>
  <c r="E52" i="14" s="1"/>
  <c r="F92" i="10"/>
  <c r="F98" i="10"/>
  <c r="M24" i="10"/>
  <c r="M25" i="10"/>
  <c r="M23" i="10"/>
  <c r="F15" i="14"/>
  <c r="M91" i="8"/>
  <c r="M87" i="8" s="1"/>
  <c r="M126" i="8"/>
  <c r="N113" i="8"/>
  <c r="M90" i="8"/>
  <c r="M86" i="8" s="1"/>
  <c r="L85" i="8"/>
  <c r="M89" i="8" s="1"/>
  <c r="M119" i="8"/>
  <c r="M120" i="8" s="1"/>
  <c r="M122" i="8" s="1"/>
  <c r="N93" i="8"/>
  <c r="N97" i="8" s="1"/>
  <c r="N98" i="8"/>
  <c r="O117" i="2"/>
  <c r="O114" i="2" s="1"/>
  <c r="N114" i="2"/>
  <c r="M21" i="5"/>
  <c r="J16" i="18"/>
  <c r="N147" i="2"/>
  <c r="M146" i="2"/>
  <c r="M96" i="2"/>
  <c r="J17" i="5"/>
  <c r="F5" i="15" s="1"/>
  <c r="J78" i="2"/>
  <c r="F23" i="15" s="1"/>
  <c r="J77" i="2"/>
  <c r="L62" i="2"/>
  <c r="K64" i="2"/>
  <c r="N169" i="2"/>
  <c r="M168" i="2"/>
  <c r="M161" i="2"/>
  <c r="N162" i="2"/>
  <c r="I24" i="5"/>
  <c r="E6" i="15" s="1"/>
  <c r="G14" i="18"/>
  <c r="I18" i="5"/>
  <c r="O273" i="3"/>
  <c r="G84" i="10"/>
  <c r="G128" i="10"/>
  <c r="H253" i="19"/>
  <c r="L487" i="10"/>
  <c r="L209" i="10"/>
  <c r="L226" i="10" s="1"/>
  <c r="F24" i="14"/>
  <c r="AF24" i="14" s="1"/>
  <c r="AF23" i="14"/>
  <c r="F6" i="14"/>
  <c r="F13" i="14" s="1"/>
  <c r="G19" i="14"/>
  <c r="AG19" i="14" s="1"/>
  <c r="H454" i="10"/>
  <c r="I22" i="14"/>
  <c r="AI22" i="14" s="1"/>
  <c r="J455" i="10"/>
  <c r="J466" i="10" s="1"/>
  <c r="K71" i="10"/>
  <c r="J72" i="10"/>
  <c r="H21" i="14"/>
  <c r="AH21" i="14" s="1"/>
  <c r="I456" i="10"/>
  <c r="I70" i="10"/>
  <c r="I81" i="10" s="1"/>
  <c r="L20" i="15" s="1"/>
  <c r="I27" i="10"/>
  <c r="L19" i="15" s="1"/>
  <c r="G23" i="14"/>
  <c r="H281" i="10" s="1"/>
  <c r="H461" i="10"/>
  <c r="H27" i="10"/>
  <c r="K19" i="15" s="1"/>
  <c r="J38" i="14"/>
  <c r="AJ38" i="14" s="1"/>
  <c r="L155" i="10"/>
  <c r="K156" i="10"/>
  <c r="L241" i="10"/>
  <c r="K244" i="10"/>
  <c r="J36" i="14"/>
  <c r="AJ36" i="14" s="1"/>
  <c r="L157" i="10"/>
  <c r="H31" i="14"/>
  <c r="J30" i="14"/>
  <c r="AJ30" i="14" s="1"/>
  <c r="K125" i="10"/>
  <c r="L124" i="10"/>
  <c r="I268" i="10"/>
  <c r="J265" i="10"/>
  <c r="N333" i="10"/>
  <c r="M331" i="10"/>
  <c r="M332" i="10" s="1"/>
  <c r="H168" i="10"/>
  <c r="N17" i="10"/>
  <c r="I37" i="14"/>
  <c r="AI37" i="14" s="1"/>
  <c r="J154" i="10"/>
  <c r="I29" i="14"/>
  <c r="AI29" i="14" s="1"/>
  <c r="J123" i="10"/>
  <c r="J28" i="14"/>
  <c r="AJ28" i="14" s="1"/>
  <c r="L126" i="10"/>
  <c r="H489" i="10"/>
  <c r="F491" i="10"/>
  <c r="F198" i="10"/>
  <c r="H39" i="14"/>
  <c r="G275" i="10"/>
  <c r="F135" i="2"/>
  <c r="M259" i="10"/>
  <c r="L260" i="10"/>
  <c r="F5" i="17"/>
  <c r="F7" i="17"/>
  <c r="F34" i="10"/>
  <c r="F386" i="10"/>
  <c r="O235" i="10"/>
  <c r="O236" i="10" s="1"/>
  <c r="N236" i="10"/>
  <c r="N20" i="14"/>
  <c r="AN20" i="14" s="1"/>
  <c r="O457" i="10"/>
  <c r="O70" i="10"/>
  <c r="O81" i="10" s="1"/>
  <c r="O462" i="10" s="1"/>
  <c r="O467" i="10" s="1"/>
  <c r="G75" i="10"/>
  <c r="G9" i="10"/>
  <c r="F3" i="14"/>
  <c r="AF3" i="14" s="1"/>
  <c r="F513" i="10"/>
  <c r="F519" i="10" s="1"/>
  <c r="F516" i="10"/>
  <c r="F515" i="10"/>
  <c r="G32" i="14"/>
  <c r="AG32" i="14" s="1"/>
  <c r="AG31" i="14"/>
  <c r="G7" i="14"/>
  <c r="F514" i="10"/>
  <c r="H325" i="10"/>
  <c r="G324" i="10"/>
  <c r="G8" i="14"/>
  <c r="AG39" i="14"/>
  <c r="G40" i="14"/>
  <c r="AG40" i="14" s="1"/>
  <c r="E11" i="18"/>
  <c r="Q286" i="3"/>
  <c r="C843" i="13"/>
  <c r="E5" i="8"/>
  <c r="E29" i="8"/>
  <c r="E31" i="8" s="1"/>
  <c r="F16" i="14"/>
  <c r="M272" i="10"/>
  <c r="L105" i="14"/>
  <c r="L104" i="14" s="1"/>
  <c r="M213" i="10"/>
  <c r="M202" i="10" s="1"/>
  <c r="M105" i="14" s="1"/>
  <c r="M104" i="14" s="1"/>
  <c r="M360" i="10"/>
  <c r="L56" i="8" s="1"/>
  <c r="L57" i="8" s="1"/>
  <c r="M319" i="10"/>
  <c r="J273" i="13" s="1"/>
  <c r="N4" i="10"/>
  <c r="M125" i="8"/>
  <c r="N112" i="8"/>
  <c r="N125" i="8" s="1"/>
  <c r="O27" i="10"/>
  <c r="N9" i="14" s="1"/>
  <c r="O461" i="10"/>
  <c r="N23" i="14"/>
  <c r="F268" i="19"/>
  <c r="K220" i="19"/>
  <c r="K842" i="13"/>
  <c r="N69" i="8"/>
  <c r="M67" i="8"/>
  <c r="O218" i="10"/>
  <c r="O4" i="4"/>
  <c r="H260" i="19"/>
  <c r="L67" i="13"/>
  <c r="L68" i="13" s="1"/>
  <c r="M65" i="13"/>
  <c r="M67" i="13" s="1"/>
  <c r="C164" i="19"/>
  <c r="D279" i="19"/>
  <c r="E164" i="19"/>
  <c r="F279" i="19"/>
  <c r="E235" i="19"/>
  <c r="F261" i="19"/>
  <c r="E234" i="19"/>
  <c r="N104" i="10" l="1"/>
  <c r="O103" i="10"/>
  <c r="O39" i="10" s="1"/>
  <c r="O5" i="4"/>
  <c r="O4" i="10" s="1"/>
  <c r="W199" i="3"/>
  <c r="W205" i="3"/>
  <c r="I22" i="5"/>
  <c r="E9" i="15" s="1"/>
  <c r="M87" i="2"/>
  <c r="L14" i="8"/>
  <c r="M56" i="10"/>
  <c r="M48" i="10"/>
  <c r="N156" i="2"/>
  <c r="N47" i="10"/>
  <c r="O156" i="2"/>
  <c r="O47" i="10"/>
  <c r="Y227" i="3"/>
  <c r="X193" i="3"/>
  <c r="O104" i="10"/>
  <c r="H263" i="10"/>
  <c r="I258" i="10"/>
  <c r="I489" i="10" s="1"/>
  <c r="M127" i="8"/>
  <c r="M129" i="8" s="1"/>
  <c r="M131" i="8" s="1"/>
  <c r="M79" i="8" s="1"/>
  <c r="L81" i="14"/>
  <c r="AL81" i="14" s="1"/>
  <c r="I238" i="10"/>
  <c r="I488" i="10"/>
  <c r="I239" i="10"/>
  <c r="I35" i="14"/>
  <c r="AI35" i="14" s="1"/>
  <c r="J165" i="10"/>
  <c r="J270" i="10" s="1"/>
  <c r="I27" i="14"/>
  <c r="AI27" i="14" s="1"/>
  <c r="J134" i="10"/>
  <c r="J246" i="10" s="1"/>
  <c r="J234" i="10" s="1"/>
  <c r="I462" i="10"/>
  <c r="I467" i="10" s="1"/>
  <c r="G481" i="10"/>
  <c r="G141" i="10"/>
  <c r="G480" i="10"/>
  <c r="G91" i="10"/>
  <c r="E62" i="10"/>
  <c r="E59" i="10"/>
  <c r="E60" i="10" s="1"/>
  <c r="E473" i="10"/>
  <c r="F470" i="10"/>
  <c r="F99" i="10"/>
  <c r="F63" i="10"/>
  <c r="F64" i="10" s="1"/>
  <c r="F110" i="10"/>
  <c r="F116" i="10"/>
  <c r="E143" i="2"/>
  <c r="E142" i="2" s="1"/>
  <c r="E19" i="2"/>
  <c r="C35" i="22" s="1"/>
  <c r="F473" i="10"/>
  <c r="C727" i="13"/>
  <c r="L176" i="3"/>
  <c r="E80" i="8"/>
  <c r="F139" i="14"/>
  <c r="G139" i="14" s="1"/>
  <c r="H139" i="14" s="1"/>
  <c r="I139" i="14" s="1"/>
  <c r="J139" i="14" s="1"/>
  <c r="K139" i="14" s="1"/>
  <c r="L139" i="14" s="1"/>
  <c r="M139" i="14" s="1"/>
  <c r="N139" i="14" s="1"/>
  <c r="O139" i="14" s="1"/>
  <c r="C725" i="13"/>
  <c r="E139" i="14"/>
  <c r="D31" i="20"/>
  <c r="D34" i="20" s="1"/>
  <c r="D40" i="20" s="1"/>
  <c r="F32" i="21"/>
  <c r="H32" i="21" s="1"/>
  <c r="I32" i="21" s="1"/>
  <c r="J32" i="21" s="1"/>
  <c r="K32" i="21" s="1"/>
  <c r="L32" i="21" s="1"/>
  <c r="M32" i="21" s="1"/>
  <c r="N32" i="21" s="1"/>
  <c r="O32" i="21" s="1"/>
  <c r="E137" i="14"/>
  <c r="F15" i="21"/>
  <c r="H15" i="21" s="1"/>
  <c r="I15" i="21" s="1"/>
  <c r="J15" i="21" s="1"/>
  <c r="K15" i="21" s="1"/>
  <c r="L15" i="21" s="1"/>
  <c r="M15" i="21" s="1"/>
  <c r="N15" i="21" s="1"/>
  <c r="O15" i="21" s="1"/>
  <c r="F137" i="14"/>
  <c r="G137" i="14" s="1"/>
  <c r="H137" i="14" s="1"/>
  <c r="I137" i="14" s="1"/>
  <c r="J137" i="14" s="1"/>
  <c r="K137" i="14" s="1"/>
  <c r="L137" i="14" s="1"/>
  <c r="M137" i="14" s="1"/>
  <c r="N137" i="14" s="1"/>
  <c r="O137" i="14" s="1"/>
  <c r="F152" i="2"/>
  <c r="F61" i="10"/>
  <c r="F106" i="10"/>
  <c r="F108" i="10"/>
  <c r="F114" i="10"/>
  <c r="F115" i="10" s="1"/>
  <c r="N23" i="10"/>
  <c r="N24" i="10"/>
  <c r="N25" i="10"/>
  <c r="H84" i="10"/>
  <c r="H107" i="10" s="1"/>
  <c r="H90" i="10" s="1"/>
  <c r="H35" i="10" s="1"/>
  <c r="H8" i="10"/>
  <c r="O17" i="10"/>
  <c r="N91" i="8"/>
  <c r="N87" i="8" s="1"/>
  <c r="N90" i="8"/>
  <c r="N86" i="8"/>
  <c r="M85" i="8"/>
  <c r="N89" i="8" s="1"/>
  <c r="N119" i="8"/>
  <c r="N120" i="8" s="1"/>
  <c r="N122" i="8" s="1"/>
  <c r="N126" i="8"/>
  <c r="N127" i="8" s="1"/>
  <c r="N129" i="8" s="1"/>
  <c r="O162" i="2"/>
  <c r="O161" i="2" s="1"/>
  <c r="N161" i="2"/>
  <c r="J24" i="5"/>
  <c r="F6" i="15" s="1"/>
  <c r="H14" i="18"/>
  <c r="J18" i="5"/>
  <c r="K17" i="5"/>
  <c r="K78" i="2"/>
  <c r="K77" i="2"/>
  <c r="O169" i="2"/>
  <c r="O168" i="2" s="1"/>
  <c r="N168" i="2"/>
  <c r="M62" i="2"/>
  <c r="L64" i="2"/>
  <c r="N21" i="5"/>
  <c r="K16" i="18"/>
  <c r="O147" i="2"/>
  <c r="N146" i="2"/>
  <c r="N96" i="2"/>
  <c r="G352" i="10"/>
  <c r="F55" i="8" s="1"/>
  <c r="F54" i="8" s="1"/>
  <c r="F70" i="14" s="1"/>
  <c r="AF70" i="14" s="1"/>
  <c r="G459" i="10"/>
  <c r="F10" i="14"/>
  <c r="G317" i="10"/>
  <c r="G320" i="10" s="1"/>
  <c r="G339" i="10"/>
  <c r="F50" i="8" s="1"/>
  <c r="F49" i="8" s="1"/>
  <c r="E8" i="18"/>
  <c r="G159" i="10"/>
  <c r="T260" i="3"/>
  <c r="K253" i="19"/>
  <c r="M487" i="10"/>
  <c r="M209" i="10"/>
  <c r="M226" i="10" s="1"/>
  <c r="H19" i="14"/>
  <c r="AH19" i="14" s="1"/>
  <c r="I454" i="10"/>
  <c r="H23" i="14"/>
  <c r="I281" i="10" s="1"/>
  <c r="I461" i="10"/>
  <c r="G9" i="14"/>
  <c r="G16" i="14" s="1"/>
  <c r="J70" i="10"/>
  <c r="J81" i="10" s="1"/>
  <c r="M20" i="15" s="1"/>
  <c r="I21" i="14"/>
  <c r="AI21" i="14" s="1"/>
  <c r="J456" i="10"/>
  <c r="K72" i="10"/>
  <c r="L71" i="10"/>
  <c r="J22" i="14"/>
  <c r="AJ22" i="14" s="1"/>
  <c r="K455" i="10"/>
  <c r="K466" i="10" s="1"/>
  <c r="G24" i="14"/>
  <c r="AG24" i="14" s="1"/>
  <c r="G6" i="14"/>
  <c r="AG23" i="14"/>
  <c r="K36" i="14"/>
  <c r="AK36" i="14" s="1"/>
  <c r="M157" i="10"/>
  <c r="AH31" i="14"/>
  <c r="H7" i="14"/>
  <c r="H32" i="14"/>
  <c r="AH32" i="14" s="1"/>
  <c r="H275" i="10"/>
  <c r="N19" i="14"/>
  <c r="AN19" i="14" s="1"/>
  <c r="O454" i="10"/>
  <c r="G276" i="10"/>
  <c r="H9" i="14"/>
  <c r="N259" i="10"/>
  <c r="M260" i="10"/>
  <c r="K28" i="14"/>
  <c r="AK28" i="14" s="1"/>
  <c r="M126" i="10"/>
  <c r="K30" i="14"/>
  <c r="AK30" i="14" s="1"/>
  <c r="M124" i="10"/>
  <c r="L125" i="10"/>
  <c r="M241" i="10"/>
  <c r="L244" i="10"/>
  <c r="N272" i="10"/>
  <c r="I39" i="14"/>
  <c r="F324" i="10"/>
  <c r="F325" i="10" s="1"/>
  <c r="F326" i="10" s="1"/>
  <c r="G325" i="10"/>
  <c r="I168" i="10"/>
  <c r="O333" i="10"/>
  <c r="O331" i="10" s="1"/>
  <c r="O332" i="10" s="1"/>
  <c r="N331" i="10"/>
  <c r="N332" i="10" s="1"/>
  <c r="J29" i="14"/>
  <c r="AJ29" i="14" s="1"/>
  <c r="K123" i="10"/>
  <c r="J37" i="14"/>
  <c r="AJ37" i="14" s="1"/>
  <c r="K154" i="10"/>
  <c r="AH39" i="14"/>
  <c r="H40" i="14"/>
  <c r="AH40" i="14" s="1"/>
  <c r="H8" i="14"/>
  <c r="J268" i="10"/>
  <c r="K265" i="10"/>
  <c r="K38" i="14"/>
  <c r="AK38" i="14" s="1"/>
  <c r="L156" i="10"/>
  <c r="M155" i="10"/>
  <c r="V286" i="3"/>
  <c r="U286" i="3" s="1"/>
  <c r="F520" i="10"/>
  <c r="D2" i="18"/>
  <c r="D9" i="18" s="1"/>
  <c r="E73" i="14"/>
  <c r="D62" i="13"/>
  <c r="D63" i="13" s="1"/>
  <c r="D3" i="18"/>
  <c r="F27" i="2"/>
  <c r="L6" i="3"/>
  <c r="E81" i="8"/>
  <c r="F35" i="2"/>
  <c r="F15" i="2"/>
  <c r="F52" i="2"/>
  <c r="F23" i="2"/>
  <c r="F9" i="2"/>
  <c r="C864" i="13"/>
  <c r="F26" i="5"/>
  <c r="I31" i="14"/>
  <c r="I262" i="10"/>
  <c r="I263" i="10"/>
  <c r="O319" i="10"/>
  <c r="O213" i="10"/>
  <c r="O202" i="10" s="1"/>
  <c r="O209" i="10" s="1"/>
  <c r="O226" i="10" s="1"/>
  <c r="O360" i="10"/>
  <c r="N56" i="8" s="1"/>
  <c r="N360" i="10"/>
  <c r="M56" i="8" s="1"/>
  <c r="M57" i="8" s="1"/>
  <c r="N319" i="10"/>
  <c r="N213" i="10"/>
  <c r="N202" i="10" s="1"/>
  <c r="N15" i="14"/>
  <c r="N14" i="14"/>
  <c r="N16" i="14"/>
  <c r="AN23" i="14"/>
  <c r="N24" i="14"/>
  <c r="AN24" i="14" s="1"/>
  <c r="O281" i="10"/>
  <c r="N6" i="14"/>
  <c r="N13" i="14" s="1"/>
  <c r="O8" i="10"/>
  <c r="O75" i="10" s="1"/>
  <c r="M68" i="13"/>
  <c r="N67" i="8"/>
  <c r="L842" i="13"/>
  <c r="O84" i="10"/>
  <c r="K260" i="19"/>
  <c r="T264" i="3"/>
  <c r="F255" i="19"/>
  <c r="F254" i="19"/>
  <c r="F262" i="19"/>
  <c r="T371" i="3"/>
  <c r="T370" i="3" s="1"/>
  <c r="F238" i="19"/>
  <c r="H155" i="2" l="1"/>
  <c r="U192" i="3" s="1"/>
  <c r="H43" i="10"/>
  <c r="V204" i="3" s="1"/>
  <c r="U204" i="3" s="1"/>
  <c r="H317" i="10"/>
  <c r="K13" i="15"/>
  <c r="K951" i="13"/>
  <c r="W211" i="3"/>
  <c r="J22" i="5"/>
  <c r="F9" i="15" s="1"/>
  <c r="X199" i="3"/>
  <c r="X205" i="3"/>
  <c r="H257" i="10"/>
  <c r="F11" i="18"/>
  <c r="H233" i="10"/>
  <c r="Y193" i="3"/>
  <c r="Y205" i="3" s="1"/>
  <c r="Z233" i="3"/>
  <c r="Z359" i="3" s="1"/>
  <c r="O56" i="10"/>
  <c r="O48" i="10"/>
  <c r="M14" i="8"/>
  <c r="N14" i="8"/>
  <c r="N48" i="10"/>
  <c r="N56" i="10"/>
  <c r="H186" i="10"/>
  <c r="I185" i="10"/>
  <c r="G11" i="18" s="1"/>
  <c r="H187" i="10"/>
  <c r="H188" i="10"/>
  <c r="M81" i="14"/>
  <c r="AM81" i="14" s="1"/>
  <c r="N12" i="2"/>
  <c r="K863" i="13" s="1"/>
  <c r="N131" i="8"/>
  <c r="N79" i="8" s="1"/>
  <c r="O12" i="2" s="1"/>
  <c r="J258" i="10"/>
  <c r="J262" i="10" s="1"/>
  <c r="J239" i="10"/>
  <c r="J238" i="10"/>
  <c r="J488" i="10"/>
  <c r="I251" i="10"/>
  <c r="I252" i="10" s="1"/>
  <c r="H159" i="10"/>
  <c r="H482" i="10" s="1"/>
  <c r="G482" i="10"/>
  <c r="G172" i="10"/>
  <c r="H459" i="10"/>
  <c r="H128" i="10"/>
  <c r="H481" i="10" s="1"/>
  <c r="H352" i="10"/>
  <c r="G55" i="8" s="1"/>
  <c r="G54" i="8" s="1"/>
  <c r="G70" i="14" s="1"/>
  <c r="AG70" i="14" s="1"/>
  <c r="G3" i="14"/>
  <c r="AG3" i="14" s="1"/>
  <c r="J35" i="14"/>
  <c r="AJ35" i="14" s="1"/>
  <c r="K165" i="10"/>
  <c r="K270" i="10" s="1"/>
  <c r="H20" i="21"/>
  <c r="H28" i="21" s="1"/>
  <c r="H11" i="21" s="1"/>
  <c r="G140" i="10"/>
  <c r="G144" i="10"/>
  <c r="G143" i="10" s="1"/>
  <c r="G149" i="10" s="1"/>
  <c r="H136" i="10"/>
  <c r="G137" i="10"/>
  <c r="J27" i="14"/>
  <c r="AJ27" i="14" s="1"/>
  <c r="K134" i="10"/>
  <c r="K246" i="10" s="1"/>
  <c r="K234" i="10" s="1"/>
  <c r="J462" i="10"/>
  <c r="J467" i="10" s="1"/>
  <c r="F59" i="10"/>
  <c r="F60" i="10" s="1"/>
  <c r="F8" i="18"/>
  <c r="H15" i="14"/>
  <c r="F143" i="2"/>
  <c r="F19" i="2"/>
  <c r="D35" i="22" s="1"/>
  <c r="D267" i="13"/>
  <c r="D268" i="13" s="1"/>
  <c r="M175" i="3"/>
  <c r="M65" i="3"/>
  <c r="F80" i="16" s="1"/>
  <c r="M177" i="3"/>
  <c r="H63" i="19"/>
  <c r="D268" i="19" s="1"/>
  <c r="L177" i="3"/>
  <c r="M61" i="3"/>
  <c r="E4" i="17"/>
  <c r="E192" i="2"/>
  <c r="E27" i="17"/>
  <c r="E13" i="17"/>
  <c r="C13" i="18"/>
  <c r="E11" i="17"/>
  <c r="E25" i="17"/>
  <c r="E28" i="5"/>
  <c r="C11" i="22" s="1"/>
  <c r="E32" i="5"/>
  <c r="C27" i="22" s="1"/>
  <c r="C6" i="17"/>
  <c r="F117" i="10"/>
  <c r="U40" i="20"/>
  <c r="F62" i="10"/>
  <c r="O480" i="10"/>
  <c r="O91" i="10"/>
  <c r="O95" i="10" s="1"/>
  <c r="G95" i="10"/>
  <c r="G107" i="10"/>
  <c r="H339" i="10"/>
  <c r="G50" i="8" s="1"/>
  <c r="E267" i="13" s="1"/>
  <c r="E268" i="13" s="1"/>
  <c r="H9" i="10"/>
  <c r="H75" i="10"/>
  <c r="D271" i="13"/>
  <c r="F44" i="8"/>
  <c r="O23" i="10"/>
  <c r="O24" i="10"/>
  <c r="O25" i="10"/>
  <c r="G508" i="10"/>
  <c r="N85" i="8"/>
  <c r="K24" i="5"/>
  <c r="I14" i="18"/>
  <c r="K18" i="5"/>
  <c r="O21" i="5"/>
  <c r="M16" i="18" s="1"/>
  <c r="L16" i="18"/>
  <c r="L17" i="5"/>
  <c r="L78" i="2"/>
  <c r="L77" i="2"/>
  <c r="M64" i="2"/>
  <c r="N62" i="2"/>
  <c r="O146" i="2"/>
  <c r="O96" i="2"/>
  <c r="G8" i="21"/>
  <c r="G97" i="2"/>
  <c r="T244" i="3"/>
  <c r="L253" i="19" s="1"/>
  <c r="U260" i="3"/>
  <c r="N487" i="10"/>
  <c r="N209" i="10"/>
  <c r="N226" i="10" s="1"/>
  <c r="N105" i="14"/>
  <c r="N104" i="14" s="1"/>
  <c r="G13" i="14"/>
  <c r="G15" i="14"/>
  <c r="L72" i="10"/>
  <c r="L455" i="10"/>
  <c r="L466" i="10" s="1"/>
  <c r="K22" i="14"/>
  <c r="AK22" i="14" s="1"/>
  <c r="M71" i="10"/>
  <c r="J21" i="14"/>
  <c r="AJ21" i="14" s="1"/>
  <c r="K27" i="10"/>
  <c r="J9" i="14" s="1"/>
  <c r="K456" i="10"/>
  <c r="K70" i="10"/>
  <c r="K81" i="10" s="1"/>
  <c r="K462" i="10" s="1"/>
  <c r="K467" i="10" s="1"/>
  <c r="I8" i="10"/>
  <c r="L13" i="15" s="1"/>
  <c r="I84" i="10"/>
  <c r="H24" i="14"/>
  <c r="AH24" i="14" s="1"/>
  <c r="H6" i="14"/>
  <c r="H13" i="14" s="1"/>
  <c r="AH23" i="14"/>
  <c r="I19" i="14"/>
  <c r="AI19" i="14" s="1"/>
  <c r="J454" i="10"/>
  <c r="I23" i="14"/>
  <c r="J281" i="10" s="1"/>
  <c r="J461" i="10"/>
  <c r="J84" i="10"/>
  <c r="J27" i="10"/>
  <c r="M19" i="15" s="1"/>
  <c r="N19" i="15" s="1"/>
  <c r="H14" i="14"/>
  <c r="G14" i="14"/>
  <c r="E40" i="16"/>
  <c r="O105" i="14"/>
  <c r="O104" i="14" s="1"/>
  <c r="O487" i="10"/>
  <c r="G24" i="2"/>
  <c r="F24" i="2"/>
  <c r="J31" i="14"/>
  <c r="I275" i="10"/>
  <c r="E76" i="14"/>
  <c r="E74" i="14"/>
  <c r="L38" i="14"/>
  <c r="AL38" i="14" s="1"/>
  <c r="M156" i="10"/>
  <c r="N155" i="10"/>
  <c r="L28" i="14"/>
  <c r="AL28" i="14" s="1"/>
  <c r="N126" i="10"/>
  <c r="F36" i="2"/>
  <c r="N260" i="10"/>
  <c r="O259" i="10"/>
  <c r="G44" i="8"/>
  <c r="H320" i="10"/>
  <c r="E271" i="13"/>
  <c r="I32" i="14"/>
  <c r="AI32" i="14" s="1"/>
  <c r="AI31" i="14"/>
  <c r="I7" i="14"/>
  <c r="K268" i="10"/>
  <c r="K258" i="10" s="1"/>
  <c r="L265" i="10"/>
  <c r="F69" i="14"/>
  <c r="AF69" i="14" s="1"/>
  <c r="G507" i="10"/>
  <c r="E82" i="14"/>
  <c r="AE82" i="14" s="1"/>
  <c r="D17" i="20"/>
  <c r="D4" i="18"/>
  <c r="F16" i="2"/>
  <c r="L59" i="3"/>
  <c r="F47" i="2"/>
  <c r="F42" i="2"/>
  <c r="F44" i="2" s="1"/>
  <c r="D5" i="18" s="1"/>
  <c r="F27" i="5"/>
  <c r="L78" i="3"/>
  <c r="L81" i="3"/>
  <c r="L69" i="3"/>
  <c r="L72" i="3"/>
  <c r="N241" i="10"/>
  <c r="M244" i="10"/>
  <c r="G28" i="2"/>
  <c r="F28" i="2"/>
  <c r="J39" i="14"/>
  <c r="AI39" i="14"/>
  <c r="I40" i="14"/>
  <c r="AI40" i="14" s="1"/>
  <c r="I8" i="14"/>
  <c r="K29" i="14"/>
  <c r="AK29" i="14" s="1"/>
  <c r="L123" i="10"/>
  <c r="H276" i="10"/>
  <c r="K37" i="14"/>
  <c r="AK37" i="14" s="1"/>
  <c r="L154" i="10"/>
  <c r="J168" i="10"/>
  <c r="O272" i="10"/>
  <c r="L30" i="14"/>
  <c r="AL30" i="14" s="1"/>
  <c r="M125" i="10"/>
  <c r="N124" i="10"/>
  <c r="G321" i="10"/>
  <c r="F45" i="8" s="1"/>
  <c r="F43" i="8" s="1"/>
  <c r="F59" i="8" s="1"/>
  <c r="G59" i="8" s="1"/>
  <c r="H59" i="8" s="1"/>
  <c r="I59" i="8" s="1"/>
  <c r="J59" i="8" s="1"/>
  <c r="K59" i="8" s="1"/>
  <c r="L59" i="8" s="1"/>
  <c r="M59" i="8" s="1"/>
  <c r="N59" i="8" s="1"/>
  <c r="G326" i="10"/>
  <c r="H16" i="14"/>
  <c r="L36" i="14"/>
  <c r="AL36" i="14" s="1"/>
  <c r="N157" i="10"/>
  <c r="N57" i="8"/>
  <c r="N3" i="14"/>
  <c r="O159" i="10"/>
  <c r="O482" i="10" s="1"/>
  <c r="O317" i="10"/>
  <c r="O20" i="21"/>
  <c r="M8" i="18"/>
  <c r="O352" i="10"/>
  <c r="N55" i="8" s="1"/>
  <c r="N54" i="8" s="1"/>
  <c r="O339" i="10"/>
  <c r="N50" i="8" s="1"/>
  <c r="N49" i="8" s="1"/>
  <c r="O459" i="10"/>
  <c r="O128" i="10"/>
  <c r="U264" i="3"/>
  <c r="T251" i="3"/>
  <c r="L260" i="19" s="1"/>
  <c r="F257" i="19"/>
  <c r="F239" i="19"/>
  <c r="U371" i="3"/>
  <c r="U370" i="3" s="1"/>
  <c r="F240" i="19"/>
  <c r="F264" i="19"/>
  <c r="I187" i="10" l="1"/>
  <c r="AA309" i="3" s="1"/>
  <c r="Z309" i="3" s="1"/>
  <c r="U238" i="3"/>
  <c r="U210" i="3"/>
  <c r="U217" i="3" s="1"/>
  <c r="AA286" i="3"/>
  <c r="Z286" i="3" s="1"/>
  <c r="I186" i="10"/>
  <c r="AA308" i="3" s="1"/>
  <c r="Z308" i="3" s="1"/>
  <c r="X211" i="3"/>
  <c r="L951" i="13"/>
  <c r="Y211" i="3"/>
  <c r="M951" i="13"/>
  <c r="K22" i="5"/>
  <c r="I233" i="10"/>
  <c r="I201" i="10"/>
  <c r="I188" i="10"/>
  <c r="I257" i="10"/>
  <c r="Y199" i="3"/>
  <c r="Z199" i="3"/>
  <c r="N81" i="14"/>
  <c r="AN81" i="14" s="1"/>
  <c r="J251" i="10"/>
  <c r="J252" i="10" s="1"/>
  <c r="J489" i="10"/>
  <c r="W371" i="3"/>
  <c r="U251" i="3"/>
  <c r="M260" i="19" s="1"/>
  <c r="W264" i="3"/>
  <c r="U244" i="3"/>
  <c r="M253" i="19" s="1"/>
  <c r="W260" i="3"/>
  <c r="G94" i="10"/>
  <c r="G96" i="10" s="1"/>
  <c r="G10" i="14"/>
  <c r="J185" i="10"/>
  <c r="J257" i="10" s="1"/>
  <c r="J263" i="10"/>
  <c r="H3" i="21"/>
  <c r="H12" i="21" s="1"/>
  <c r="H24" i="21"/>
  <c r="H7" i="21" s="1"/>
  <c r="H151" i="2" s="1"/>
  <c r="V187" i="3" s="1"/>
  <c r="N87" i="2"/>
  <c r="K488" i="10"/>
  <c r="K239" i="10"/>
  <c r="K238" i="10"/>
  <c r="J188" i="10"/>
  <c r="H508" i="10"/>
  <c r="G4" i="21"/>
  <c r="G5" i="21" s="1"/>
  <c r="K35" i="14"/>
  <c r="AK35" i="14" s="1"/>
  <c r="L165" i="10"/>
  <c r="L270" i="10" s="1"/>
  <c r="G49" i="8"/>
  <c r="G171" i="10"/>
  <c r="G175" i="10"/>
  <c r="G174" i="10" s="1"/>
  <c r="G180" i="10" s="1"/>
  <c r="H180" i="10" s="1"/>
  <c r="G147" i="10"/>
  <c r="F142" i="2"/>
  <c r="D13" i="18" s="1"/>
  <c r="K27" i="14"/>
  <c r="AK27" i="14" s="1"/>
  <c r="L134" i="10"/>
  <c r="L246" i="10" s="1"/>
  <c r="L234" i="10" s="1"/>
  <c r="O481" i="10"/>
  <c r="I136" i="10"/>
  <c r="H137" i="10"/>
  <c r="G46" i="19"/>
  <c r="G220" i="19"/>
  <c r="H480" i="10"/>
  <c r="H91" i="10"/>
  <c r="H95" i="10" s="1"/>
  <c r="G92" i="10"/>
  <c r="G108" i="10"/>
  <c r="G61" i="10"/>
  <c r="G114" i="10"/>
  <c r="G98" i="10"/>
  <c r="G470" i="10" s="1"/>
  <c r="F49" i="14"/>
  <c r="AF49" i="14" s="1"/>
  <c r="O87" i="2"/>
  <c r="L863" i="13"/>
  <c r="C652" i="13"/>
  <c r="G12" i="21"/>
  <c r="L24" i="5"/>
  <c r="J14" i="18"/>
  <c r="L18" i="5"/>
  <c r="N64" i="2"/>
  <c r="O62" i="2"/>
  <c r="O64" i="2" s="1"/>
  <c r="M17" i="5"/>
  <c r="M78" i="2"/>
  <c r="M77" i="2"/>
  <c r="J8" i="10"/>
  <c r="J19" i="14"/>
  <c r="AJ19" i="14" s="1"/>
  <c r="K454" i="10"/>
  <c r="I9" i="14"/>
  <c r="I16" i="14" s="1"/>
  <c r="N71" i="10"/>
  <c r="M72" i="10"/>
  <c r="L22" i="14"/>
  <c r="AL22" i="14" s="1"/>
  <c r="M455" i="10"/>
  <c r="M466" i="10" s="1"/>
  <c r="I339" i="10"/>
  <c r="H50" i="8" s="1"/>
  <c r="I159" i="10"/>
  <c r="I482" i="10" s="1"/>
  <c r="I317" i="10"/>
  <c r="G8" i="18"/>
  <c r="I352" i="10"/>
  <c r="H55" i="8" s="1"/>
  <c r="H54" i="8" s="1"/>
  <c r="I128" i="10"/>
  <c r="H3" i="14"/>
  <c r="I20" i="21"/>
  <c r="I459" i="10"/>
  <c r="I9" i="10"/>
  <c r="H34" i="8" s="1"/>
  <c r="J23" i="14"/>
  <c r="K281" i="10" s="1"/>
  <c r="K84" i="10"/>
  <c r="K461" i="10"/>
  <c r="AI23" i="14"/>
  <c r="I6" i="14"/>
  <c r="I24" i="14"/>
  <c r="AI24" i="14" s="1"/>
  <c r="I75" i="10"/>
  <c r="K21" i="14"/>
  <c r="AK21" i="14" s="1"/>
  <c r="L456" i="10"/>
  <c r="L70" i="10"/>
  <c r="L81" i="10" s="1"/>
  <c r="L462" i="10" s="1"/>
  <c r="L467" i="10" s="1"/>
  <c r="AJ31" i="14"/>
  <c r="J32" i="14"/>
  <c r="AJ32" i="14" s="1"/>
  <c r="J7" i="14"/>
  <c r="J14" i="14" s="1"/>
  <c r="D24" i="20"/>
  <c r="E86" i="14"/>
  <c r="AE86" i="14" s="1"/>
  <c r="F56" i="2"/>
  <c r="F50" i="2"/>
  <c r="L89" i="3"/>
  <c r="L92" i="3" s="1"/>
  <c r="I276" i="10"/>
  <c r="J275" i="10"/>
  <c r="M36" i="14"/>
  <c r="AM36" i="14" s="1"/>
  <c r="O157" i="10"/>
  <c r="H153" i="2"/>
  <c r="C868" i="13"/>
  <c r="D43" i="22"/>
  <c r="M38" i="14"/>
  <c r="AM38" i="14" s="1"/>
  <c r="N156" i="10"/>
  <c r="J16" i="14"/>
  <c r="K31" i="14"/>
  <c r="K168" i="10"/>
  <c r="L37" i="14"/>
  <c r="AL37" i="14" s="1"/>
  <c r="M154" i="10"/>
  <c r="K489" i="10"/>
  <c r="K262" i="10"/>
  <c r="K263" i="10"/>
  <c r="K185" i="10"/>
  <c r="K257" i="10" s="1"/>
  <c r="J40" i="14"/>
  <c r="AJ40" i="14" s="1"/>
  <c r="J8" i="14"/>
  <c r="J15" i="14" s="1"/>
  <c r="AJ39" i="14"/>
  <c r="O241" i="10"/>
  <c r="O244" i="10" s="1"/>
  <c r="N244" i="10"/>
  <c r="M28" i="14"/>
  <c r="AM28" i="14" s="1"/>
  <c r="O126" i="10"/>
  <c r="L29" i="14"/>
  <c r="AL29" i="14" s="1"/>
  <c r="M123" i="10"/>
  <c r="G150" i="2"/>
  <c r="O260" i="10"/>
  <c r="G506" i="10"/>
  <c r="F68" i="14"/>
  <c r="C612" i="13"/>
  <c r="M30" i="14"/>
  <c r="AM30" i="14" s="1"/>
  <c r="N125" i="10"/>
  <c r="K39" i="14"/>
  <c r="L268" i="10"/>
  <c r="M265" i="10"/>
  <c r="H321" i="10"/>
  <c r="G45" i="8" s="1"/>
  <c r="G43" i="8" s="1"/>
  <c r="H326" i="10"/>
  <c r="F65" i="8"/>
  <c r="E77" i="14"/>
  <c r="AE77" i="14" s="1"/>
  <c r="AE76" i="14"/>
  <c r="O28" i="21"/>
  <c r="O11" i="21" s="1"/>
  <c r="O24" i="21"/>
  <c r="O7" i="21" s="1"/>
  <c r="O3" i="21"/>
  <c r="O320" i="10"/>
  <c r="N44" i="8"/>
  <c r="AN3" i="14"/>
  <c r="N10" i="14"/>
  <c r="N69" i="14"/>
  <c r="AN69" i="14" s="1"/>
  <c r="O507" i="10"/>
  <c r="O508" i="10"/>
  <c r="N70" i="14"/>
  <c r="AN70" i="14" s="1"/>
  <c r="F266" i="19"/>
  <c r="F236" i="19"/>
  <c r="H507" i="10" l="1"/>
  <c r="G41" i="8"/>
  <c r="G38" i="8" s="1"/>
  <c r="H8" i="18"/>
  <c r="M13" i="15"/>
  <c r="N13" i="15" s="1"/>
  <c r="L22" i="5"/>
  <c r="U187" i="3"/>
  <c r="H173" i="2"/>
  <c r="D614" i="13" s="1"/>
  <c r="H4" i="21"/>
  <c r="H5" i="21" s="1"/>
  <c r="L258" i="10"/>
  <c r="F25" i="17"/>
  <c r="G89" i="10"/>
  <c r="G109" i="10"/>
  <c r="G106" i="10" s="1"/>
  <c r="G100" i="10"/>
  <c r="G101" i="10" s="1"/>
  <c r="F43" i="14"/>
  <c r="AF43" i="14" s="1"/>
  <c r="G471" i="10"/>
  <c r="K251" i="10"/>
  <c r="K252" i="10" s="1"/>
  <c r="X260" i="3"/>
  <c r="W244" i="3"/>
  <c r="W246" i="3" s="1"/>
  <c r="W248" i="3" s="1"/>
  <c r="X371" i="3"/>
  <c r="W370" i="3"/>
  <c r="X264" i="3"/>
  <c r="W251" i="3"/>
  <c r="W253" i="3" s="1"/>
  <c r="W255" i="3" s="1"/>
  <c r="J233" i="10"/>
  <c r="H11" i="18"/>
  <c r="J201" i="10"/>
  <c r="J186" i="10"/>
  <c r="J187" i="10"/>
  <c r="H8" i="21"/>
  <c r="G8" i="2"/>
  <c r="F27" i="17"/>
  <c r="F13" i="17"/>
  <c r="F4" i="17"/>
  <c r="L238" i="10"/>
  <c r="L239" i="10"/>
  <c r="L488" i="10"/>
  <c r="K201" i="10"/>
  <c r="K233" i="10"/>
  <c r="F192" i="2"/>
  <c r="G99" i="10"/>
  <c r="F28" i="5"/>
  <c r="F11" i="17"/>
  <c r="L35" i="14"/>
  <c r="AL35" i="14" s="1"/>
  <c r="M165" i="10"/>
  <c r="M270" i="10" s="1"/>
  <c r="G69" i="14"/>
  <c r="AG69" i="14" s="1"/>
  <c r="I180" i="10"/>
  <c r="H174" i="10"/>
  <c r="D612" i="13"/>
  <c r="K188" i="10"/>
  <c r="K187" i="10"/>
  <c r="K186" i="10"/>
  <c r="G170" i="10"/>
  <c r="G178" i="10"/>
  <c r="H178" i="10" s="1"/>
  <c r="L27" i="14"/>
  <c r="AL27" i="14" s="1"/>
  <c r="M134" i="10"/>
  <c r="M246" i="10" s="1"/>
  <c r="M234" i="10" s="1"/>
  <c r="J136" i="10"/>
  <c r="I137" i="10"/>
  <c r="F45" i="14"/>
  <c r="AF45" i="14" s="1"/>
  <c r="I481" i="10"/>
  <c r="G115" i="10"/>
  <c r="H114" i="10"/>
  <c r="G62" i="10"/>
  <c r="I480" i="10"/>
  <c r="I91" i="10"/>
  <c r="I95" i="10" s="1"/>
  <c r="G473" i="10"/>
  <c r="E38" i="20"/>
  <c r="Q182" i="3"/>
  <c r="J75" i="10"/>
  <c r="G103" i="14"/>
  <c r="G102" i="14" s="1"/>
  <c r="G106" i="14" s="1"/>
  <c r="J339" i="10"/>
  <c r="I50" i="8" s="1"/>
  <c r="G267" i="13" s="1"/>
  <c r="G268" i="13" s="1"/>
  <c r="J317" i="10"/>
  <c r="I44" i="8" s="1"/>
  <c r="G102" i="2"/>
  <c r="I3" i="14"/>
  <c r="AI3" i="14" s="1"/>
  <c r="C614" i="13"/>
  <c r="M614" i="13" s="1"/>
  <c r="J459" i="10"/>
  <c r="J9" i="10"/>
  <c r="I34" i="8" s="1"/>
  <c r="J352" i="10"/>
  <c r="I55" i="8" s="1"/>
  <c r="I54" i="8" s="1"/>
  <c r="I70" i="14" s="1"/>
  <c r="AI70" i="14" s="1"/>
  <c r="J20" i="21"/>
  <c r="J28" i="21" s="1"/>
  <c r="J11" i="21" s="1"/>
  <c r="K14" i="18"/>
  <c r="M18" i="5"/>
  <c r="M24" i="5"/>
  <c r="O17" i="5"/>
  <c r="O77" i="2"/>
  <c r="O78" i="2"/>
  <c r="N17" i="5"/>
  <c r="N77" i="2"/>
  <c r="N78" i="2"/>
  <c r="F32" i="5"/>
  <c r="D27" i="22" s="1"/>
  <c r="F31" i="5"/>
  <c r="D19" i="22" s="1"/>
  <c r="W652" i="13"/>
  <c r="M652" i="13"/>
  <c r="M612" i="13"/>
  <c r="I11" i="18"/>
  <c r="I14" i="14"/>
  <c r="J128" i="10"/>
  <c r="J159" i="10"/>
  <c r="J482" i="10" s="1"/>
  <c r="L461" i="10"/>
  <c r="K23" i="14"/>
  <c r="L84" i="10"/>
  <c r="I15" i="14"/>
  <c r="AH3" i="14"/>
  <c r="H10" i="14"/>
  <c r="AJ23" i="14"/>
  <c r="J24" i="14"/>
  <c r="AJ24" i="14" s="1"/>
  <c r="J6" i="14"/>
  <c r="J13" i="14" s="1"/>
  <c r="I508" i="10"/>
  <c r="H70" i="14"/>
  <c r="AH70" i="14" s="1"/>
  <c r="K8" i="10"/>
  <c r="M22" i="14"/>
  <c r="AM22" i="14" s="1"/>
  <c r="N455" i="10"/>
  <c r="N466" i="10" s="1"/>
  <c r="N72" i="10"/>
  <c r="L27" i="10"/>
  <c r="K9" i="14" s="1"/>
  <c r="K16" i="14" s="1"/>
  <c r="I24" i="21"/>
  <c r="I7" i="21" s="1"/>
  <c r="I28" i="21"/>
  <c r="I11" i="21" s="1"/>
  <c r="I3" i="21"/>
  <c r="L454" i="10"/>
  <c r="K19" i="14"/>
  <c r="AK19" i="14" s="1"/>
  <c r="I13" i="14"/>
  <c r="F271" i="13"/>
  <c r="H44" i="8"/>
  <c r="I320" i="10"/>
  <c r="H49" i="8"/>
  <c r="F267" i="13"/>
  <c r="F268" i="13" s="1"/>
  <c r="L21" i="14"/>
  <c r="AL21" i="14" s="1"/>
  <c r="M456" i="10"/>
  <c r="M70" i="10"/>
  <c r="M81" i="10" s="1"/>
  <c r="M462" i="10" s="1"/>
  <c r="M467" i="10" s="1"/>
  <c r="H97" i="2"/>
  <c r="F214" i="13"/>
  <c r="M268" i="10"/>
  <c r="N265" i="10"/>
  <c r="L31" i="14"/>
  <c r="H147" i="10"/>
  <c r="L489" i="10"/>
  <c r="L262" i="10"/>
  <c r="L263" i="10"/>
  <c r="L185" i="10"/>
  <c r="L257" i="10" s="1"/>
  <c r="C545" i="13"/>
  <c r="M545" i="13" s="1"/>
  <c r="AK31" i="14"/>
  <c r="K7" i="14"/>
  <c r="K32" i="14"/>
  <c r="AK32" i="14" s="1"/>
  <c r="G68" i="14"/>
  <c r="H506" i="10"/>
  <c r="AF68" i="14"/>
  <c r="F71" i="14"/>
  <c r="AF71" i="14" s="1"/>
  <c r="N28" i="14"/>
  <c r="AN28" i="14" s="1"/>
  <c r="O123" i="10"/>
  <c r="H150" i="2"/>
  <c r="L168" i="10"/>
  <c r="K275" i="10"/>
  <c r="M37" i="14"/>
  <c r="AM37" i="14" s="1"/>
  <c r="N154" i="10"/>
  <c r="J276" i="10"/>
  <c r="L39" i="14"/>
  <c r="K40" i="14"/>
  <c r="AK40" i="14" s="1"/>
  <c r="K8" i="14"/>
  <c r="AK39" i="14"/>
  <c r="F36" i="5"/>
  <c r="E88" i="14"/>
  <c r="AE88" i="14" s="1"/>
  <c r="D6" i="18"/>
  <c r="D6" i="17"/>
  <c r="D26" i="20"/>
  <c r="F75" i="2"/>
  <c r="F57" i="2"/>
  <c r="E89" i="14" s="1"/>
  <c r="F74" i="2"/>
  <c r="L97" i="3"/>
  <c r="F85" i="2"/>
  <c r="F84" i="2" s="1"/>
  <c r="F83" i="2" s="1"/>
  <c r="F129" i="2" s="1"/>
  <c r="F29" i="5"/>
  <c r="D3" i="22" s="1"/>
  <c r="N36" i="14"/>
  <c r="AN36" i="14" s="1"/>
  <c r="O154" i="10"/>
  <c r="M29" i="14"/>
  <c r="AM29" i="14" s="1"/>
  <c r="N123" i="10"/>
  <c r="O326" i="10"/>
  <c r="O321" i="10"/>
  <c r="N45" i="8" s="1"/>
  <c r="N43" i="8" s="1"/>
  <c r="N41" i="8" s="1"/>
  <c r="O173" i="2"/>
  <c r="O4" i="21"/>
  <c r="O8" i="21"/>
  <c r="O151" i="2"/>
  <c r="O12" i="21"/>
  <c r="O153" i="2"/>
  <c r="G261" i="19"/>
  <c r="H102" i="2" l="1"/>
  <c r="V182" i="3"/>
  <c r="V188" i="3" s="1"/>
  <c r="G66" i="8"/>
  <c r="G65" i="8" s="1"/>
  <c r="H8" i="2" s="1"/>
  <c r="F38" i="20"/>
  <c r="P38" i="20" s="1"/>
  <c r="D652" i="13"/>
  <c r="X652" i="13" s="1"/>
  <c r="R30" i="3"/>
  <c r="R32" i="3" s="1"/>
  <c r="L66" i="19" s="1"/>
  <c r="R29" i="3"/>
  <c r="R31" i="3" s="1"/>
  <c r="R183" i="3"/>
  <c r="M22" i="5"/>
  <c r="Q25" i="3"/>
  <c r="E12" i="20"/>
  <c r="W257" i="3"/>
  <c r="G63" i="10"/>
  <c r="G64" i="10" s="1"/>
  <c r="G116" i="10"/>
  <c r="H116" i="10" s="1"/>
  <c r="H109" i="10" s="1"/>
  <c r="G110" i="10"/>
  <c r="Y264" i="3"/>
  <c r="X251" i="3"/>
  <c r="Y371" i="3"/>
  <c r="X370" i="3"/>
  <c r="W182" i="3"/>
  <c r="X244" i="3"/>
  <c r="Y260" i="3"/>
  <c r="D650" i="13"/>
  <c r="N650" i="13" s="1"/>
  <c r="G33" i="8"/>
  <c r="M258" i="10"/>
  <c r="M185" i="10" s="1"/>
  <c r="M257" i="10" s="1"/>
  <c r="D11" i="22"/>
  <c r="M488" i="10"/>
  <c r="M238" i="10"/>
  <c r="M239" i="10"/>
  <c r="I49" i="8"/>
  <c r="J507" i="10" s="1"/>
  <c r="L251" i="10"/>
  <c r="L252" i="10" s="1"/>
  <c r="L201" i="10"/>
  <c r="L233" i="10"/>
  <c r="G271" i="13"/>
  <c r="J320" i="10"/>
  <c r="J326" i="10" s="1"/>
  <c r="N35" i="14"/>
  <c r="AN35" i="14" s="1"/>
  <c r="O165" i="10"/>
  <c r="O270" i="10" s="1"/>
  <c r="J180" i="10"/>
  <c r="I174" i="10"/>
  <c r="I178" i="10"/>
  <c r="H171" i="10"/>
  <c r="M35" i="14"/>
  <c r="AM35" i="14" s="1"/>
  <c r="N165" i="10"/>
  <c r="N270" i="10" s="1"/>
  <c r="L188" i="10"/>
  <c r="L187" i="10"/>
  <c r="L186" i="10"/>
  <c r="M27" i="14"/>
  <c r="AM27" i="14" s="1"/>
  <c r="N134" i="10"/>
  <c r="N246" i="10" s="1"/>
  <c r="N234" i="10" s="1"/>
  <c r="J481" i="10"/>
  <c r="K136" i="10"/>
  <c r="J137" i="10"/>
  <c r="N27" i="14"/>
  <c r="AN27" i="14" s="1"/>
  <c r="O134" i="10"/>
  <c r="O246" i="10" s="1"/>
  <c r="O234" i="10" s="1"/>
  <c r="H103" i="14"/>
  <c r="H102" i="14" s="1"/>
  <c r="H106" i="14" s="1"/>
  <c r="K15" i="14"/>
  <c r="G59" i="10"/>
  <c r="G60" i="10" s="1"/>
  <c r="J480" i="10"/>
  <c r="J91" i="10"/>
  <c r="J95" i="10" s="1"/>
  <c r="I114" i="10"/>
  <c r="J3" i="21"/>
  <c r="J173" i="2" s="1"/>
  <c r="H38" i="20" s="1"/>
  <c r="J24" i="21"/>
  <c r="J7" i="21" s="1"/>
  <c r="J151" i="2" s="1"/>
  <c r="J508" i="10"/>
  <c r="I10" i="14"/>
  <c r="W614" i="13"/>
  <c r="C626" i="13"/>
  <c r="M626" i="13" s="1"/>
  <c r="L14" i="18"/>
  <c r="N18" i="5"/>
  <c r="N24" i="5"/>
  <c r="O24" i="5"/>
  <c r="M14" i="18"/>
  <c r="O18" i="5"/>
  <c r="N614" i="13"/>
  <c r="X614" i="13"/>
  <c r="N612" i="13"/>
  <c r="C525" i="13"/>
  <c r="M525" i="13" s="1"/>
  <c r="C588" i="13"/>
  <c r="J11" i="18"/>
  <c r="L8" i="10"/>
  <c r="L128" i="10" s="1"/>
  <c r="K14" i="14"/>
  <c r="K9" i="10"/>
  <c r="J34" i="8" s="1"/>
  <c r="K159" i="10"/>
  <c r="K482" i="10" s="1"/>
  <c r="K339" i="10"/>
  <c r="J50" i="8" s="1"/>
  <c r="K75" i="10"/>
  <c r="K20" i="21"/>
  <c r="K128" i="10"/>
  <c r="K317" i="10"/>
  <c r="I8" i="18"/>
  <c r="K459" i="10"/>
  <c r="K352" i="10"/>
  <c r="J55" i="8" s="1"/>
  <c r="J54" i="8" s="1"/>
  <c r="J3" i="14"/>
  <c r="I507" i="10"/>
  <c r="H69" i="14"/>
  <c r="AH69" i="14" s="1"/>
  <c r="I12" i="21"/>
  <c r="I153" i="2"/>
  <c r="I321" i="10"/>
  <c r="H45" i="8" s="1"/>
  <c r="H43" i="8" s="1"/>
  <c r="H41" i="8" s="1"/>
  <c r="H38" i="8" s="1"/>
  <c r="I326" i="10"/>
  <c r="I8" i="21"/>
  <c r="I151" i="2"/>
  <c r="AA187" i="3" s="1"/>
  <c r="L19" i="14"/>
  <c r="AL19" i="14" s="1"/>
  <c r="M454" i="10"/>
  <c r="N27" i="10"/>
  <c r="M9" i="14" s="1"/>
  <c r="M21" i="14"/>
  <c r="AM21" i="14" s="1"/>
  <c r="N456" i="10"/>
  <c r="N70" i="10"/>
  <c r="N81" i="10" s="1"/>
  <c r="N462" i="10" s="1"/>
  <c r="N467" i="10" s="1"/>
  <c r="L281" i="10"/>
  <c r="AK23" i="14"/>
  <c r="K6" i="14"/>
  <c r="K13" i="14" s="1"/>
  <c r="K24" i="14"/>
  <c r="AK24" i="14" s="1"/>
  <c r="M461" i="10"/>
  <c r="M27" i="10"/>
  <c r="L9" i="14" s="1"/>
  <c r="L16" i="14" s="1"/>
  <c r="L23" i="14"/>
  <c r="M281" i="10" s="1"/>
  <c r="I173" i="2"/>
  <c r="AA182" i="3" s="1"/>
  <c r="Z182" i="3" s="1"/>
  <c r="I4" i="21"/>
  <c r="I5" i="21" s="1"/>
  <c r="M168" i="10"/>
  <c r="F51" i="14"/>
  <c r="AF51" i="14" s="1"/>
  <c r="J153" i="2"/>
  <c r="F132" i="2"/>
  <c r="G130" i="2" s="1"/>
  <c r="L40" i="14"/>
  <c r="AL40" i="14" s="1"/>
  <c r="L8" i="14"/>
  <c r="AL39" i="14"/>
  <c r="L32" i="14"/>
  <c r="AL32" i="14" s="1"/>
  <c r="AL31" i="14"/>
  <c r="L7" i="14"/>
  <c r="N268" i="10"/>
  <c r="N258" i="10" s="1"/>
  <c r="O265" i="10"/>
  <c r="O268" i="10" s="1"/>
  <c r="O258" i="10" s="1"/>
  <c r="G38" i="10"/>
  <c r="M39" i="14"/>
  <c r="G71" i="14"/>
  <c r="AG71" i="14" s="1"/>
  <c r="AG68" i="14"/>
  <c r="M489" i="10"/>
  <c r="M31" i="14"/>
  <c r="D545" i="13"/>
  <c r="N545" i="13" s="1"/>
  <c r="F50" i="14"/>
  <c r="F79" i="14"/>
  <c r="AF79" i="14" s="1"/>
  <c r="F64" i="8"/>
  <c r="K276" i="10"/>
  <c r="L275" i="10"/>
  <c r="H140" i="10"/>
  <c r="O150" i="2"/>
  <c r="N68" i="14"/>
  <c r="O506" i="10"/>
  <c r="G262" i="19"/>
  <c r="U182" i="3" l="1"/>
  <c r="N652" i="13"/>
  <c r="R38" i="20"/>
  <c r="G214" i="13"/>
  <c r="V26" i="3"/>
  <c r="U26" i="3" s="1"/>
  <c r="V16" i="3"/>
  <c r="U16" i="3" s="1"/>
  <c r="U188" i="3"/>
  <c r="H94" i="10"/>
  <c r="H37" i="10" s="1"/>
  <c r="O22" i="5"/>
  <c r="N22" i="5"/>
  <c r="W26" i="3"/>
  <c r="W25" i="3" s="1"/>
  <c r="W187" i="3"/>
  <c r="AA188" i="3"/>
  <c r="Z187" i="3"/>
  <c r="Z188" i="3" s="1"/>
  <c r="I97" i="2"/>
  <c r="H106" i="10"/>
  <c r="G117" i="10"/>
  <c r="M263" i="10"/>
  <c r="M262" i="10"/>
  <c r="M275" i="10" s="1"/>
  <c r="J321" i="10"/>
  <c r="I45" i="8" s="1"/>
  <c r="I43" i="8" s="1"/>
  <c r="I41" i="8" s="1"/>
  <c r="I38" i="8" s="1"/>
  <c r="I33" i="8" s="1"/>
  <c r="I64" i="14" s="1"/>
  <c r="AI64" i="14" s="1"/>
  <c r="M251" i="10"/>
  <c r="M252" i="10" s="1"/>
  <c r="X182" i="3"/>
  <c r="Z371" i="3"/>
  <c r="Z370" i="3" s="1"/>
  <c r="Y370" i="3"/>
  <c r="Y244" i="3"/>
  <c r="Z260" i="3"/>
  <c r="Z244" i="3" s="1"/>
  <c r="Y251" i="3"/>
  <c r="Z264" i="3"/>
  <c r="Z251" i="3" s="1"/>
  <c r="G34" i="8"/>
  <c r="G64" i="14"/>
  <c r="AG64" i="14" s="1"/>
  <c r="I69" i="14"/>
  <c r="AI69" i="14" s="1"/>
  <c r="N38" i="8"/>
  <c r="N33" i="8" s="1"/>
  <c r="J12" i="21"/>
  <c r="O238" i="10"/>
  <c r="O239" i="10"/>
  <c r="O488" i="10"/>
  <c r="N488" i="10"/>
  <c r="N238" i="10"/>
  <c r="N239" i="10"/>
  <c r="M201" i="10"/>
  <c r="M233" i="10"/>
  <c r="M188" i="10"/>
  <c r="M187" i="10"/>
  <c r="M186" i="10"/>
  <c r="K180" i="10"/>
  <c r="J174" i="10"/>
  <c r="J178" i="10"/>
  <c r="I171" i="10"/>
  <c r="J4" i="21"/>
  <c r="J5" i="21" s="1"/>
  <c r="J8" i="21"/>
  <c r="L136" i="10"/>
  <c r="K137" i="10"/>
  <c r="L481" i="10"/>
  <c r="K481" i="10"/>
  <c r="J114" i="10"/>
  <c r="I107" i="10"/>
  <c r="H61" i="10"/>
  <c r="H108" i="10"/>
  <c r="I116" i="10"/>
  <c r="K480" i="10"/>
  <c r="K91" i="10"/>
  <c r="K95" i="10" s="1"/>
  <c r="L459" i="10"/>
  <c r="L339" i="10"/>
  <c r="K50" i="8" s="1"/>
  <c r="I267" i="13" s="1"/>
  <c r="I268" i="13" s="1"/>
  <c r="L352" i="10"/>
  <c r="K55" i="8" s="1"/>
  <c r="K54" i="8" s="1"/>
  <c r="L508" i="10" s="1"/>
  <c r="L317" i="10"/>
  <c r="K44" i="8" s="1"/>
  <c r="L75" i="10"/>
  <c r="L20" i="21"/>
  <c r="L28" i="21" s="1"/>
  <c r="L11" i="21" s="1"/>
  <c r="J8" i="18"/>
  <c r="L9" i="10"/>
  <c r="K34" i="8" s="1"/>
  <c r="K3" i="14"/>
  <c r="AK3" i="14" s="1"/>
  <c r="L159" i="10"/>
  <c r="L482" i="10" s="1"/>
  <c r="G79" i="14"/>
  <c r="AG79" i="14" s="1"/>
  <c r="G64" i="8"/>
  <c r="D588" i="13"/>
  <c r="N588" i="13" s="1"/>
  <c r="D626" i="13"/>
  <c r="N626" i="13" s="1"/>
  <c r="C608" i="13"/>
  <c r="W608" i="13" s="1"/>
  <c r="C646" i="13"/>
  <c r="E614" i="13"/>
  <c r="O614" i="13" s="1"/>
  <c r="E652" i="13"/>
  <c r="F614" i="13"/>
  <c r="Z614" i="13" s="1"/>
  <c r="F652" i="13"/>
  <c r="C590" i="13"/>
  <c r="M590" i="13" s="1"/>
  <c r="C628" i="13"/>
  <c r="D590" i="13"/>
  <c r="X590" i="13" s="1"/>
  <c r="D628" i="13"/>
  <c r="M588" i="13"/>
  <c r="K11" i="18"/>
  <c r="L15" i="14"/>
  <c r="J97" i="2"/>
  <c r="L14" i="14"/>
  <c r="F138" i="2"/>
  <c r="H68" i="14"/>
  <c r="H33" i="8"/>
  <c r="I506" i="10"/>
  <c r="J44" i="8"/>
  <c r="K320" i="10"/>
  <c r="H271" i="13"/>
  <c r="M84" i="10"/>
  <c r="M8" i="10"/>
  <c r="K3" i="21"/>
  <c r="K28" i="21"/>
  <c r="K11" i="21" s="1"/>
  <c r="K24" i="21"/>
  <c r="K7" i="21" s="1"/>
  <c r="H66" i="8"/>
  <c r="AA26" i="3" s="1"/>
  <c r="I102" i="2"/>
  <c r="G38" i="20"/>
  <c r="Q38" i="20" s="1"/>
  <c r="I103" i="14"/>
  <c r="J103" i="14" s="1"/>
  <c r="L24" i="14"/>
  <c r="AL24" i="14" s="1"/>
  <c r="L6" i="14"/>
  <c r="L13" i="14" s="1"/>
  <c r="AL23" i="14"/>
  <c r="N454" i="10"/>
  <c r="M19" i="14"/>
  <c r="AM19" i="14" s="1"/>
  <c r="I150" i="2"/>
  <c r="AJ3" i="14"/>
  <c r="J10" i="14"/>
  <c r="H267" i="13"/>
  <c r="H268" i="13" s="1"/>
  <c r="J49" i="8"/>
  <c r="K508" i="10"/>
  <c r="J70" i="14"/>
  <c r="AJ70" i="14" s="1"/>
  <c r="M23" i="14"/>
  <c r="N461" i="10"/>
  <c r="N84" i="10"/>
  <c r="M40" i="14"/>
  <c r="AM40" i="14" s="1"/>
  <c r="M8" i="14"/>
  <c r="M15" i="14" s="1"/>
  <c r="AM39" i="14"/>
  <c r="E31" i="20"/>
  <c r="G98" i="2"/>
  <c r="G138" i="14"/>
  <c r="D725" i="13"/>
  <c r="G136" i="14"/>
  <c r="C541" i="13"/>
  <c r="G159" i="14"/>
  <c r="L276" i="10"/>
  <c r="D525" i="13"/>
  <c r="N525" i="13" s="1"/>
  <c r="AM31" i="14"/>
  <c r="M7" i="14"/>
  <c r="M14" i="14" s="1"/>
  <c r="M32" i="14"/>
  <c r="AM32" i="14" s="1"/>
  <c r="O489" i="10"/>
  <c r="O262" i="10"/>
  <c r="O185" i="10"/>
  <c r="O257" i="10" s="1"/>
  <c r="O263" i="10"/>
  <c r="J150" i="2"/>
  <c r="G50" i="14"/>
  <c r="H142" i="10"/>
  <c r="N489" i="10"/>
  <c r="N262" i="10"/>
  <c r="N263" i="10"/>
  <c r="N185" i="10"/>
  <c r="N257" i="10" s="1"/>
  <c r="E37" i="16"/>
  <c r="J102" i="2"/>
  <c r="I66" i="8"/>
  <c r="M16" i="14"/>
  <c r="F52" i="14"/>
  <c r="AF52" i="14" s="1"/>
  <c r="AF50" i="14"/>
  <c r="C527" i="13"/>
  <c r="M527" i="13" s="1"/>
  <c r="G13" i="2"/>
  <c r="I68" i="14"/>
  <c r="G499" i="10"/>
  <c r="G36" i="10"/>
  <c r="G155" i="2"/>
  <c r="J15" i="15" s="1"/>
  <c r="G33" i="10"/>
  <c r="G50" i="10" s="1"/>
  <c r="G51" i="10" s="1"/>
  <c r="F12" i="20"/>
  <c r="P12" i="20" s="1"/>
  <c r="V25" i="3"/>
  <c r="D527" i="13"/>
  <c r="N527" i="13" s="1"/>
  <c r="H13" i="2"/>
  <c r="N168" i="10"/>
  <c r="N71" i="14"/>
  <c r="AN71" i="14" s="1"/>
  <c r="AN68" i="14"/>
  <c r="G264" i="19"/>
  <c r="F235" i="19"/>
  <c r="G254" i="19"/>
  <c r="F234" i="19"/>
  <c r="H45" i="10" l="1"/>
  <c r="H154" i="2"/>
  <c r="X187" i="3"/>
  <c r="U226" i="3"/>
  <c r="K15" i="15"/>
  <c r="O66" i="19"/>
  <c r="X12" i="3"/>
  <c r="W12" i="3"/>
  <c r="J506" i="10"/>
  <c r="H64" i="14"/>
  <c r="AH64" i="14" s="1"/>
  <c r="AA16" i="3"/>
  <c r="Z16" i="3" s="1"/>
  <c r="P614" i="13"/>
  <c r="K49" i="8"/>
  <c r="L507" i="10" s="1"/>
  <c r="Y182" i="3"/>
  <c r="W183" i="3"/>
  <c r="W29" i="3"/>
  <c r="W31" i="3" s="1"/>
  <c r="X26" i="3"/>
  <c r="K70" i="14"/>
  <c r="AK70" i="14" s="1"/>
  <c r="N251" i="10"/>
  <c r="N252" i="10" s="1"/>
  <c r="O251" i="10"/>
  <c r="O252" i="10" s="1"/>
  <c r="N201" i="10"/>
  <c r="N233" i="10"/>
  <c r="O201" i="10"/>
  <c r="O233" i="10"/>
  <c r="O186" i="10"/>
  <c r="O188" i="10"/>
  <c r="O187" i="10"/>
  <c r="L180" i="10"/>
  <c r="K174" i="10"/>
  <c r="N188" i="10"/>
  <c r="N187" i="10"/>
  <c r="N186" i="10"/>
  <c r="K178" i="10"/>
  <c r="J171" i="10"/>
  <c r="K10" i="14"/>
  <c r="M136" i="10"/>
  <c r="L137" i="10"/>
  <c r="M608" i="13"/>
  <c r="I271" i="13"/>
  <c r="G49" i="14"/>
  <c r="AG49" i="14" s="1"/>
  <c r="H92" i="10"/>
  <c r="H98" i="10"/>
  <c r="L320" i="10"/>
  <c r="L321" i="10" s="1"/>
  <c r="K45" i="8" s="1"/>
  <c r="K43" i="8" s="1"/>
  <c r="H89" i="10"/>
  <c r="H63" i="10"/>
  <c r="H64" i="10" s="1"/>
  <c r="H110" i="10"/>
  <c r="H62" i="10"/>
  <c r="J116" i="10"/>
  <c r="I109" i="10"/>
  <c r="I90" i="10"/>
  <c r="I61" i="10"/>
  <c r="I108" i="10"/>
  <c r="L480" i="10"/>
  <c r="L91" i="10"/>
  <c r="L95" i="10" s="1"/>
  <c r="K114" i="10"/>
  <c r="J107" i="10"/>
  <c r="L24" i="21"/>
  <c r="L7" i="21" s="1"/>
  <c r="L3" i="21"/>
  <c r="L4" i="21" s="1"/>
  <c r="C648" i="13"/>
  <c r="M648" i="13" s="1"/>
  <c r="E612" i="13"/>
  <c r="O612" i="13" s="1"/>
  <c r="E650" i="13"/>
  <c r="O650" i="13" s="1"/>
  <c r="F612" i="13"/>
  <c r="P612" i="13" s="1"/>
  <c r="F650" i="13"/>
  <c r="P650" i="13" s="1"/>
  <c r="Y614" i="13"/>
  <c r="W590" i="13"/>
  <c r="W646" i="13"/>
  <c r="M646" i="13"/>
  <c r="Z652" i="13"/>
  <c r="P652" i="13"/>
  <c r="N590" i="13"/>
  <c r="O652" i="13"/>
  <c r="Y652" i="13"/>
  <c r="D594" i="13"/>
  <c r="N594" i="13" s="1"/>
  <c r="D632" i="13"/>
  <c r="X628" i="13"/>
  <c r="N628" i="13"/>
  <c r="C594" i="13"/>
  <c r="M594" i="13" s="1"/>
  <c r="C632" i="13"/>
  <c r="W628" i="13"/>
  <c r="M628" i="13"/>
  <c r="F80" i="8"/>
  <c r="C610" i="13"/>
  <c r="W610" i="13" s="1"/>
  <c r="M11" i="18"/>
  <c r="L11" i="18"/>
  <c r="I102" i="14"/>
  <c r="I106" i="14" s="1"/>
  <c r="N8" i="10"/>
  <c r="N317" i="10" s="1"/>
  <c r="M24" i="14"/>
  <c r="AM24" i="14" s="1"/>
  <c r="AM23" i="14"/>
  <c r="M6" i="14"/>
  <c r="M13" i="14" s="1"/>
  <c r="M352" i="10"/>
  <c r="L55" i="8" s="1"/>
  <c r="L54" i="8" s="1"/>
  <c r="L3" i="14"/>
  <c r="M9" i="10"/>
  <c r="L34" i="8" s="1"/>
  <c r="M128" i="10"/>
  <c r="M459" i="10"/>
  <c r="M75" i="10"/>
  <c r="M317" i="10"/>
  <c r="M20" i="21"/>
  <c r="K8" i="18"/>
  <c r="M339" i="10"/>
  <c r="L50" i="8" s="1"/>
  <c r="M159" i="10"/>
  <c r="M482" i="10" s="1"/>
  <c r="N281" i="10"/>
  <c r="H65" i="8"/>
  <c r="H214" i="13"/>
  <c r="K321" i="10"/>
  <c r="J45" i="8" s="1"/>
  <c r="J43" i="8" s="1"/>
  <c r="J41" i="8" s="1"/>
  <c r="K326" i="10"/>
  <c r="J69" i="14"/>
  <c r="AJ69" i="14" s="1"/>
  <c r="K507" i="10"/>
  <c r="K153" i="2"/>
  <c r="K12" i="21"/>
  <c r="K151" i="2"/>
  <c r="K8" i="21"/>
  <c r="K173" i="2"/>
  <c r="K4" i="21"/>
  <c r="K5" i="21" s="1"/>
  <c r="E626" i="13"/>
  <c r="O626" i="13" s="1"/>
  <c r="E545" i="13"/>
  <c r="O545" i="13" s="1"/>
  <c r="H71" i="14"/>
  <c r="AH71" i="14" s="1"/>
  <c r="AH68" i="14"/>
  <c r="E15" i="20"/>
  <c r="E10" i="20"/>
  <c r="N275" i="10"/>
  <c r="I71" i="14"/>
  <c r="AI71" i="14" s="1"/>
  <c r="AI68" i="14"/>
  <c r="G161" i="14"/>
  <c r="G162" i="14" s="1"/>
  <c r="G144" i="14"/>
  <c r="M541" i="13"/>
  <c r="F545" i="13"/>
  <c r="P545" i="13" s="1"/>
  <c r="F626" i="13"/>
  <c r="P626" i="13" s="1"/>
  <c r="J102" i="14"/>
  <c r="J106" i="14" s="1"/>
  <c r="I214" i="13"/>
  <c r="I65" i="8"/>
  <c r="C543" i="13"/>
  <c r="M543" i="13" s="1"/>
  <c r="G140" i="14"/>
  <c r="G135" i="14" s="1"/>
  <c r="G98" i="14"/>
  <c r="G99" i="2"/>
  <c r="E32" i="20"/>
  <c r="D726" i="13"/>
  <c r="F7" i="8"/>
  <c r="G5" i="2" s="1"/>
  <c r="C14" i="15" s="1"/>
  <c r="M276" i="10"/>
  <c r="V29" i="3"/>
  <c r="V183" i="3"/>
  <c r="AG50" i="14"/>
  <c r="F10" i="20"/>
  <c r="F15" i="20"/>
  <c r="O275" i="10"/>
  <c r="D531" i="13"/>
  <c r="N531" i="13" s="1"/>
  <c r="V48" i="3"/>
  <c r="C531" i="13"/>
  <c r="M531" i="13" s="1"/>
  <c r="Q48" i="3"/>
  <c r="L153" i="2"/>
  <c r="F58" i="14"/>
  <c r="AF58" i="14" s="1"/>
  <c r="G472" i="10"/>
  <c r="G197" i="10"/>
  <c r="G283" i="10"/>
  <c r="D727" i="13"/>
  <c r="G34" i="10"/>
  <c r="G7" i="17"/>
  <c r="Q183" i="3"/>
  <c r="Q176" i="3"/>
  <c r="G152" i="2"/>
  <c r="K103" i="14" l="1"/>
  <c r="I38" i="20"/>
  <c r="K41" i="8"/>
  <c r="U191" i="3"/>
  <c r="U225" i="3" s="1"/>
  <c r="K14" i="15"/>
  <c r="V203" i="3"/>
  <c r="P15" i="20"/>
  <c r="L63" i="19"/>
  <c r="R65" i="3"/>
  <c r="R61" i="3"/>
  <c r="I106" i="10"/>
  <c r="I94" i="10"/>
  <c r="I89" i="10" s="1"/>
  <c r="T25" i="3"/>
  <c r="T187" i="3"/>
  <c r="T12" i="3" s="1"/>
  <c r="Y26" i="3"/>
  <c r="Y25" i="3" s="1"/>
  <c r="Y183" i="3" s="1"/>
  <c r="Y187" i="3"/>
  <c r="Y12" i="3" s="1"/>
  <c r="L326" i="10"/>
  <c r="K97" i="2"/>
  <c r="E34" i="20"/>
  <c r="K40" i="20" s="1"/>
  <c r="H59" i="10"/>
  <c r="H60" i="10" s="1"/>
  <c r="K69" i="14"/>
  <c r="AK69" i="14" s="1"/>
  <c r="X25" i="3"/>
  <c r="M180" i="10"/>
  <c r="L174" i="10"/>
  <c r="L178" i="10"/>
  <c r="K171" i="10"/>
  <c r="N128" i="10"/>
  <c r="N481" i="10" s="1"/>
  <c r="N459" i="10"/>
  <c r="N159" i="10"/>
  <c r="N482" i="10" s="1"/>
  <c r="N352" i="10"/>
  <c r="M55" i="8" s="1"/>
  <c r="M54" i="8" s="1"/>
  <c r="N508" i="10" s="1"/>
  <c r="M481" i="10"/>
  <c r="N9" i="10"/>
  <c r="M34" i="8" s="1"/>
  <c r="L173" i="2"/>
  <c r="K66" i="8" s="1"/>
  <c r="K65" i="8" s="1"/>
  <c r="N136" i="10"/>
  <c r="M137" i="10"/>
  <c r="L12" i="21"/>
  <c r="N20" i="21"/>
  <c r="N28" i="21" s="1"/>
  <c r="N11" i="21" s="1"/>
  <c r="L8" i="21"/>
  <c r="C644" i="13"/>
  <c r="M644" i="13" s="1"/>
  <c r="J61" i="10"/>
  <c r="J108" i="10"/>
  <c r="J90" i="10"/>
  <c r="I98" i="10"/>
  <c r="H49" i="14"/>
  <c r="AH49" i="14" s="1"/>
  <c r="I92" i="10"/>
  <c r="L114" i="10"/>
  <c r="K107" i="10"/>
  <c r="I63" i="10"/>
  <c r="I64" i="10" s="1"/>
  <c r="I110" i="10"/>
  <c r="H100" i="10"/>
  <c r="H101" i="10" s="1"/>
  <c r="G43" i="14"/>
  <c r="H471" i="10"/>
  <c r="H96" i="10"/>
  <c r="K116" i="10"/>
  <c r="J109" i="10"/>
  <c r="J106" i="10" s="1"/>
  <c r="H470" i="10"/>
  <c r="H99" i="10"/>
  <c r="I62" i="10"/>
  <c r="L151" i="2"/>
  <c r="L150" i="2" s="1"/>
  <c r="M480" i="10"/>
  <c r="M91" i="10"/>
  <c r="M95" i="10" s="1"/>
  <c r="W648" i="13"/>
  <c r="X594" i="13"/>
  <c r="W632" i="13"/>
  <c r="M632" i="13"/>
  <c r="W594" i="13"/>
  <c r="X632" i="13"/>
  <c r="N632" i="13"/>
  <c r="E525" i="13"/>
  <c r="O525" i="13" s="1"/>
  <c r="E588" i="13"/>
  <c r="F525" i="13"/>
  <c r="P525" i="13" s="1"/>
  <c r="F588" i="13"/>
  <c r="M610" i="13"/>
  <c r="C606" i="13"/>
  <c r="L8" i="18"/>
  <c r="O9" i="10"/>
  <c r="N34" i="8" s="1"/>
  <c r="N75" i="10"/>
  <c r="M3" i="14"/>
  <c r="M10" i="14" s="1"/>
  <c r="N339" i="10"/>
  <c r="M50" i="8" s="1"/>
  <c r="M49" i="8" s="1"/>
  <c r="M69" i="14" s="1"/>
  <c r="AM69" i="14" s="1"/>
  <c r="L97" i="2"/>
  <c r="L5" i="21"/>
  <c r="J68" i="14"/>
  <c r="K506" i="10"/>
  <c r="K150" i="2"/>
  <c r="M508" i="10"/>
  <c r="L70" i="14"/>
  <c r="AL70" i="14" s="1"/>
  <c r="K102" i="2"/>
  <c r="J66" i="8"/>
  <c r="J65" i="8" s="1"/>
  <c r="L49" i="8"/>
  <c r="J267" i="13"/>
  <c r="J268" i="13" s="1"/>
  <c r="C539" i="13"/>
  <c r="M539" i="13" s="1"/>
  <c r="H79" i="14"/>
  <c r="AH79" i="14" s="1"/>
  <c r="H64" i="8"/>
  <c r="I8" i="2"/>
  <c r="AA25" i="3" s="1"/>
  <c r="M3" i="21"/>
  <c r="M24" i="21"/>
  <c r="M7" i="21" s="1"/>
  <c r="M28" i="21"/>
  <c r="M11" i="21" s="1"/>
  <c r="M320" i="10"/>
  <c r="J271" i="13"/>
  <c r="L44" i="8"/>
  <c r="AL3" i="14"/>
  <c r="L10" i="14"/>
  <c r="N408" i="13"/>
  <c r="E191" i="19"/>
  <c r="E201" i="19" s="1"/>
  <c r="L168" i="19"/>
  <c r="R191" i="19" s="1"/>
  <c r="L207" i="19"/>
  <c r="N276" i="10"/>
  <c r="N320" i="10"/>
  <c r="M44" i="8"/>
  <c r="F59" i="14"/>
  <c r="AF59" i="14" s="1"/>
  <c r="G287" i="10"/>
  <c r="G500" i="10"/>
  <c r="K102" i="14"/>
  <c r="K106" i="14" s="1"/>
  <c r="E5" i="20"/>
  <c r="F61" i="14"/>
  <c r="O276" i="10"/>
  <c r="K68" i="14"/>
  <c r="L506" i="10"/>
  <c r="G150" i="14"/>
  <c r="G153" i="14" s="1"/>
  <c r="G145" i="14"/>
  <c r="G148" i="14" s="1"/>
  <c r="Q177" i="3"/>
  <c r="I64" i="8"/>
  <c r="J8" i="2"/>
  <c r="H12" i="20" s="1"/>
  <c r="I79" i="14"/>
  <c r="AI79" i="14" s="1"/>
  <c r="G165" i="14"/>
  <c r="G168" i="14" s="1"/>
  <c r="G238" i="19"/>
  <c r="G255" i="19"/>
  <c r="T183" i="3" l="1"/>
  <c r="I9" i="19"/>
  <c r="S38" i="20"/>
  <c r="U203" i="3"/>
  <c r="V206" i="3"/>
  <c r="V41" i="3" s="1"/>
  <c r="T29" i="3"/>
  <c r="T31" i="3" s="1"/>
  <c r="Q66" i="19" s="1"/>
  <c r="AO25" i="3"/>
  <c r="U25" i="3"/>
  <c r="AP25" i="3" s="1"/>
  <c r="R12" i="20"/>
  <c r="H15" i="20"/>
  <c r="R15" i="20" s="1"/>
  <c r="H10" i="20"/>
  <c r="J9" i="19"/>
  <c r="AA183" i="3"/>
  <c r="AA29" i="3"/>
  <c r="P66" i="19"/>
  <c r="U30" i="3"/>
  <c r="Z26" i="3"/>
  <c r="Z30" i="3" s="1"/>
  <c r="Y29" i="3"/>
  <c r="Y31" i="3" s="1"/>
  <c r="L103" i="14"/>
  <c r="L102" i="14" s="1"/>
  <c r="L106" i="14" s="1"/>
  <c r="I59" i="10"/>
  <c r="I60" i="10" s="1"/>
  <c r="Z25" i="3"/>
  <c r="Z183" i="3" s="1"/>
  <c r="X183" i="3"/>
  <c r="X29" i="3"/>
  <c r="X31" i="3" s="1"/>
  <c r="J38" i="8"/>
  <c r="J33" i="8" s="1"/>
  <c r="J64" i="14" s="1"/>
  <c r="AJ64" i="14" s="1"/>
  <c r="K38" i="8"/>
  <c r="K33" i="8" s="1"/>
  <c r="K64" i="14" s="1"/>
  <c r="AK64" i="14" s="1"/>
  <c r="N3" i="21"/>
  <c r="N173" i="2" s="1"/>
  <c r="N24" i="21"/>
  <c r="N7" i="21" s="1"/>
  <c r="N151" i="2" s="1"/>
  <c r="M70" i="14"/>
  <c r="AM70" i="14" s="1"/>
  <c r="L102" i="2"/>
  <c r="M178" i="10"/>
  <c r="L171" i="10"/>
  <c r="N180" i="10"/>
  <c r="M174" i="10"/>
  <c r="W644" i="13"/>
  <c r="O136" i="10"/>
  <c r="O137" i="10" s="1"/>
  <c r="N137" i="10"/>
  <c r="AG43" i="14"/>
  <c r="N480" i="10"/>
  <c r="N91" i="10"/>
  <c r="N95" i="10" s="1"/>
  <c r="I470" i="10"/>
  <c r="I99" i="10"/>
  <c r="J110" i="10"/>
  <c r="J94" i="10"/>
  <c r="J89" i="10" s="1"/>
  <c r="J63" i="10"/>
  <c r="J64" i="10" s="1"/>
  <c r="H149" i="10"/>
  <c r="L116" i="10"/>
  <c r="K109" i="10"/>
  <c r="K106" i="10" s="1"/>
  <c r="I471" i="10"/>
  <c r="I100" i="10"/>
  <c r="I101" i="10" s="1"/>
  <c r="H43" i="14"/>
  <c r="I96" i="10"/>
  <c r="I49" i="14"/>
  <c r="AI49" i="14" s="1"/>
  <c r="J98" i="10"/>
  <c r="J92" i="10"/>
  <c r="K90" i="10"/>
  <c r="K108" i="10"/>
  <c r="K61" i="10"/>
  <c r="M114" i="10"/>
  <c r="L107" i="10"/>
  <c r="J62" i="10"/>
  <c r="N507" i="10"/>
  <c r="AM3" i="14"/>
  <c r="N64" i="14"/>
  <c r="AN64" i="14" s="1"/>
  <c r="C586" i="13"/>
  <c r="M586" i="13" s="1"/>
  <c r="C624" i="13"/>
  <c r="F590" i="13"/>
  <c r="P590" i="13" s="1"/>
  <c r="F628" i="13"/>
  <c r="E590" i="13"/>
  <c r="O590" i="13" s="1"/>
  <c r="E628" i="13"/>
  <c r="P588" i="13"/>
  <c r="O588" i="13"/>
  <c r="M606" i="13"/>
  <c r="W606" i="13"/>
  <c r="G268" i="19"/>
  <c r="G155" i="14"/>
  <c r="G96" i="14" s="1"/>
  <c r="M321" i="10"/>
  <c r="L45" i="8" s="1"/>
  <c r="L43" i="8" s="1"/>
  <c r="L41" i="8" s="1"/>
  <c r="M326" i="10"/>
  <c r="M153" i="2"/>
  <c r="M12" i="21"/>
  <c r="M507" i="10"/>
  <c r="L69" i="14"/>
  <c r="AL69" i="14" s="1"/>
  <c r="M8" i="21"/>
  <c r="M151" i="2"/>
  <c r="J79" i="14"/>
  <c r="AJ79" i="14" s="1"/>
  <c r="J64" i="8"/>
  <c r="K8" i="2"/>
  <c r="J71" i="14"/>
  <c r="AJ71" i="14" s="1"/>
  <c r="AJ68" i="14"/>
  <c r="I13" i="2"/>
  <c r="E527" i="13"/>
  <c r="O527" i="13" s="1"/>
  <c r="G12" i="20"/>
  <c r="Q12" i="20" s="1"/>
  <c r="G171" i="14"/>
  <c r="G174" i="14" s="1"/>
  <c r="G176" i="14" s="1"/>
  <c r="G97" i="14" s="1"/>
  <c r="M173" i="2"/>
  <c r="M4" i="21"/>
  <c r="M5" i="21" s="1"/>
  <c r="N153" i="2"/>
  <c r="K71" i="14"/>
  <c r="AK71" i="14" s="1"/>
  <c r="AK68" i="14"/>
  <c r="N326" i="10"/>
  <c r="N321" i="10"/>
  <c r="M45" i="8" s="1"/>
  <c r="M43" i="8" s="1"/>
  <c r="M41" i="8" s="1"/>
  <c r="K79" i="14"/>
  <c r="AK79" i="14" s="1"/>
  <c r="L8" i="2"/>
  <c r="AF61" i="14"/>
  <c r="F60" i="14"/>
  <c r="AF60" i="14" s="1"/>
  <c r="E40" i="20"/>
  <c r="C523" i="13"/>
  <c r="M523" i="13" s="1"/>
  <c r="Q7" i="3"/>
  <c r="G18" i="2"/>
  <c r="E39" i="20"/>
  <c r="V40" i="20"/>
  <c r="E35" i="20"/>
  <c r="F527" i="13"/>
  <c r="P527" i="13" s="1"/>
  <c r="J13" i="2"/>
  <c r="F632" i="13" s="1"/>
  <c r="M207" i="19"/>
  <c r="F191" i="19"/>
  <c r="F201" i="19" s="1"/>
  <c r="M168" i="19"/>
  <c r="S191" i="19" s="1"/>
  <c r="E192" i="19"/>
  <c r="E202" i="19" s="1"/>
  <c r="L169" i="19"/>
  <c r="R192" i="19" s="1"/>
  <c r="L208" i="19"/>
  <c r="G239" i="19"/>
  <c r="G240" i="19"/>
  <c r="G257" i="19"/>
  <c r="G266" i="19"/>
  <c r="L9" i="19" l="1"/>
  <c r="O9" i="19"/>
  <c r="K13" i="2"/>
  <c r="I12" i="20"/>
  <c r="U29" i="3"/>
  <c r="U183" i="3"/>
  <c r="U209" i="3"/>
  <c r="U216" i="3" s="1"/>
  <c r="U237" i="3"/>
  <c r="U240" i="3" s="1"/>
  <c r="U206" i="3"/>
  <c r="N4" i="21"/>
  <c r="N5" i="21" s="1"/>
  <c r="M97" i="2"/>
  <c r="W586" i="13"/>
  <c r="M103" i="14"/>
  <c r="M102" i="14" s="1"/>
  <c r="M106" i="14" s="1"/>
  <c r="Z29" i="3"/>
  <c r="Z31" i="3" s="1"/>
  <c r="N12" i="21"/>
  <c r="N8" i="21"/>
  <c r="J59" i="10"/>
  <c r="J60" i="10" s="1"/>
  <c r="E632" i="13"/>
  <c r="O632" i="13" s="1"/>
  <c r="AA48" i="3"/>
  <c r="O180" i="10"/>
  <c r="O174" i="10" s="1"/>
  <c r="N174" i="10"/>
  <c r="H143" i="10"/>
  <c r="H139" i="10" s="1"/>
  <c r="N178" i="10"/>
  <c r="M171" i="10"/>
  <c r="K94" i="10"/>
  <c r="K89" i="10" s="1"/>
  <c r="K63" i="10"/>
  <c r="K64" i="10" s="1"/>
  <c r="K110" i="10"/>
  <c r="I147" i="10"/>
  <c r="I149" i="10"/>
  <c r="I143" i="10" s="1"/>
  <c r="J470" i="10"/>
  <c r="J99" i="10"/>
  <c r="M116" i="10"/>
  <c r="L109" i="10"/>
  <c r="L106" i="10" s="1"/>
  <c r="I43" i="14"/>
  <c r="J100" i="10"/>
  <c r="J101" i="10" s="1"/>
  <c r="J471" i="10"/>
  <c r="J96" i="10"/>
  <c r="N114" i="10"/>
  <c r="M107" i="10"/>
  <c r="K62" i="10"/>
  <c r="L61" i="10"/>
  <c r="L108" i="10"/>
  <c r="L90" i="10"/>
  <c r="K92" i="10"/>
  <c r="K98" i="10"/>
  <c r="J49" i="14"/>
  <c r="AJ49" i="14" s="1"/>
  <c r="AH43" i="14"/>
  <c r="Z590" i="13"/>
  <c r="Y590" i="13"/>
  <c r="W624" i="13"/>
  <c r="M624" i="13"/>
  <c r="L209" i="19"/>
  <c r="Z628" i="13"/>
  <c r="P628" i="13"/>
  <c r="Z632" i="13"/>
  <c r="P632" i="13"/>
  <c r="Y628" i="13"/>
  <c r="O628" i="13"/>
  <c r="G99" i="14"/>
  <c r="G114" i="14" s="1"/>
  <c r="G131" i="14" s="1"/>
  <c r="L211" i="19"/>
  <c r="F531" i="13"/>
  <c r="P531" i="13" s="1"/>
  <c r="F594" i="13"/>
  <c r="E531" i="13"/>
  <c r="O531" i="13" s="1"/>
  <c r="E594" i="13"/>
  <c r="E193" i="19"/>
  <c r="E203" i="19" s="1"/>
  <c r="M211" i="19"/>
  <c r="L170" i="19"/>
  <c r="R193" i="19" s="1"/>
  <c r="M102" i="2"/>
  <c r="L66" i="8"/>
  <c r="L65" i="8" s="1"/>
  <c r="G15" i="20"/>
  <c r="G10" i="20"/>
  <c r="M150" i="2"/>
  <c r="L68" i="14"/>
  <c r="M506" i="10"/>
  <c r="G19" i="2"/>
  <c r="E35" i="22" s="1"/>
  <c r="E20" i="20"/>
  <c r="N102" i="2"/>
  <c r="O102" i="2"/>
  <c r="N66" i="8"/>
  <c r="N65" i="8" s="1"/>
  <c r="M66" i="8"/>
  <c r="M65" i="8" s="1"/>
  <c r="M169" i="19"/>
  <c r="S192" i="19" s="1"/>
  <c r="F192" i="19"/>
  <c r="F202" i="19" s="1"/>
  <c r="M208" i="19"/>
  <c r="G191" i="19"/>
  <c r="G201" i="19" s="1"/>
  <c r="U231" i="3"/>
  <c r="N207" i="19"/>
  <c r="N168" i="19"/>
  <c r="T191" i="19" s="1"/>
  <c r="M68" i="14"/>
  <c r="N506" i="10"/>
  <c r="N97" i="2"/>
  <c r="O97" i="2"/>
  <c r="N150" i="2"/>
  <c r="G235" i="19"/>
  <c r="G236" i="19"/>
  <c r="S12" i="20" l="1"/>
  <c r="I15" i="20"/>
  <c r="S15" i="20" s="1"/>
  <c r="I10" i="20"/>
  <c r="U31" i="3"/>
  <c r="R66" i="19" s="1"/>
  <c r="O5" i="21"/>
  <c r="N103" i="14"/>
  <c r="O103" i="14" s="1"/>
  <c r="O102" i="14" s="1"/>
  <c r="O106" i="14" s="1"/>
  <c r="Q15" i="20"/>
  <c r="Y632" i="13"/>
  <c r="K59" i="10"/>
  <c r="K60" i="10" s="1"/>
  <c r="G44" i="14"/>
  <c r="AG44" i="14" s="1"/>
  <c r="L38" i="8"/>
  <c r="L33" i="8" s="1"/>
  <c r="L64" i="14" s="1"/>
  <c r="AL64" i="14" s="1"/>
  <c r="M38" i="8"/>
  <c r="M33" i="8" s="1"/>
  <c r="M64" i="14" s="1"/>
  <c r="AM64" i="14" s="1"/>
  <c r="O178" i="10"/>
  <c r="O171" i="10" s="1"/>
  <c r="N171" i="10"/>
  <c r="O114" i="10"/>
  <c r="O107" i="10" s="1"/>
  <c r="N107" i="10"/>
  <c r="L110" i="10"/>
  <c r="L63" i="10"/>
  <c r="L64" i="10" s="1"/>
  <c r="L94" i="10"/>
  <c r="L89" i="10" s="1"/>
  <c r="K99" i="10"/>
  <c r="K470" i="10"/>
  <c r="M109" i="10"/>
  <c r="M106" i="10" s="1"/>
  <c r="N116" i="10"/>
  <c r="I145" i="10"/>
  <c r="H44" i="14"/>
  <c r="I140" i="10"/>
  <c r="J147" i="10"/>
  <c r="M108" i="10"/>
  <c r="M61" i="10"/>
  <c r="M90" i="10"/>
  <c r="AI43" i="14"/>
  <c r="L92" i="10"/>
  <c r="K49" i="14"/>
  <c r="AK49" i="14" s="1"/>
  <c r="L98" i="10"/>
  <c r="L62" i="10"/>
  <c r="J149" i="10"/>
  <c r="J143" i="10" s="1"/>
  <c r="K471" i="10"/>
  <c r="K96" i="10"/>
  <c r="K100" i="10"/>
  <c r="K101" i="10" s="1"/>
  <c r="J43" i="14"/>
  <c r="O594" i="13"/>
  <c r="Y594" i="13"/>
  <c r="P594" i="13"/>
  <c r="Z594" i="13"/>
  <c r="G120" i="14"/>
  <c r="G122" i="14" s="1"/>
  <c r="F193" i="19"/>
  <c r="F203" i="19" s="1"/>
  <c r="M170" i="19"/>
  <c r="S193" i="19" s="1"/>
  <c r="M209" i="19"/>
  <c r="L79" i="14"/>
  <c r="AL79" i="14" s="1"/>
  <c r="M8" i="2"/>
  <c r="L71" i="14"/>
  <c r="AL71" i="14" s="1"/>
  <c r="AL68" i="14"/>
  <c r="AM68" i="14"/>
  <c r="M71" i="14"/>
  <c r="AM71" i="14" s="1"/>
  <c r="N8" i="2"/>
  <c r="M79" i="14"/>
  <c r="AM79" i="14" s="1"/>
  <c r="G192" i="19"/>
  <c r="G202" i="19" s="1"/>
  <c r="N208" i="19"/>
  <c r="N169" i="19"/>
  <c r="T192" i="19" s="1"/>
  <c r="N79" i="14"/>
  <c r="AN79" i="14" s="1"/>
  <c r="O8" i="2"/>
  <c r="N102" i="14"/>
  <c r="N106" i="14" s="1"/>
  <c r="T191" i="3"/>
  <c r="C1210" i="13" s="1"/>
  <c r="C1209" i="13" s="1"/>
  <c r="H191" i="19"/>
  <c r="H201" i="19" s="1"/>
  <c r="O168" i="19"/>
  <c r="U191" i="19" s="1"/>
  <c r="O207" i="19"/>
  <c r="N407" i="13"/>
  <c r="N410" i="13" s="1"/>
  <c r="N411" i="13" s="1"/>
  <c r="L220" i="19"/>
  <c r="H254" i="19"/>
  <c r="G234" i="19"/>
  <c r="H261" i="19"/>
  <c r="T203" i="3" l="1"/>
  <c r="T8" i="3" s="1"/>
  <c r="T197" i="3"/>
  <c r="N170" i="19"/>
  <c r="T193" i="19" s="1"/>
  <c r="T228" i="3"/>
  <c r="L59" i="10"/>
  <c r="L60" i="10" s="1"/>
  <c r="AH44" i="14"/>
  <c r="K43" i="14"/>
  <c r="L96" i="10"/>
  <c r="L100" i="10"/>
  <c r="L101" i="10" s="1"/>
  <c r="L471" i="10"/>
  <c r="J145" i="10"/>
  <c r="I44" i="14"/>
  <c r="I139" i="10"/>
  <c r="H50" i="14"/>
  <c r="I142" i="10"/>
  <c r="N109" i="10"/>
  <c r="N106" i="10" s="1"/>
  <c r="O116" i="10"/>
  <c r="O109" i="10" s="1"/>
  <c r="O106" i="10" s="1"/>
  <c r="J140" i="10"/>
  <c r="M63" i="10"/>
  <c r="M64" i="10" s="1"/>
  <c r="M110" i="10"/>
  <c r="M94" i="10"/>
  <c r="M89" i="10" s="1"/>
  <c r="N108" i="10"/>
  <c r="N61" i="10"/>
  <c r="N90" i="10"/>
  <c r="O90" i="10"/>
  <c r="O61" i="10"/>
  <c r="O108" i="10"/>
  <c r="AJ43" i="14"/>
  <c r="L470" i="10"/>
  <c r="L99" i="10"/>
  <c r="M98" i="10"/>
  <c r="L49" i="14"/>
  <c r="AL49" i="14" s="1"/>
  <c r="M92" i="10"/>
  <c r="K147" i="10"/>
  <c r="K149" i="10"/>
  <c r="K143" i="10" s="1"/>
  <c r="M62" i="10"/>
  <c r="N209" i="19"/>
  <c r="G193" i="19"/>
  <c r="G203" i="19" s="1"/>
  <c r="N211" i="19"/>
  <c r="T192" i="3"/>
  <c r="O169" i="19"/>
  <c r="U192" i="19" s="1"/>
  <c r="O208" i="19"/>
  <c r="H192" i="19"/>
  <c r="H202" i="19" s="1"/>
  <c r="H238" i="19"/>
  <c r="H262" i="19"/>
  <c r="H257" i="19"/>
  <c r="H255" i="19"/>
  <c r="T194" i="3" l="1"/>
  <c r="T200" i="3" s="1"/>
  <c r="D1210" i="13"/>
  <c r="D1209" i="13" s="1"/>
  <c r="T229" i="3"/>
  <c r="I25" i="19"/>
  <c r="O25" i="19" s="1"/>
  <c r="I949" i="13"/>
  <c r="T209" i="3"/>
  <c r="T204" i="3"/>
  <c r="T9" i="3" s="1"/>
  <c r="T198" i="3"/>
  <c r="O209" i="19"/>
  <c r="M59" i="10"/>
  <c r="M60" i="10" s="1"/>
  <c r="N49" i="14"/>
  <c r="AN49" i="14" s="1"/>
  <c r="O98" i="10"/>
  <c r="O92" i="10"/>
  <c r="L147" i="10"/>
  <c r="L140" i="10" s="1"/>
  <c r="J139" i="10"/>
  <c r="I50" i="14"/>
  <c r="J142" i="10"/>
  <c r="K140" i="10"/>
  <c r="O94" i="10"/>
  <c r="O89" i="10" s="1"/>
  <c r="O110" i="10"/>
  <c r="O63" i="10"/>
  <c r="O59" i="10" s="1"/>
  <c r="N94" i="10"/>
  <c r="N89" i="10" s="1"/>
  <c r="N110" i="10"/>
  <c r="N63" i="10"/>
  <c r="N64" i="10" s="1"/>
  <c r="L149" i="10"/>
  <c r="L143" i="10" s="1"/>
  <c r="M470" i="10"/>
  <c r="M99" i="10"/>
  <c r="M96" i="10"/>
  <c r="L43" i="14"/>
  <c r="M100" i="10"/>
  <c r="M101" i="10" s="1"/>
  <c r="M471" i="10"/>
  <c r="N98" i="10"/>
  <c r="N470" i="10" s="1"/>
  <c r="N92" i="10"/>
  <c r="M49" i="14"/>
  <c r="AM49" i="14" s="1"/>
  <c r="AI44" i="14"/>
  <c r="AK43" i="14"/>
  <c r="K145" i="10"/>
  <c r="J44" i="14"/>
  <c r="O62" i="10"/>
  <c r="N62" i="10"/>
  <c r="AH50" i="14"/>
  <c r="O211" i="19"/>
  <c r="O170" i="19"/>
  <c r="U193" i="19" s="1"/>
  <c r="H193" i="19"/>
  <c r="H203" i="19" s="1"/>
  <c r="H264" i="19"/>
  <c r="H266" i="19"/>
  <c r="H239" i="19"/>
  <c r="H240" i="19"/>
  <c r="I950" i="13" l="1"/>
  <c r="I952" i="13" s="1"/>
  <c r="I953" i="13" s="1"/>
  <c r="L25" i="19"/>
  <c r="J25" i="19"/>
  <c r="T210" i="3"/>
  <c r="T176" i="3"/>
  <c r="N59" i="10"/>
  <c r="N60" i="10" s="1"/>
  <c r="L142" i="10"/>
  <c r="L139" i="10"/>
  <c r="K50" i="14"/>
  <c r="AJ44" i="14"/>
  <c r="AL43" i="14"/>
  <c r="O64" i="10"/>
  <c r="N99" i="10"/>
  <c r="M147" i="10"/>
  <c r="L145" i="10"/>
  <c r="K44" i="14"/>
  <c r="N100" i="10"/>
  <c r="N101" i="10" s="1"/>
  <c r="M43" i="14"/>
  <c r="N96" i="10"/>
  <c r="N471" i="10"/>
  <c r="O96" i="10"/>
  <c r="O471" i="10"/>
  <c r="O100" i="10"/>
  <c r="N43" i="14"/>
  <c r="M149" i="10"/>
  <c r="M143" i="10" s="1"/>
  <c r="AI50" i="14"/>
  <c r="O470" i="10"/>
  <c r="O99" i="10"/>
  <c r="J50" i="14"/>
  <c r="K142" i="10"/>
  <c r="K139" i="10"/>
  <c r="H235" i="19"/>
  <c r="H236" i="19"/>
  <c r="T185" i="3" l="1"/>
  <c r="I24" i="19"/>
  <c r="O24" i="19" s="1"/>
  <c r="O60" i="10"/>
  <c r="M140" i="10"/>
  <c r="AK50" i="14"/>
  <c r="AJ50" i="14"/>
  <c r="AM43" i="14"/>
  <c r="N147" i="10"/>
  <c r="AN43" i="14"/>
  <c r="N149" i="10"/>
  <c r="N143" i="10" s="1"/>
  <c r="O101" i="10"/>
  <c r="M145" i="10"/>
  <c r="L44" i="14"/>
  <c r="AK44" i="14"/>
  <c r="K261" i="19"/>
  <c r="H234" i="19"/>
  <c r="K254" i="19"/>
  <c r="L24" i="19" l="1"/>
  <c r="J24" i="19"/>
  <c r="O147" i="10"/>
  <c r="O140" i="10" s="1"/>
  <c r="N140" i="10"/>
  <c r="AL44" i="14"/>
  <c r="M44" i="14"/>
  <c r="N145" i="10"/>
  <c r="O149" i="10"/>
  <c r="O143" i="10" s="1"/>
  <c r="L50" i="14"/>
  <c r="M142" i="10"/>
  <c r="M139" i="10"/>
  <c r="K238" i="19"/>
  <c r="K257" i="19"/>
  <c r="K255" i="19"/>
  <c r="K262" i="19"/>
  <c r="N44" i="14" l="1"/>
  <c r="O145" i="10"/>
  <c r="N139" i="10"/>
  <c r="M50" i="14"/>
  <c r="N142" i="10"/>
  <c r="O139" i="10"/>
  <c r="N50" i="14"/>
  <c r="O142" i="10"/>
  <c r="AL50" i="14"/>
  <c r="AM44" i="14"/>
  <c r="K266" i="19"/>
  <c r="K264" i="19"/>
  <c r="K240" i="19"/>
  <c r="K239" i="19"/>
  <c r="AN44" i="14" l="1"/>
  <c r="AN50" i="14"/>
  <c r="AM50" i="14"/>
  <c r="T245" i="3"/>
  <c r="K235" i="19"/>
  <c r="T252" i="3"/>
  <c r="K236" i="19"/>
  <c r="L261" i="19" l="1"/>
  <c r="T253" i="3"/>
  <c r="K234" i="19"/>
  <c r="T351" i="3"/>
  <c r="T354" i="3" s="1"/>
  <c r="T349" i="3" s="1"/>
  <c r="L254" i="19"/>
  <c r="T246" i="3"/>
  <c r="L255" i="19" l="1"/>
  <c r="T248" i="3"/>
  <c r="L257" i="19" s="1"/>
  <c r="T352" i="3"/>
  <c r="L238" i="19"/>
  <c r="T353" i="3"/>
  <c r="L262" i="19"/>
  <c r="T255" i="3"/>
  <c r="O62" i="19" l="1"/>
  <c r="H270" i="19" s="1"/>
  <c r="U107" i="19"/>
  <c r="T347" i="3"/>
  <c r="L239" i="19"/>
  <c r="T348" i="3"/>
  <c r="L240" i="19"/>
  <c r="T257" i="3"/>
  <c r="L266" i="19" s="1"/>
  <c r="L264" i="19"/>
  <c r="U252" i="3" l="1"/>
  <c r="L236" i="19"/>
  <c r="U245" i="3"/>
  <c r="T346" i="3"/>
  <c r="L235" i="19"/>
  <c r="T206" i="3" l="1"/>
  <c r="U351" i="3"/>
  <c r="U354" i="3" s="1"/>
  <c r="U349" i="3" s="1"/>
  <c r="L234" i="19"/>
  <c r="U246" i="3"/>
  <c r="M254" i="19"/>
  <c r="M261" i="19"/>
  <c r="U253" i="3"/>
  <c r="T212" i="3" l="1"/>
  <c r="T219" i="3" s="1"/>
  <c r="T7" i="3"/>
  <c r="I6" i="19" s="1"/>
  <c r="O6" i="19" s="1"/>
  <c r="U23" i="3"/>
  <c r="U255" i="3"/>
  <c r="M262" i="19"/>
  <c r="U248" i="3"/>
  <c r="M257" i="19" s="1"/>
  <c r="M255" i="19"/>
  <c r="U352" i="3"/>
  <c r="U353" i="3"/>
  <c r="M238" i="19"/>
  <c r="L6" i="19" l="1"/>
  <c r="J6" i="19"/>
  <c r="T18" i="3"/>
  <c r="P46" i="19" s="1"/>
  <c r="T19" i="3"/>
  <c r="AO7" i="3"/>
  <c r="T54" i="3"/>
  <c r="T63" i="3"/>
  <c r="U348" i="3"/>
  <c r="M240" i="19"/>
  <c r="M239" i="19"/>
  <c r="U347" i="3"/>
  <c r="M264" i="19"/>
  <c r="U257" i="3"/>
  <c r="M266" i="19" s="1"/>
  <c r="T65" i="3" l="1"/>
  <c r="I10" i="19"/>
  <c r="O10" i="19" s="1"/>
  <c r="AO63" i="3"/>
  <c r="T87" i="3"/>
  <c r="O220" i="19"/>
  <c r="M235" i="19"/>
  <c r="U346" i="3"/>
  <c r="M236" i="19"/>
  <c r="L10" i="19" l="1"/>
  <c r="J10" i="19"/>
  <c r="M234" i="19"/>
  <c r="W351" i="3"/>
  <c r="W354" i="3" s="1"/>
  <c r="W349" i="3" s="1"/>
  <c r="G88" i="2"/>
  <c r="Q93" i="3"/>
  <c r="W10" i="3" l="1"/>
  <c r="W239" i="3"/>
  <c r="W352" i="3"/>
  <c r="W347" i="3" s="1"/>
  <c r="W353" i="3"/>
  <c r="W348" i="3" s="1"/>
  <c r="X252" i="3" l="1"/>
  <c r="X253" i="3" s="1"/>
  <c r="X255" i="3" s="1"/>
  <c r="W346" i="3"/>
  <c r="X351" i="3" s="1"/>
  <c r="X354" i="3" s="1"/>
  <c r="X349" i="3" s="1"/>
  <c r="X245" i="3"/>
  <c r="X246" i="3" s="1"/>
  <c r="X248" i="3" s="1"/>
  <c r="N220" i="19"/>
  <c r="O63" i="19"/>
  <c r="H268" i="19" s="1"/>
  <c r="B16" i="1"/>
  <c r="G203" i="10"/>
  <c r="G208" i="10"/>
  <c r="G225" i="10" s="1"/>
  <c r="G224" i="10" s="1"/>
  <c r="X10" i="3" l="1"/>
  <c r="X239" i="3"/>
  <c r="Y239" i="3" s="1"/>
  <c r="X257" i="3"/>
  <c r="X353" i="3"/>
  <c r="X348" i="3" s="1"/>
  <c r="X352" i="3"/>
  <c r="X347" i="3" s="1"/>
  <c r="G207" i="10"/>
  <c r="G215" i="10" s="1"/>
  <c r="G216" i="10" s="1"/>
  <c r="O46" i="19"/>
  <c r="M220" i="19"/>
  <c r="N46" i="19"/>
  <c r="Q308" i="3"/>
  <c r="C450" i="13"/>
  <c r="C451" i="13" s="1"/>
  <c r="X346" i="3" l="1"/>
  <c r="Y351" i="3" s="1"/>
  <c r="Y354" i="3" s="1"/>
  <c r="Y349" i="3" s="1"/>
  <c r="Y10" i="3" s="1"/>
  <c r="Z10" i="3" s="1"/>
  <c r="Y245" i="3"/>
  <c r="Y246" i="3" s="1"/>
  <c r="Y248" i="3" s="1"/>
  <c r="Y252" i="3"/>
  <c r="Y253" i="3" s="1"/>
  <c r="Y255" i="3" s="1"/>
  <c r="G220" i="10"/>
  <c r="G198" i="10"/>
  <c r="G491" i="10"/>
  <c r="G228" i="10"/>
  <c r="G492" i="10"/>
  <c r="Q309" i="3"/>
  <c r="Y257" i="3" l="1"/>
  <c r="Y353" i="3"/>
  <c r="Y348" i="3" s="1"/>
  <c r="Y352" i="3"/>
  <c r="Y347" i="3" s="1"/>
  <c r="F26" i="8"/>
  <c r="G6" i="2" s="1"/>
  <c r="G494" i="10"/>
  <c r="G195" i="10"/>
  <c r="G495" i="10" s="1"/>
  <c r="G4" i="2" l="1"/>
  <c r="C15" i="15"/>
  <c r="Y346" i="3"/>
  <c r="Z351" i="3" s="1"/>
  <c r="Z354" i="3" s="1"/>
  <c r="Z349" i="3" s="1"/>
  <c r="Z245" i="3"/>
  <c r="Z246" i="3" s="1"/>
  <c r="Z248" i="3" s="1"/>
  <c r="Z252" i="3"/>
  <c r="Z253" i="3" s="1"/>
  <c r="Z255" i="3" s="1"/>
  <c r="F63" i="14"/>
  <c r="AF63" i="14" s="1"/>
  <c r="G32" i="2" l="1"/>
  <c r="C13" i="15"/>
  <c r="Z23" i="3"/>
  <c r="Z239" i="3"/>
  <c r="Z353" i="3"/>
  <c r="Z348" i="3" s="1"/>
  <c r="Z352" i="3"/>
  <c r="Z347" i="3" s="1"/>
  <c r="Z257" i="3"/>
  <c r="G505" i="10"/>
  <c r="E6" i="20"/>
  <c r="Z346" i="3" l="1"/>
  <c r="C587" i="13"/>
  <c r="M587" i="13" s="1"/>
  <c r="C625" i="13"/>
  <c r="G510" i="10"/>
  <c r="C524" i="13"/>
  <c r="M524" i="13" s="1"/>
  <c r="F65" i="14"/>
  <c r="AF65" i="14" s="1"/>
  <c r="E8" i="20"/>
  <c r="D843" i="13"/>
  <c r="F5" i="8"/>
  <c r="G135" i="2" l="1"/>
  <c r="G35" i="2"/>
  <c r="W587" i="13"/>
  <c r="M625" i="13"/>
  <c r="W625" i="13"/>
  <c r="C584" i="13"/>
  <c r="W584" i="13" s="1"/>
  <c r="C622" i="13"/>
  <c r="Q301" i="3"/>
  <c r="G15" i="2"/>
  <c r="G86" i="2"/>
  <c r="E62" i="13"/>
  <c r="E63" i="13" s="1"/>
  <c r="G52" i="2"/>
  <c r="Q68" i="3"/>
  <c r="F81" i="8"/>
  <c r="Q71" i="3"/>
  <c r="E3" i="18"/>
  <c r="C521" i="13"/>
  <c r="G26" i="5"/>
  <c r="J4" i="15" s="1"/>
  <c r="G9" i="2"/>
  <c r="E2" i="18"/>
  <c r="E9" i="18" s="1"/>
  <c r="Q6" i="3"/>
  <c r="F73" i="14"/>
  <c r="C803" i="13"/>
  <c r="D864" i="13"/>
  <c r="G516" i="10"/>
  <c r="G514" i="10"/>
  <c r="G515" i="10"/>
  <c r="G513" i="10"/>
  <c r="G519" i="10" s="1"/>
  <c r="G27" i="5" l="1"/>
  <c r="J5" i="15" s="1"/>
  <c r="C16" i="15"/>
  <c r="C598" i="13"/>
  <c r="W598" i="13" s="1"/>
  <c r="G36" i="2"/>
  <c r="H35" i="2"/>
  <c r="I35" i="2" s="1"/>
  <c r="J35" i="2" s="1"/>
  <c r="K35" i="2" s="1"/>
  <c r="L35" i="2" s="1"/>
  <c r="M35" i="2" s="1"/>
  <c r="N35" i="2" s="1"/>
  <c r="O35" i="2" s="1"/>
  <c r="M584" i="13"/>
  <c r="W622" i="13"/>
  <c r="M622" i="13"/>
  <c r="C636" i="13"/>
  <c r="C596" i="13"/>
  <c r="M596" i="13" s="1"/>
  <c r="C634" i="13"/>
  <c r="M634" i="13" s="1"/>
  <c r="Q39" i="3"/>
  <c r="G520" i="10"/>
  <c r="M521" i="13"/>
  <c r="C533" i="13"/>
  <c r="M533" i="13" s="1"/>
  <c r="G40" i="2"/>
  <c r="Q77" i="3"/>
  <c r="M803" i="13"/>
  <c r="L803" i="13"/>
  <c r="K803" i="13"/>
  <c r="Q72" i="3"/>
  <c r="Q59" i="3"/>
  <c r="F82" i="14"/>
  <c r="AF82" i="14" s="1"/>
  <c r="E4" i="18"/>
  <c r="G16" i="2"/>
  <c r="C17" i="15" s="1"/>
  <c r="E17" i="20"/>
  <c r="E18" i="20" s="1"/>
  <c r="F74" i="14"/>
  <c r="AF74" i="14" s="1"/>
  <c r="F76" i="14"/>
  <c r="AF73" i="14"/>
  <c r="Q33" i="3"/>
  <c r="Q81" i="3"/>
  <c r="Q69" i="3"/>
  <c r="C638" i="13" l="1"/>
  <c r="M638" i="13" s="1"/>
  <c r="G136" i="2"/>
  <c r="M598" i="13"/>
  <c r="W636" i="13"/>
  <c r="M636" i="13"/>
  <c r="G42" i="2"/>
  <c r="C600" i="13"/>
  <c r="G47" i="2"/>
  <c r="C20" i="15" s="1"/>
  <c r="E43" i="22"/>
  <c r="D868" i="13"/>
  <c r="Q302" i="3"/>
  <c r="Q78" i="3"/>
  <c r="F77" i="14"/>
  <c r="AF77" i="14" s="1"/>
  <c r="AF76" i="14"/>
  <c r="Q83" i="3"/>
  <c r="F84" i="14"/>
  <c r="AF84" i="14" s="1"/>
  <c r="G50" i="2" l="1"/>
  <c r="W638" i="13"/>
  <c r="C602" i="13"/>
  <c r="M602" i="13" s="1"/>
  <c r="C640" i="13"/>
  <c r="C535" i="13"/>
  <c r="M535" i="13" s="1"/>
  <c r="G44" i="2"/>
  <c r="E5" i="18" s="1"/>
  <c r="W600" i="13"/>
  <c r="M600" i="13"/>
  <c r="E24" i="20"/>
  <c r="F86" i="14"/>
  <c r="AF86" i="14" s="1"/>
  <c r="G56" i="2"/>
  <c r="Q89" i="3"/>
  <c r="Q92" i="3" s="1"/>
  <c r="H203" i="10"/>
  <c r="H207" i="10" s="1"/>
  <c r="I203" i="10"/>
  <c r="I207" i="10" s="1"/>
  <c r="I224" i="10" s="1"/>
  <c r="J203" i="10"/>
  <c r="J207" i="10" s="1"/>
  <c r="K203" i="10"/>
  <c r="K207" i="10" s="1"/>
  <c r="K224" i="10" s="1"/>
  <c r="L203" i="10"/>
  <c r="L207" i="10" s="1"/>
  <c r="L224" i="10" s="1"/>
  <c r="M203" i="10"/>
  <c r="M207" i="10" s="1"/>
  <c r="M224" i="10" s="1"/>
  <c r="N203" i="10"/>
  <c r="N207" i="10" s="1"/>
  <c r="N224" i="10" s="1"/>
  <c r="O203" i="10"/>
  <c r="O207" i="10" s="1"/>
  <c r="O224" i="10" s="1"/>
  <c r="H208" i="10"/>
  <c r="H225" i="10" s="1"/>
  <c r="I208" i="10"/>
  <c r="J208" i="10"/>
  <c r="K208" i="10"/>
  <c r="L208" i="10"/>
  <c r="M208" i="10"/>
  <c r="N208" i="10"/>
  <c r="O208" i="10"/>
  <c r="H227" i="10" l="1"/>
  <c r="H194" i="10" s="1"/>
  <c r="G28" i="8" s="1"/>
  <c r="V15" i="3" s="1"/>
  <c r="U15" i="3" s="1"/>
  <c r="H224" i="10"/>
  <c r="G59" i="2"/>
  <c r="C21" i="15"/>
  <c r="J6" i="15" s="1"/>
  <c r="E22" i="20"/>
  <c r="N492" i="10"/>
  <c r="N225" i="10"/>
  <c r="F450" i="13"/>
  <c r="F451" i="13" s="1"/>
  <c r="J224" i="10"/>
  <c r="M492" i="10"/>
  <c r="M225" i="10"/>
  <c r="O492" i="10"/>
  <c r="O225" i="10"/>
  <c r="L492" i="10"/>
  <c r="L225" i="10"/>
  <c r="K492" i="10"/>
  <c r="K225" i="10"/>
  <c r="J492" i="10"/>
  <c r="J225" i="10"/>
  <c r="I492" i="10"/>
  <c r="I225" i="10"/>
  <c r="W602" i="13"/>
  <c r="G36" i="5"/>
  <c r="C642" i="13"/>
  <c r="W640" i="13"/>
  <c r="M640" i="13"/>
  <c r="E26" i="20"/>
  <c r="G75" i="2"/>
  <c r="C22" i="15" s="1"/>
  <c r="F88" i="14"/>
  <c r="AF88" i="14" s="1"/>
  <c r="E6" i="18"/>
  <c r="Q97" i="3"/>
  <c r="C537" i="13"/>
  <c r="M537" i="13" s="1"/>
  <c r="G57" i="2"/>
  <c r="F89" i="14" s="1"/>
  <c r="G29" i="5"/>
  <c r="E3" i="22" s="1"/>
  <c r="G74" i="2"/>
  <c r="G85" i="2"/>
  <c r="G84" i="2" s="1"/>
  <c r="G190" i="2"/>
  <c r="G185" i="2" s="1"/>
  <c r="G31" i="5" s="1"/>
  <c r="E19" i="22" s="1"/>
  <c r="C604" i="13"/>
  <c r="K227" i="10"/>
  <c r="K194" i="10" s="1"/>
  <c r="J28" i="8" s="1"/>
  <c r="J63" i="14" s="1"/>
  <c r="AJ63" i="14" s="1"/>
  <c r="J227" i="10"/>
  <c r="J194" i="10" s="1"/>
  <c r="J195" i="10" s="1"/>
  <c r="J495" i="10" s="1"/>
  <c r="O491" i="10"/>
  <c r="O215" i="10"/>
  <c r="O216" i="10" s="1"/>
  <c r="O227" i="10"/>
  <c r="O194" i="10" s="1"/>
  <c r="N28" i="8" s="1"/>
  <c r="M215" i="10"/>
  <c r="M216" i="10" s="1"/>
  <c r="N491" i="10"/>
  <c r="N215" i="10"/>
  <c r="N216" i="10" s="1"/>
  <c r="N227" i="10"/>
  <c r="N194" i="10" s="1"/>
  <c r="M28" i="8" s="1"/>
  <c r="M26" i="8" s="1"/>
  <c r="L491" i="10"/>
  <c r="L227" i="10"/>
  <c r="L194" i="10" s="1"/>
  <c r="K28" i="8" s="1"/>
  <c r="K26" i="8" s="1"/>
  <c r="L6" i="2" s="1"/>
  <c r="L215" i="10"/>
  <c r="L216" i="10" s="1"/>
  <c r="J215" i="10"/>
  <c r="J216" i="10" s="1"/>
  <c r="K215" i="10"/>
  <c r="K216" i="10" s="1"/>
  <c r="I215" i="10"/>
  <c r="I216" i="10" s="1"/>
  <c r="I227" i="10"/>
  <c r="H215" i="10"/>
  <c r="H216" i="10" s="1"/>
  <c r="M227" i="10"/>
  <c r="M194" i="10" s="1"/>
  <c r="L28" i="8" s="1"/>
  <c r="L26" i="8" s="1"/>
  <c r="K450" i="13"/>
  <c r="K451" i="13" s="1"/>
  <c r="I450" i="13"/>
  <c r="I451" i="13" s="1"/>
  <c r="V309" i="3"/>
  <c r="U309" i="3" s="1"/>
  <c r="H492" i="10"/>
  <c r="D450" i="13"/>
  <c r="D451" i="13" s="1"/>
  <c r="E450" i="13"/>
  <c r="E451" i="13" s="1"/>
  <c r="J450" i="13"/>
  <c r="J451" i="13" s="1"/>
  <c r="H450" i="13"/>
  <c r="H451" i="13" s="1"/>
  <c r="G450" i="13"/>
  <c r="G451" i="13" s="1"/>
  <c r="G270" i="19"/>
  <c r="T107" i="19"/>
  <c r="I228" i="10" l="1"/>
  <c r="I194" i="10"/>
  <c r="I195" i="10" s="1"/>
  <c r="I495" i="10" s="1"/>
  <c r="K494" i="10"/>
  <c r="E27" i="20"/>
  <c r="W642" i="13"/>
  <c r="M642" i="13"/>
  <c r="M604" i="13"/>
  <c r="W604" i="13"/>
  <c r="G5" i="17"/>
  <c r="K491" i="10"/>
  <c r="O494" i="10"/>
  <c r="E12" i="18"/>
  <c r="E12" i="4"/>
  <c r="L494" i="10"/>
  <c r="N6" i="2"/>
  <c r="M65" i="14" s="1"/>
  <c r="AM65" i="14" s="1"/>
  <c r="I28" i="8"/>
  <c r="I26" i="8" s="1"/>
  <c r="H6" i="20" s="1"/>
  <c r="R6" i="20" s="1"/>
  <c r="M6" i="2"/>
  <c r="J494" i="10"/>
  <c r="L195" i="10"/>
  <c r="L495" i="10" s="1"/>
  <c r="K63" i="14"/>
  <c r="AK63" i="14" s="1"/>
  <c r="L228" i="10"/>
  <c r="M491" i="10"/>
  <c r="J228" i="10"/>
  <c r="K65" i="14"/>
  <c r="AK65" i="14" s="1"/>
  <c r="O195" i="10"/>
  <c r="O495" i="10" s="1"/>
  <c r="K73" i="8"/>
  <c r="K195" i="10"/>
  <c r="K495" i="10" s="1"/>
  <c r="M494" i="10"/>
  <c r="J26" i="8"/>
  <c r="I6" i="20" s="1"/>
  <c r="M195" i="10"/>
  <c r="M495" i="10" s="1"/>
  <c r="K228" i="10"/>
  <c r="O228" i="10"/>
  <c r="N228" i="10"/>
  <c r="N494" i="10"/>
  <c r="I491" i="10"/>
  <c r="M63" i="14"/>
  <c r="AM63" i="14" s="1"/>
  <c r="N195" i="10"/>
  <c r="N495" i="10" s="1"/>
  <c r="M228" i="10"/>
  <c r="H228" i="10"/>
  <c r="L63" i="14"/>
  <c r="AL63" i="14" s="1"/>
  <c r="J491" i="10"/>
  <c r="H491" i="10"/>
  <c r="V308" i="3"/>
  <c r="U308" i="3" s="1"/>
  <c r="N26" i="8"/>
  <c r="N63" i="14"/>
  <c r="AN63" i="14" s="1"/>
  <c r="S6" i="20" l="1"/>
  <c r="I63" i="14"/>
  <c r="AI63" i="14" s="1"/>
  <c r="I494" i="10"/>
  <c r="J6" i="2"/>
  <c r="F15" i="15" s="1"/>
  <c r="L65" i="14"/>
  <c r="AL65" i="14" s="1"/>
  <c r="H28" i="8"/>
  <c r="L88" i="2"/>
  <c r="K6" i="2"/>
  <c r="L10" i="2"/>
  <c r="L13" i="2" s="1"/>
  <c r="K64" i="8"/>
  <c r="L73" i="8"/>
  <c r="M10" i="2" s="1"/>
  <c r="M13" i="2" s="1"/>
  <c r="K80" i="14"/>
  <c r="AK80" i="14" s="1"/>
  <c r="H195" i="10"/>
  <c r="H495" i="10" s="1"/>
  <c r="H494" i="10"/>
  <c r="O6" i="2"/>
  <c r="M88" i="2"/>
  <c r="H26" i="8" l="1"/>
  <c r="I6" i="2" s="1"/>
  <c r="AA15" i="3"/>
  <c r="Z15" i="3" s="1"/>
  <c r="F587" i="13"/>
  <c r="Z587" i="13" s="1"/>
  <c r="F625" i="13"/>
  <c r="F524" i="13"/>
  <c r="P524" i="13" s="1"/>
  <c r="I65" i="14"/>
  <c r="AI65" i="14" s="1"/>
  <c r="N88" i="2"/>
  <c r="H63" i="14"/>
  <c r="AH63" i="14" s="1"/>
  <c r="J65" i="14"/>
  <c r="AJ65" i="14" s="1"/>
  <c r="L80" i="14"/>
  <c r="AL80" i="14" s="1"/>
  <c r="L64" i="8"/>
  <c r="M73" i="8"/>
  <c r="J88" i="2"/>
  <c r="G26" i="8"/>
  <c r="G63" i="14"/>
  <c r="AG63" i="14" s="1"/>
  <c r="N65" i="14"/>
  <c r="AN65" i="14" s="1"/>
  <c r="K88" i="2"/>
  <c r="AA14" i="3" l="1"/>
  <c r="AA301" i="3" s="1"/>
  <c r="E15" i="15"/>
  <c r="G6" i="20"/>
  <c r="Q6" i="20" s="1"/>
  <c r="Z14" i="3"/>
  <c r="P587" i="13"/>
  <c r="E587" i="13"/>
  <c r="Y587" i="13" s="1"/>
  <c r="E625" i="13"/>
  <c r="Z625" i="13"/>
  <c r="P625" i="13"/>
  <c r="E524" i="13"/>
  <c r="O524" i="13" s="1"/>
  <c r="H65" i="14"/>
  <c r="AH65" i="14" s="1"/>
  <c r="N73" i="8"/>
  <c r="M80" i="14"/>
  <c r="AM80" i="14" s="1"/>
  <c r="M64" i="8"/>
  <c r="N10" i="2"/>
  <c r="N13" i="2" s="1"/>
  <c r="H6" i="2"/>
  <c r="D15" i="15" s="1"/>
  <c r="G15" i="15" s="1"/>
  <c r="F6" i="20"/>
  <c r="P6" i="20" s="1"/>
  <c r="I88" i="2"/>
  <c r="O88" i="2"/>
  <c r="O587" i="13" l="1"/>
  <c r="Z301" i="3"/>
  <c r="Z302" i="3" s="1"/>
  <c r="Z55" i="3"/>
  <c r="D625" i="13"/>
  <c r="N625" i="13" s="1"/>
  <c r="V14" i="3"/>
  <c r="U14" i="3" s="1"/>
  <c r="AP14" i="3" s="1"/>
  <c r="O625" i="13"/>
  <c r="Y625" i="13"/>
  <c r="D587" i="13"/>
  <c r="N587" i="13" s="1"/>
  <c r="O10" i="2"/>
  <c r="O13" i="2" s="1"/>
  <c r="N80" i="14"/>
  <c r="AN80" i="14" s="1"/>
  <c r="N64" i="8"/>
  <c r="D524" i="13"/>
  <c r="N524" i="13" s="1"/>
  <c r="G65" i="14"/>
  <c r="AG65" i="14" s="1"/>
  <c r="Z311" i="3" l="1"/>
  <c r="Z303" i="3"/>
  <c r="X625" i="13"/>
  <c r="X587" i="13"/>
  <c r="V301" i="3"/>
  <c r="H88" i="2" l="1"/>
  <c r="V93" i="3"/>
  <c r="U93" i="3" s="1"/>
  <c r="F22" i="8" l="1"/>
  <c r="G20" i="8" l="1"/>
  <c r="G19" i="8" s="1"/>
  <c r="H20" i="8" l="1"/>
  <c r="H19" i="8" s="1"/>
  <c r="I20" i="8" l="1"/>
  <c r="I19" i="8" s="1"/>
  <c r="J20" i="8" l="1"/>
  <c r="J19" i="8" s="1"/>
  <c r="K20" i="8" l="1"/>
  <c r="K19" i="8" s="1"/>
  <c r="L20" i="8" l="1"/>
  <c r="L19" i="8" s="1"/>
  <c r="M20" i="8" l="1"/>
  <c r="M19" i="8" s="1"/>
  <c r="N20" i="8"/>
  <c r="N19" i="8" s="1"/>
  <c r="G143" i="2" l="1"/>
  <c r="G142" i="2" s="1"/>
  <c r="F27" i="10"/>
  <c r="E9" i="14" s="1"/>
  <c r="F134" i="10"/>
  <c r="G134" i="10"/>
  <c r="F139" i="10"/>
  <c r="G139" i="10"/>
  <c r="E31" i="14"/>
  <c r="E7" i="14" s="1"/>
  <c r="F31" i="14"/>
  <c r="F7" i="14" s="1"/>
  <c r="F14" i="14" s="1"/>
  <c r="E32" i="14" l="1"/>
  <c r="AF31" i="14"/>
  <c r="E10" i="14"/>
  <c r="E13" i="14"/>
  <c r="E15" i="14"/>
  <c r="E16" i="14"/>
  <c r="F44" i="14"/>
  <c r="E14" i="14"/>
  <c r="E44" i="14"/>
  <c r="E46" i="14" s="1"/>
  <c r="F32" i="14"/>
  <c r="AF32" i="14" s="1"/>
  <c r="G281" i="10"/>
  <c r="F281" i="10"/>
  <c r="H145" i="10"/>
  <c r="AF44" i="14" l="1"/>
  <c r="F46" i="14"/>
  <c r="AF46" i="14" s="1"/>
  <c r="F289" i="10"/>
  <c r="C293" i="10" s="1"/>
  <c r="F285" i="10"/>
  <c r="C292" i="10" s="1"/>
  <c r="G289" i="10"/>
  <c r="D293" i="10" s="1"/>
  <c r="G285" i="10"/>
  <c r="D292" i="10" s="1"/>
  <c r="K35" i="10"/>
  <c r="L35" i="10"/>
  <c r="K170" i="10"/>
  <c r="L170" i="10"/>
  <c r="L173" i="10"/>
  <c r="L37" i="10" s="1"/>
  <c r="L45" i="10" s="1"/>
  <c r="H176" i="10"/>
  <c r="I176" i="10"/>
  <c r="J176" i="10"/>
  <c r="K173" i="10" s="1"/>
  <c r="K176" i="10"/>
  <c r="L176" i="10"/>
  <c r="M176" i="10"/>
  <c r="N176" i="10"/>
  <c r="O176" i="10"/>
  <c r="K45" i="14"/>
  <c r="AK45" i="14" s="1"/>
  <c r="J51" i="14"/>
  <c r="AJ51" i="14" s="1"/>
  <c r="K51" i="14"/>
  <c r="AK51" i="14" s="1"/>
  <c r="K52" i="14" l="1"/>
  <c r="AK52" i="14" s="1"/>
  <c r="K43" i="10"/>
  <c r="L54" i="10"/>
  <c r="L43" i="10"/>
  <c r="L33" i="10"/>
  <c r="K46" i="14"/>
  <c r="AK46" i="14" s="1"/>
  <c r="K155" i="2"/>
  <c r="K172" i="10"/>
  <c r="K141" i="10"/>
  <c r="L36" i="10"/>
  <c r="L172" i="10"/>
  <c r="L141" i="10"/>
  <c r="L175" i="10"/>
  <c r="L144" i="10"/>
  <c r="L155" i="2"/>
  <c r="L99" i="2" s="1"/>
  <c r="J52" i="14"/>
  <c r="AJ52" i="14" s="1"/>
  <c r="G51" i="14"/>
  <c r="H170" i="10"/>
  <c r="H173" i="10"/>
  <c r="J45" i="14"/>
  <c r="K37" i="10"/>
  <c r="K45" i="10" s="1"/>
  <c r="L46" i="10" s="1"/>
  <c r="O35" i="10"/>
  <c r="O170" i="10"/>
  <c r="O173" i="10"/>
  <c r="N51" i="14"/>
  <c r="L154" i="2"/>
  <c r="N35" i="10"/>
  <c r="N170" i="10"/>
  <c r="N173" i="10"/>
  <c r="M51" i="14"/>
  <c r="M35" i="10"/>
  <c r="M170" i="10"/>
  <c r="M173" i="10"/>
  <c r="L51" i="14"/>
  <c r="L499" i="10"/>
  <c r="K499" i="10"/>
  <c r="I35" i="10"/>
  <c r="I43" i="10" s="1"/>
  <c r="I170" i="10"/>
  <c r="I173" i="10"/>
  <c r="H51" i="14"/>
  <c r="J35" i="10"/>
  <c r="J170" i="10"/>
  <c r="J173" i="10"/>
  <c r="I51" i="14"/>
  <c r="K140" i="14" l="1"/>
  <c r="I32" i="20"/>
  <c r="I52" i="10"/>
  <c r="AA204" i="3"/>
  <c r="L152" i="2"/>
  <c r="K98" i="14"/>
  <c r="N43" i="10"/>
  <c r="L44" i="10"/>
  <c r="L41" i="10"/>
  <c r="L52" i="10"/>
  <c r="J43" i="10"/>
  <c r="M43" i="10"/>
  <c r="L11" i="8" s="1"/>
  <c r="K33" i="10"/>
  <c r="K7" i="17" s="1"/>
  <c r="O43" i="10"/>
  <c r="K52" i="10"/>
  <c r="K41" i="10"/>
  <c r="K11" i="8"/>
  <c r="L500" i="10" s="1"/>
  <c r="K54" i="10"/>
  <c r="K8" i="8"/>
  <c r="K36" i="10"/>
  <c r="J172" i="10"/>
  <c r="J141" i="10"/>
  <c r="N172" i="10"/>
  <c r="N141" i="10"/>
  <c r="H172" i="10"/>
  <c r="H141" i="10"/>
  <c r="M172" i="10"/>
  <c r="M141" i="10"/>
  <c r="I172" i="10"/>
  <c r="I141" i="10"/>
  <c r="K175" i="10"/>
  <c r="K144" i="10"/>
  <c r="O172" i="10"/>
  <c r="O141" i="10"/>
  <c r="L140" i="14"/>
  <c r="L98" i="14"/>
  <c r="N36" i="10"/>
  <c r="N155" i="2"/>
  <c r="N499" i="10"/>
  <c r="AL51" i="14"/>
  <c r="L52" i="14"/>
  <c r="AL52" i="14" s="1"/>
  <c r="M37" i="10"/>
  <c r="L45" i="14"/>
  <c r="AI51" i="14"/>
  <c r="I52" i="14"/>
  <c r="AI52" i="14" s="1"/>
  <c r="I499" i="10"/>
  <c r="I36" i="10"/>
  <c r="I155" i="2"/>
  <c r="L138" i="14"/>
  <c r="L136" i="14"/>
  <c r="AJ45" i="14"/>
  <c r="J46" i="14"/>
  <c r="AJ46" i="14" s="1"/>
  <c r="AH51" i="14"/>
  <c r="H52" i="14"/>
  <c r="AH52" i="14" s="1"/>
  <c r="O155" i="2"/>
  <c r="O36" i="10"/>
  <c r="O499" i="10"/>
  <c r="J37" i="10"/>
  <c r="J45" i="10" s="1"/>
  <c r="K46" i="10" s="1"/>
  <c r="I45" i="14"/>
  <c r="L38" i="10"/>
  <c r="AM51" i="14"/>
  <c r="M52" i="14"/>
  <c r="AM52" i="14" s="1"/>
  <c r="I37" i="10"/>
  <c r="I45" i="10" s="1"/>
  <c r="H45" i="14"/>
  <c r="K154" i="2"/>
  <c r="G45" i="14"/>
  <c r="J499" i="10"/>
  <c r="J36" i="10"/>
  <c r="J155" i="2"/>
  <c r="N37" i="10"/>
  <c r="N45" i="10" s="1"/>
  <c r="M45" i="14"/>
  <c r="N52" i="14"/>
  <c r="AN52" i="14" s="1"/>
  <c r="AN51" i="14"/>
  <c r="H499" i="10"/>
  <c r="H36" i="10"/>
  <c r="M36" i="10"/>
  <c r="M155" i="2"/>
  <c r="M499" i="10"/>
  <c r="O37" i="10"/>
  <c r="O45" i="10" s="1"/>
  <c r="N45" i="14"/>
  <c r="AG51" i="14"/>
  <c r="G52" i="14"/>
  <c r="AG52" i="14" s="1"/>
  <c r="K152" i="2" l="1"/>
  <c r="I31" i="20"/>
  <c r="I34" i="20" s="1"/>
  <c r="AA203" i="3"/>
  <c r="Z203" i="3" s="1"/>
  <c r="Z237" i="3" s="1"/>
  <c r="H8" i="8"/>
  <c r="M15" i="15"/>
  <c r="N15" i="15" s="1"/>
  <c r="H32" i="20"/>
  <c r="J949" i="13"/>
  <c r="N949" i="13"/>
  <c r="Z192" i="3"/>
  <c r="Z226" i="3" s="1"/>
  <c r="L15" i="15"/>
  <c r="G11" i="8"/>
  <c r="Z204" i="3"/>
  <c r="K7" i="8"/>
  <c r="K4" i="8" s="1"/>
  <c r="L34" i="10"/>
  <c r="L50" i="10"/>
  <c r="L51" i="10" s="1"/>
  <c r="K50" i="10"/>
  <c r="K51" i="10" s="1"/>
  <c r="K59" i="14"/>
  <c r="AK59" i="14" s="1"/>
  <c r="J33" i="10"/>
  <c r="K34" i="10" s="1"/>
  <c r="L287" i="10"/>
  <c r="O33" i="10"/>
  <c r="L42" i="10"/>
  <c r="O44" i="10"/>
  <c r="O41" i="10"/>
  <c r="O52" i="10"/>
  <c r="J52" i="10"/>
  <c r="J41" i="10"/>
  <c r="J11" i="8"/>
  <c r="J44" i="10"/>
  <c r="I33" i="10"/>
  <c r="I7" i="17" s="1"/>
  <c r="N54" i="10"/>
  <c r="N8" i="8"/>
  <c r="O46" i="10"/>
  <c r="O54" i="10"/>
  <c r="I44" i="10"/>
  <c r="I11" i="8"/>
  <c r="I41" i="10"/>
  <c r="M44" i="10"/>
  <c r="M52" i="10"/>
  <c r="M11" i="8"/>
  <c r="M45" i="10"/>
  <c r="I46" i="10"/>
  <c r="I54" i="10"/>
  <c r="I8" i="8"/>
  <c r="M33" i="10"/>
  <c r="M34" i="10" s="1"/>
  <c r="H54" i="10"/>
  <c r="G8" i="8"/>
  <c r="H46" i="10"/>
  <c r="K44" i="10"/>
  <c r="H52" i="10"/>
  <c r="H41" i="10"/>
  <c r="H42" i="10" s="1"/>
  <c r="H11" i="8"/>
  <c r="AA9" i="3" s="1"/>
  <c r="H44" i="10"/>
  <c r="N44" i="10"/>
  <c r="N41" i="10"/>
  <c r="N52" i="10"/>
  <c r="N11" i="8"/>
  <c r="J54" i="10"/>
  <c r="J46" i="10"/>
  <c r="J8" i="8"/>
  <c r="H33" i="10"/>
  <c r="N33" i="10"/>
  <c r="N175" i="10"/>
  <c r="N144" i="10"/>
  <c r="I175" i="10"/>
  <c r="I144" i="10"/>
  <c r="O175" i="10"/>
  <c r="O144" i="10"/>
  <c r="H144" i="10"/>
  <c r="H175" i="10"/>
  <c r="J175" i="10"/>
  <c r="J144" i="10"/>
  <c r="M175" i="10"/>
  <c r="M144" i="10"/>
  <c r="L135" i="14"/>
  <c r="K136" i="14"/>
  <c r="K138" i="14"/>
  <c r="O38" i="10"/>
  <c r="O154" i="2"/>
  <c r="O152" i="2" s="1"/>
  <c r="N38" i="10"/>
  <c r="N154" i="2"/>
  <c r="N152" i="2" s="1"/>
  <c r="K38" i="10"/>
  <c r="K80" i="8"/>
  <c r="D648" i="13"/>
  <c r="D543" i="13"/>
  <c r="N543" i="13" s="1"/>
  <c r="F32" i="20"/>
  <c r="H99" i="2"/>
  <c r="H98" i="14"/>
  <c r="H140" i="14"/>
  <c r="D610" i="13"/>
  <c r="E726" i="13"/>
  <c r="F610" i="13"/>
  <c r="F648" i="13"/>
  <c r="F543" i="13"/>
  <c r="P543" i="13" s="1"/>
  <c r="J98" i="14"/>
  <c r="J140" i="14"/>
  <c r="J99" i="2"/>
  <c r="E33" i="16"/>
  <c r="K99" i="2"/>
  <c r="AH45" i="14"/>
  <c r="H46" i="14"/>
  <c r="AH46" i="14" s="1"/>
  <c r="N99" i="2"/>
  <c r="N98" i="14"/>
  <c r="N140" i="14"/>
  <c r="AM45" i="14"/>
  <c r="M46" i="14"/>
  <c r="AM46" i="14" s="1"/>
  <c r="L98" i="2"/>
  <c r="AL45" i="14"/>
  <c r="L46" i="14"/>
  <c r="AL46" i="14" s="1"/>
  <c r="I38" i="10"/>
  <c r="I154" i="2"/>
  <c r="AA176" i="3" s="1"/>
  <c r="H38" i="10"/>
  <c r="F31" i="20"/>
  <c r="M38" i="10"/>
  <c r="M154" i="2"/>
  <c r="M152" i="2" s="1"/>
  <c r="N46" i="14"/>
  <c r="AN46" i="14" s="1"/>
  <c r="AN45" i="14"/>
  <c r="J38" i="10"/>
  <c r="J154" i="2"/>
  <c r="O99" i="2"/>
  <c r="O140" i="14"/>
  <c r="O98" i="14"/>
  <c r="M99" i="2"/>
  <c r="M98" i="14"/>
  <c r="M140" i="14"/>
  <c r="AG45" i="14"/>
  <c r="G46" i="14"/>
  <c r="AG46" i="14" s="1"/>
  <c r="AI45" i="14"/>
  <c r="I46" i="14"/>
  <c r="AI46" i="14" s="1"/>
  <c r="E610" i="13"/>
  <c r="F726" i="13"/>
  <c r="E648" i="13"/>
  <c r="G32" i="20"/>
  <c r="E543" i="13"/>
  <c r="O543" i="13" s="1"/>
  <c r="I98" i="14"/>
  <c r="I140" i="14"/>
  <c r="I99" i="2"/>
  <c r="AA206" i="3" l="1"/>
  <c r="AA41" i="3" s="1"/>
  <c r="S34" i="20"/>
  <c r="I39" i="20"/>
  <c r="M14" i="15"/>
  <c r="H31" i="20"/>
  <c r="H34" i="20" s="1"/>
  <c r="R34" i="20" s="1"/>
  <c r="Z210" i="3"/>
  <c r="Z217" i="3" s="1"/>
  <c r="V9" i="3"/>
  <c r="U9" i="3" s="1"/>
  <c r="H50" i="10"/>
  <c r="H51" i="10" s="1"/>
  <c r="I152" i="2"/>
  <c r="L14" i="15"/>
  <c r="N950" i="13"/>
  <c r="Z238" i="3"/>
  <c r="Z240" i="3" s="1"/>
  <c r="Z206" i="3"/>
  <c r="N50" i="10"/>
  <c r="N51" i="10" s="1"/>
  <c r="J7" i="8"/>
  <c r="I7" i="8"/>
  <c r="I50" i="10"/>
  <c r="I51" i="10" s="1"/>
  <c r="J80" i="8"/>
  <c r="J152" i="2"/>
  <c r="O50" i="10"/>
  <c r="O51" i="10" s="1"/>
  <c r="AA8" i="3"/>
  <c r="H7" i="8"/>
  <c r="H4" i="8" s="1"/>
  <c r="N7" i="8"/>
  <c r="N4" i="8" s="1"/>
  <c r="V176" i="3"/>
  <c r="H152" i="2"/>
  <c r="G7" i="8"/>
  <c r="G4" i="8" s="1"/>
  <c r="J50" i="10"/>
  <c r="J51" i="10" s="1"/>
  <c r="I34" i="10"/>
  <c r="J7" i="17"/>
  <c r="J34" i="10"/>
  <c r="N34" i="10"/>
  <c r="J42" i="10"/>
  <c r="M46" i="10"/>
  <c r="M54" i="10"/>
  <c r="M50" i="10" s="1"/>
  <c r="M8" i="8"/>
  <c r="M7" i="8" s="1"/>
  <c r="M4" i="8" s="1"/>
  <c r="L8" i="8"/>
  <c r="L7" i="8" s="1"/>
  <c r="L4" i="8" s="1"/>
  <c r="K42" i="10"/>
  <c r="M41" i="10"/>
  <c r="M42" i="10" s="1"/>
  <c r="Z191" i="3"/>
  <c r="Z209" i="3" s="1"/>
  <c r="Z216" i="3" s="1"/>
  <c r="O42" i="10"/>
  <c r="I42" i="10"/>
  <c r="N46" i="10"/>
  <c r="H34" i="10"/>
  <c r="H7" i="17"/>
  <c r="K135" i="14"/>
  <c r="O34" i="10"/>
  <c r="K98" i="2"/>
  <c r="Y610" i="13"/>
  <c r="O610" i="13"/>
  <c r="M59" i="14"/>
  <c r="AM59" i="14" s="1"/>
  <c r="N287" i="10"/>
  <c r="N500" i="10"/>
  <c r="L80" i="8"/>
  <c r="M98" i="2"/>
  <c r="M136" i="14"/>
  <c r="M138" i="14"/>
  <c r="X610" i="13"/>
  <c r="N610" i="13"/>
  <c r="N648" i="13"/>
  <c r="X648" i="13"/>
  <c r="E646" i="13"/>
  <c r="G31" i="20"/>
  <c r="G34" i="20" s="1"/>
  <c r="Q34" i="20" s="1"/>
  <c r="E541" i="13"/>
  <c r="H80" i="8"/>
  <c r="F727" i="13"/>
  <c r="I136" i="14"/>
  <c r="I138" i="14"/>
  <c r="N14" i="15"/>
  <c r="F725" i="13"/>
  <c r="E608" i="13"/>
  <c r="I98" i="2"/>
  <c r="P610" i="13"/>
  <c r="Z610" i="13"/>
  <c r="I500" i="10"/>
  <c r="H59" i="14"/>
  <c r="AH59" i="14" s="1"/>
  <c r="I287" i="10"/>
  <c r="I289" i="10" s="1"/>
  <c r="F293" i="10" s="1"/>
  <c r="O98" i="2"/>
  <c r="N80" i="8"/>
  <c r="O136" i="14"/>
  <c r="O138" i="14"/>
  <c r="K287" i="10"/>
  <c r="K500" i="10"/>
  <c r="J59" i="14"/>
  <c r="AJ59" i="14" s="1"/>
  <c r="L283" i="10"/>
  <c r="L472" i="10"/>
  <c r="L197" i="10"/>
  <c r="L198" i="10" s="1"/>
  <c r="K58" i="14"/>
  <c r="AK58" i="14" s="1"/>
  <c r="F34" i="20"/>
  <c r="P34" i="20" s="1"/>
  <c r="E727" i="13"/>
  <c r="E725" i="13"/>
  <c r="H98" i="2"/>
  <c r="D646" i="13"/>
  <c r="H138" i="14"/>
  <c r="H159" i="14"/>
  <c r="G80" i="8"/>
  <c r="H136" i="14"/>
  <c r="D541" i="13"/>
  <c r="V8" i="3"/>
  <c r="U8" i="3" s="1"/>
  <c r="U21" i="3" s="1"/>
  <c r="D608" i="13"/>
  <c r="O287" i="10"/>
  <c r="N59" i="14"/>
  <c r="AN59" i="14" s="1"/>
  <c r="O500" i="10"/>
  <c r="U198" i="3"/>
  <c r="L59" i="14"/>
  <c r="AL59" i="14" s="1"/>
  <c r="M500" i="10"/>
  <c r="M287" i="10"/>
  <c r="F608" i="13"/>
  <c r="F646" i="13"/>
  <c r="F541" i="13"/>
  <c r="I80" i="8"/>
  <c r="J136" i="14"/>
  <c r="J138" i="14"/>
  <c r="E32" i="16"/>
  <c r="E31" i="16" s="1"/>
  <c r="J98" i="2"/>
  <c r="G59" i="14"/>
  <c r="AG59" i="14" s="1"/>
  <c r="H500" i="10"/>
  <c r="H287" i="10"/>
  <c r="H289" i="10" s="1"/>
  <c r="E293" i="10" s="1"/>
  <c r="J287" i="10"/>
  <c r="J289" i="10" s="1"/>
  <c r="G293" i="10" s="1"/>
  <c r="J500" i="10"/>
  <c r="D255" i="13"/>
  <c r="D261" i="13" s="1"/>
  <c r="I59" i="14"/>
  <c r="AI59" i="14" s="1"/>
  <c r="O648" i="13"/>
  <c r="Y648" i="13"/>
  <c r="Z648" i="13"/>
  <c r="P648" i="13"/>
  <c r="M80" i="8"/>
  <c r="N98" i="2"/>
  <c r="N138" i="14"/>
  <c r="N136" i="14"/>
  <c r="J4" i="8" l="1"/>
  <c r="I5" i="20"/>
  <c r="H39" i="20"/>
  <c r="I40" i="20"/>
  <c r="I35" i="20"/>
  <c r="I4" i="8"/>
  <c r="H5" i="20"/>
  <c r="H40" i="20" s="1"/>
  <c r="H35" i="20"/>
  <c r="AA177" i="3"/>
  <c r="W226" i="3"/>
  <c r="W192" i="3" s="1"/>
  <c r="U235" i="3"/>
  <c r="J950" i="13"/>
  <c r="U22" i="3"/>
  <c r="Z225" i="3"/>
  <c r="Z228" i="3" s="1"/>
  <c r="Z194" i="3"/>
  <c r="M51" i="10"/>
  <c r="N42" i="10"/>
  <c r="Z176" i="3"/>
  <c r="Z185" i="3" s="1"/>
  <c r="H135" i="14"/>
  <c r="I135" i="14"/>
  <c r="J135" i="14"/>
  <c r="O135" i="14"/>
  <c r="X646" i="13"/>
  <c r="N646" i="13"/>
  <c r="D644" i="13"/>
  <c r="U228" i="3"/>
  <c r="U229" i="3" s="1"/>
  <c r="U197" i="3"/>
  <c r="P169" i="19"/>
  <c r="V191" i="19" s="1"/>
  <c r="U232" i="3"/>
  <c r="U234" i="3" s="1"/>
  <c r="P208" i="19"/>
  <c r="K192" i="19"/>
  <c r="K202" i="19" s="1"/>
  <c r="D539" i="13"/>
  <c r="N539" i="13" s="1"/>
  <c r="N541" i="13"/>
  <c r="L5" i="2"/>
  <c r="L4" i="2" s="1"/>
  <c r="K61" i="14"/>
  <c r="L505" i="10"/>
  <c r="Y608" i="13"/>
  <c r="O608" i="13"/>
  <c r="E606" i="13"/>
  <c r="N135" i="14"/>
  <c r="P541" i="13"/>
  <c r="F539" i="13"/>
  <c r="P539" i="13" s="1"/>
  <c r="E539" i="13"/>
  <c r="O539" i="13" s="1"/>
  <c r="O541" i="13"/>
  <c r="M197" i="10"/>
  <c r="M198" i="10" s="1"/>
  <c r="M283" i="10"/>
  <c r="L58" i="14"/>
  <c r="AL58" i="14" s="1"/>
  <c r="M472" i="10"/>
  <c r="I472" i="10"/>
  <c r="I197" i="10"/>
  <c r="I198" i="10" s="1"/>
  <c r="I283" i="10"/>
  <c r="I285" i="10" s="1"/>
  <c r="F292" i="10" s="1"/>
  <c r="H58" i="14"/>
  <c r="AH58" i="14" s="1"/>
  <c r="K472" i="10"/>
  <c r="K197" i="10"/>
  <c r="K198" i="10" s="1"/>
  <c r="K283" i="10"/>
  <c r="J58" i="14"/>
  <c r="AJ58" i="14" s="1"/>
  <c r="Z608" i="13"/>
  <c r="F606" i="13"/>
  <c r="P608" i="13"/>
  <c r="E644" i="13"/>
  <c r="O646" i="13"/>
  <c r="Y646" i="13"/>
  <c r="M135" i="14"/>
  <c r="J472" i="10"/>
  <c r="J197" i="10"/>
  <c r="J198" i="10" s="1"/>
  <c r="J283" i="10"/>
  <c r="J285" i="10" s="1"/>
  <c r="G292" i="10" s="1"/>
  <c r="I58" i="14"/>
  <c r="AI58" i="14" s="1"/>
  <c r="D254" i="13"/>
  <c r="D260" i="13" s="1"/>
  <c r="F644" i="13"/>
  <c r="P646" i="13"/>
  <c r="Z646" i="13"/>
  <c r="F31" i="16"/>
  <c r="E38" i="16"/>
  <c r="V177" i="3"/>
  <c r="U176" i="3"/>
  <c r="U185" i="3" s="1"/>
  <c r="I159" i="14"/>
  <c r="H161" i="14"/>
  <c r="H162" i="14" s="1"/>
  <c r="H144" i="14"/>
  <c r="H197" i="10"/>
  <c r="H198" i="10" s="1"/>
  <c r="H283" i="10"/>
  <c r="H285" i="10" s="1"/>
  <c r="E292" i="10" s="1"/>
  <c r="G58" i="14"/>
  <c r="AG58" i="14" s="1"/>
  <c r="H472" i="10"/>
  <c r="N58" i="14"/>
  <c r="AN58" i="14" s="1"/>
  <c r="O472" i="10"/>
  <c r="O197" i="10"/>
  <c r="O198" i="10" s="1"/>
  <c r="O283" i="10"/>
  <c r="N608" i="13"/>
  <c r="X608" i="13"/>
  <c r="D606" i="13"/>
  <c r="N197" i="10"/>
  <c r="N198" i="10" s="1"/>
  <c r="N283" i="10"/>
  <c r="M58" i="14"/>
  <c r="AM58" i="14" s="1"/>
  <c r="N472" i="10"/>
  <c r="S5" i="20" l="1"/>
  <c r="I8" i="20"/>
  <c r="S8" i="20" s="1"/>
  <c r="H8" i="20"/>
  <c r="R8" i="20" s="1"/>
  <c r="R5" i="20"/>
  <c r="X226" i="3"/>
  <c r="Y226" i="3" s="1"/>
  <c r="Z232" i="3" s="1"/>
  <c r="Z212" i="3"/>
  <c r="Z219" i="3" s="1"/>
  <c r="W198" i="3"/>
  <c r="W204" i="3"/>
  <c r="K950" i="13" s="1"/>
  <c r="W225" i="3"/>
  <c r="W228" i="3" s="1"/>
  <c r="J505" i="10"/>
  <c r="J5" i="2"/>
  <c r="I61" i="14"/>
  <c r="I843" i="13"/>
  <c r="M5" i="2"/>
  <c r="M4" i="2" s="1"/>
  <c r="M505" i="10"/>
  <c r="L61" i="14"/>
  <c r="G35" i="20"/>
  <c r="G39" i="20"/>
  <c r="I505" i="10"/>
  <c r="I5" i="2"/>
  <c r="E14" i="15" s="1"/>
  <c r="H61" i="14"/>
  <c r="G5" i="20"/>
  <c r="Q5" i="20" s="1"/>
  <c r="P168" i="19"/>
  <c r="V190" i="19" s="1"/>
  <c r="K191" i="19"/>
  <c r="K201" i="19" s="1"/>
  <c r="P207" i="19"/>
  <c r="N5" i="2"/>
  <c r="N4" i="2" s="1"/>
  <c r="N505" i="10"/>
  <c r="M61" i="14"/>
  <c r="L18" i="2"/>
  <c r="L19" i="2" s="1"/>
  <c r="J35" i="22" s="1"/>
  <c r="F35" i="20"/>
  <c r="F39" i="20"/>
  <c r="W40" i="20"/>
  <c r="H145" i="14"/>
  <c r="H148" i="14" s="1"/>
  <c r="H150" i="14"/>
  <c r="H153" i="14" s="1"/>
  <c r="O606" i="13"/>
  <c r="Y606" i="13"/>
  <c r="N644" i="13"/>
  <c r="X644" i="13"/>
  <c r="U194" i="3"/>
  <c r="L510" i="10"/>
  <c r="L513" i="10" s="1"/>
  <c r="L519" i="10" s="1"/>
  <c r="Y644" i="13"/>
  <c r="O644" i="13"/>
  <c r="AK61" i="14"/>
  <c r="K60" i="14"/>
  <c r="AK60" i="14" s="1"/>
  <c r="O5" i="2"/>
  <c r="O4" i="2" s="1"/>
  <c r="O505" i="10"/>
  <c r="N61" i="14"/>
  <c r="H165" i="14"/>
  <c r="H168" i="14" s="1"/>
  <c r="K5" i="2"/>
  <c r="K4" i="2" s="1"/>
  <c r="K5" i="8"/>
  <c r="J61" i="14"/>
  <c r="K505" i="10"/>
  <c r="N606" i="13"/>
  <c r="X606" i="13"/>
  <c r="Z606" i="13"/>
  <c r="P606" i="13"/>
  <c r="H5" i="2"/>
  <c r="D14" i="15" s="1"/>
  <c r="H505" i="10"/>
  <c r="F5" i="20"/>
  <c r="P5" i="20" s="1"/>
  <c r="G61" i="14"/>
  <c r="I144" i="14"/>
  <c r="I161" i="14"/>
  <c r="I162" i="14" s="1"/>
  <c r="J159" i="14"/>
  <c r="P644" i="13"/>
  <c r="Z644" i="13"/>
  <c r="X192" i="3" l="1"/>
  <c r="U212" i="3"/>
  <c r="U219" i="3" s="1"/>
  <c r="J4" i="2"/>
  <c r="F13" i="15" s="1"/>
  <c r="F14" i="15"/>
  <c r="W210" i="3"/>
  <c r="W9" i="3"/>
  <c r="W238" i="3"/>
  <c r="X198" i="3"/>
  <c r="X204" i="3"/>
  <c r="L950" i="13" s="1"/>
  <c r="H4" i="2"/>
  <c r="D13" i="15" s="1"/>
  <c r="V7" i="3"/>
  <c r="V11" i="3" s="1"/>
  <c r="U11" i="3" s="1"/>
  <c r="I4" i="2"/>
  <c r="AA7" i="3"/>
  <c r="Y192" i="3"/>
  <c r="Y204" i="3" s="1"/>
  <c r="M950" i="13" s="1"/>
  <c r="X225" i="3"/>
  <c r="X228" i="3" s="1"/>
  <c r="W191" i="3"/>
  <c r="H155" i="14"/>
  <c r="H96" i="14" s="1"/>
  <c r="H171" i="14"/>
  <c r="H174" i="14" s="1"/>
  <c r="H176" i="14" s="1"/>
  <c r="H97" i="14" s="1"/>
  <c r="N18" i="2"/>
  <c r="N19" i="2" s="1"/>
  <c r="E624" i="13"/>
  <c r="I18" i="2"/>
  <c r="E586" i="13"/>
  <c r="G14" i="15"/>
  <c r="E523" i="13"/>
  <c r="O523" i="13" s="1"/>
  <c r="M18" i="2"/>
  <c r="M19" i="2" s="1"/>
  <c r="D523" i="13"/>
  <c r="N523" i="13" s="1"/>
  <c r="D586" i="13"/>
  <c r="H18" i="2"/>
  <c r="D624" i="13"/>
  <c r="K18" i="2"/>
  <c r="I510" i="10"/>
  <c r="I513" i="10" s="1"/>
  <c r="I519" i="10" s="1"/>
  <c r="O18" i="2"/>
  <c r="O19" i="2" s="1"/>
  <c r="J843" i="13"/>
  <c r="L5" i="8"/>
  <c r="H843" i="13"/>
  <c r="J5" i="8"/>
  <c r="J144" i="14"/>
  <c r="J161" i="14"/>
  <c r="J162" i="14" s="1"/>
  <c r="K159" i="14"/>
  <c r="J2" i="18"/>
  <c r="J9" i="18" s="1"/>
  <c r="J3" i="18"/>
  <c r="L134" i="2"/>
  <c r="L26" i="5"/>
  <c r="L22" i="2"/>
  <c r="J62" i="13"/>
  <c r="L15" i="2"/>
  <c r="L34" i="2"/>
  <c r="K81" i="8"/>
  <c r="K73" i="14"/>
  <c r="L9" i="2"/>
  <c r="L26" i="2"/>
  <c r="L31" i="2" s="1"/>
  <c r="L32" i="2" s="1"/>
  <c r="I864" i="13"/>
  <c r="I60" i="14"/>
  <c r="AI60" i="14" s="1"/>
  <c r="AI61" i="14"/>
  <c r="AJ61" i="14"/>
  <c r="J60" i="14"/>
  <c r="AJ60" i="14" s="1"/>
  <c r="K843" i="13"/>
  <c r="M5" i="8"/>
  <c r="I165" i="14"/>
  <c r="I168" i="14" s="1"/>
  <c r="G843" i="13"/>
  <c r="I5" i="8"/>
  <c r="H510" i="10"/>
  <c r="F843" i="13"/>
  <c r="H5" i="8"/>
  <c r="I145" i="14"/>
  <c r="I148" i="14" s="1"/>
  <c r="I150" i="14"/>
  <c r="I153" i="14" s="1"/>
  <c r="G60" i="14"/>
  <c r="AG60" i="14" s="1"/>
  <c r="AG61" i="14"/>
  <c r="O510" i="10"/>
  <c r="O513" i="10" s="1"/>
  <c r="O519" i="10" s="1"/>
  <c r="L514" i="10"/>
  <c r="L516" i="10"/>
  <c r="L515" i="10"/>
  <c r="M60" i="14"/>
  <c r="AM60" i="14" s="1"/>
  <c r="AM61" i="14"/>
  <c r="G40" i="20"/>
  <c r="G8" i="20"/>
  <c r="L60" i="14"/>
  <c r="AL60" i="14" s="1"/>
  <c r="AL61" i="14"/>
  <c r="F586" i="13"/>
  <c r="F624" i="13"/>
  <c r="J18" i="2"/>
  <c r="F523" i="13"/>
  <c r="P523" i="13" s="1"/>
  <c r="E843" i="13"/>
  <c r="G5" i="8"/>
  <c r="N60" i="14"/>
  <c r="AN60" i="14" s="1"/>
  <c r="AN61" i="14"/>
  <c r="F40" i="20"/>
  <c r="F8" i="20"/>
  <c r="K510" i="10"/>
  <c r="K513" i="10" s="1"/>
  <c r="K519" i="10" s="1"/>
  <c r="N5" i="8"/>
  <c r="L843" i="13"/>
  <c r="U200" i="3"/>
  <c r="N510" i="10"/>
  <c r="N513" i="10" s="1"/>
  <c r="N519" i="10" s="1"/>
  <c r="H60" i="14"/>
  <c r="AH60" i="14" s="1"/>
  <c r="AH61" i="14"/>
  <c r="M510" i="10"/>
  <c r="M513" i="10" s="1"/>
  <c r="M519" i="10" s="1"/>
  <c r="J510" i="10"/>
  <c r="J513" i="10" s="1"/>
  <c r="J519" i="10" s="1"/>
  <c r="K19" i="2" l="1"/>
  <c r="I35" i="22" s="1"/>
  <c r="I20" i="20"/>
  <c r="S20" i="20" s="1"/>
  <c r="Q8" i="20"/>
  <c r="P8" i="20"/>
  <c r="J19" i="2"/>
  <c r="H35" i="22" s="1"/>
  <c r="H20" i="20"/>
  <c r="R20" i="20" s="1"/>
  <c r="AA6" i="3"/>
  <c r="E13" i="15"/>
  <c r="H99" i="14"/>
  <c r="H114" i="14" s="1"/>
  <c r="H131" i="14" s="1"/>
  <c r="W194" i="3"/>
  <c r="W200" i="3" s="1"/>
  <c r="W203" i="3"/>
  <c r="K949" i="13" s="1"/>
  <c r="X210" i="3"/>
  <c r="X238" i="3"/>
  <c r="Y238" i="3" s="1"/>
  <c r="X9" i="3"/>
  <c r="Y210" i="3"/>
  <c r="Y9" i="3"/>
  <c r="AA11" i="3"/>
  <c r="Z11" i="3" s="1"/>
  <c r="Z12" i="3" s="1"/>
  <c r="Y225" i="3"/>
  <c r="X191" i="3"/>
  <c r="W197" i="3"/>
  <c r="Y198" i="3"/>
  <c r="Z198" i="3"/>
  <c r="U12" i="3"/>
  <c r="L40" i="2"/>
  <c r="K84" i="14" s="1"/>
  <c r="AK84" i="14" s="1"/>
  <c r="I155" i="14"/>
  <c r="I96" i="14" s="1"/>
  <c r="L520" i="10"/>
  <c r="X624" i="13"/>
  <c r="N624" i="13"/>
  <c r="N514" i="10"/>
  <c r="N515" i="10"/>
  <c r="N516" i="10"/>
  <c r="F20" i="20"/>
  <c r="P20" i="20" s="1"/>
  <c r="H19" i="2"/>
  <c r="F35" i="22" s="1"/>
  <c r="F521" i="13"/>
  <c r="H62" i="13"/>
  <c r="F622" i="13"/>
  <c r="G864" i="13"/>
  <c r="J9" i="2"/>
  <c r="J15" i="2"/>
  <c r="J22" i="2"/>
  <c r="J26" i="2"/>
  <c r="J31" i="2" s="1"/>
  <c r="J32" i="2" s="1"/>
  <c r="J34" i="2"/>
  <c r="I81" i="8"/>
  <c r="J134" i="2"/>
  <c r="J26" i="5"/>
  <c r="M4" i="15" s="1"/>
  <c r="H3" i="18"/>
  <c r="I73" i="14"/>
  <c r="F584" i="13"/>
  <c r="H2" i="18"/>
  <c r="H9" i="18" s="1"/>
  <c r="J145" i="14"/>
  <c r="J148" i="14" s="1"/>
  <c r="J150" i="14"/>
  <c r="J153" i="14" s="1"/>
  <c r="I514" i="10"/>
  <c r="I515" i="10"/>
  <c r="I516" i="10"/>
  <c r="X586" i="13"/>
  <c r="N586" i="13"/>
  <c r="E521" i="13"/>
  <c r="I134" i="2"/>
  <c r="F864" i="13"/>
  <c r="I9" i="2"/>
  <c r="I15" i="2"/>
  <c r="I22" i="2"/>
  <c r="AA68" i="3" s="1"/>
  <c r="Z68" i="3" s="1"/>
  <c r="I26" i="2"/>
  <c r="I34" i="2"/>
  <c r="AA77" i="3" s="1"/>
  <c r="H81" i="8"/>
  <c r="H73" i="14"/>
  <c r="G3" i="18"/>
  <c r="G62" i="13"/>
  <c r="E622" i="13"/>
  <c r="G13" i="15"/>
  <c r="E584" i="13"/>
  <c r="I26" i="5"/>
  <c r="L4" i="15" s="1"/>
  <c r="G2" i="18"/>
  <c r="G9" i="18" s="1"/>
  <c r="J514" i="10"/>
  <c r="J515" i="10"/>
  <c r="J516" i="10"/>
  <c r="J165" i="14"/>
  <c r="J168" i="14" s="1"/>
  <c r="M514" i="10"/>
  <c r="M515" i="10"/>
  <c r="M516" i="10"/>
  <c r="K193" i="19"/>
  <c r="K203" i="19" s="1"/>
  <c r="P170" i="19"/>
  <c r="V192" i="19" s="1"/>
  <c r="P211" i="19"/>
  <c r="P209" i="19"/>
  <c r="P624" i="13"/>
  <c r="Z624" i="13"/>
  <c r="I171" i="14"/>
  <c r="I174" i="14" s="1"/>
  <c r="I176" i="14" s="1"/>
  <c r="I97" i="14" s="1"/>
  <c r="I2" i="18"/>
  <c r="I9" i="18" s="1"/>
  <c r="I3" i="18"/>
  <c r="I62" i="13"/>
  <c r="K15" i="2"/>
  <c r="I17" i="20" s="1"/>
  <c r="K22" i="2"/>
  <c r="J81" i="8"/>
  <c r="J73" i="14"/>
  <c r="K74" i="14" s="1"/>
  <c r="AK74" i="14" s="1"/>
  <c r="K134" i="2"/>
  <c r="K26" i="5"/>
  <c r="K34" i="2"/>
  <c r="K9" i="2"/>
  <c r="H864" i="13"/>
  <c r="K26" i="2"/>
  <c r="K31" i="2" s="1"/>
  <c r="K32" i="2" s="1"/>
  <c r="Y624" i="13"/>
  <c r="O624" i="13"/>
  <c r="H515" i="10"/>
  <c r="H514" i="10"/>
  <c r="H516" i="10"/>
  <c r="H513" i="10"/>
  <c r="H519" i="10" s="1"/>
  <c r="M62" i="13"/>
  <c r="M2" i="18"/>
  <c r="M9" i="18" s="1"/>
  <c r="M3" i="18"/>
  <c r="L864" i="13"/>
  <c r="O9" i="2"/>
  <c r="O26" i="2"/>
  <c r="O31" i="2" s="1"/>
  <c r="O32" i="2" s="1"/>
  <c r="O134" i="2"/>
  <c r="O15" i="2"/>
  <c r="O22" i="2"/>
  <c r="O34" i="2"/>
  <c r="N81" i="8"/>
  <c r="O26" i="5"/>
  <c r="N73" i="14"/>
  <c r="J4" i="18"/>
  <c r="K82" i="14"/>
  <c r="AK82" i="14" s="1"/>
  <c r="L27" i="5"/>
  <c r="L16" i="2"/>
  <c r="I19" i="2"/>
  <c r="G35" i="22" s="1"/>
  <c r="G20" i="20"/>
  <c r="Q20" i="20" s="1"/>
  <c r="P586" i="13"/>
  <c r="Z586" i="13"/>
  <c r="AK73" i="14"/>
  <c r="K76" i="14"/>
  <c r="K514" i="10"/>
  <c r="K516" i="10"/>
  <c r="K515" i="10"/>
  <c r="O516" i="10"/>
  <c r="O514" i="10"/>
  <c r="O515" i="10"/>
  <c r="K161" i="14"/>
  <c r="K162" i="14" s="1"/>
  <c r="L159" i="14"/>
  <c r="K144" i="14"/>
  <c r="Y586" i="13"/>
  <c r="O586" i="13"/>
  <c r="L111" i="2"/>
  <c r="L109" i="2" s="1"/>
  <c r="H134" i="2"/>
  <c r="D584" i="13"/>
  <c r="H86" i="2"/>
  <c r="I86" i="2" s="1"/>
  <c r="J86" i="2" s="1"/>
  <c r="K86" i="2" s="1"/>
  <c r="L86" i="2" s="1"/>
  <c r="M86" i="2" s="1"/>
  <c r="N86" i="2" s="1"/>
  <c r="O86" i="2" s="1"/>
  <c r="F2" i="18"/>
  <c r="F9" i="18" s="1"/>
  <c r="F3" i="18"/>
  <c r="F62" i="13"/>
  <c r="F63" i="13" s="1"/>
  <c r="D622" i="13"/>
  <c r="V6" i="3"/>
  <c r="H15" i="2"/>
  <c r="D16" i="15" s="1"/>
  <c r="H22" i="2"/>
  <c r="H34" i="2"/>
  <c r="G81" i="8"/>
  <c r="D521" i="13"/>
  <c r="H26" i="5"/>
  <c r="K4" i="15" s="1"/>
  <c r="G73" i="14"/>
  <c r="E864" i="13"/>
  <c r="H9" i="2"/>
  <c r="H26" i="2"/>
  <c r="V71" i="3" s="1"/>
  <c r="J864" i="13"/>
  <c r="M9" i="2"/>
  <c r="M15" i="2"/>
  <c r="M22" i="2"/>
  <c r="M26" i="2"/>
  <c r="M31" i="2" s="1"/>
  <c r="M32" i="2" s="1"/>
  <c r="M34" i="2"/>
  <c r="L81" i="8"/>
  <c r="M134" i="2"/>
  <c r="K2" i="18"/>
  <c r="K9" i="18" s="1"/>
  <c r="K62" i="13"/>
  <c r="K63" i="13" s="1"/>
  <c r="M26" i="5"/>
  <c r="K3" i="18"/>
  <c r="L73" i="14"/>
  <c r="L62" i="13"/>
  <c r="K864" i="13"/>
  <c r="N9" i="2"/>
  <c r="N15" i="2"/>
  <c r="N22" i="2"/>
  <c r="N26" i="2"/>
  <c r="N31" i="2" s="1"/>
  <c r="N32" i="2" s="1"/>
  <c r="N34" i="2"/>
  <c r="M81" i="8"/>
  <c r="L2" i="18"/>
  <c r="L9" i="18" s="1"/>
  <c r="N134" i="2"/>
  <c r="N26" i="5"/>
  <c r="L3" i="18"/>
  <c r="M73" i="14"/>
  <c r="S17" i="20" l="1"/>
  <c r="I18" i="20"/>
  <c r="AA81" i="3"/>
  <c r="Z9" i="3"/>
  <c r="F16" i="15"/>
  <c r="G16" i="15" s="1"/>
  <c r="H17" i="20"/>
  <c r="V68" i="3"/>
  <c r="U68" i="3" s="1"/>
  <c r="Z231" i="3"/>
  <c r="Z234" i="3" s="1"/>
  <c r="Y228" i="3"/>
  <c r="AA33" i="3"/>
  <c r="AA59" i="3"/>
  <c r="AA60" i="3" s="1"/>
  <c r="E16" i="15"/>
  <c r="L136" i="2"/>
  <c r="U71" i="3"/>
  <c r="H31" i="2"/>
  <c r="H32" i="2" s="1"/>
  <c r="AA71" i="3"/>
  <c r="AA72" i="3" s="1"/>
  <c r="I31" i="2"/>
  <c r="I32" i="2" s="1"/>
  <c r="L42" i="2"/>
  <c r="L44" i="2" s="1"/>
  <c r="J5" i="18" s="1"/>
  <c r="H120" i="14"/>
  <c r="H122" i="14" s="1"/>
  <c r="Z22" i="3"/>
  <c r="X194" i="3"/>
  <c r="X203" i="3"/>
  <c r="L949" i="13" s="1"/>
  <c r="W209" i="3"/>
  <c r="W206" i="3"/>
  <c r="W8" i="3"/>
  <c r="W237" i="3"/>
  <c r="U7" i="3"/>
  <c r="AP7" i="3" s="1"/>
  <c r="L47" i="2"/>
  <c r="K86" i="14" s="1"/>
  <c r="AK86" i="14" s="1"/>
  <c r="Z77" i="3"/>
  <c r="AA78" i="3"/>
  <c r="I99" i="14"/>
  <c r="I114" i="14" s="1"/>
  <c r="I120" i="14" s="1"/>
  <c r="I122" i="14" s="1"/>
  <c r="AA69" i="3"/>
  <c r="W176" i="3"/>
  <c r="W185" i="3" s="1"/>
  <c r="X197" i="3"/>
  <c r="Y191" i="3"/>
  <c r="I40" i="2"/>
  <c r="AA83" i="3" s="1"/>
  <c r="I63" i="13"/>
  <c r="G63" i="13"/>
  <c r="N40" i="2"/>
  <c r="M84" i="14" s="1"/>
  <c r="AM84" i="14" s="1"/>
  <c r="H520" i="10"/>
  <c r="J63" i="13"/>
  <c r="J40" i="2"/>
  <c r="F600" i="13" s="1"/>
  <c r="G74" i="14"/>
  <c r="AG74" i="14" s="1"/>
  <c r="G76" i="14"/>
  <c r="AG73" i="14"/>
  <c r="O111" i="2"/>
  <c r="O109" i="2" s="1"/>
  <c r="I520" i="10"/>
  <c r="N520" i="10"/>
  <c r="M16" i="2"/>
  <c r="J868" i="13" s="1"/>
  <c r="K4" i="18"/>
  <c r="M27" i="5"/>
  <c r="L82" i="14"/>
  <c r="AL82" i="14" s="1"/>
  <c r="D533" i="13"/>
  <c r="N533" i="13" s="1"/>
  <c r="N521" i="13"/>
  <c r="J111" i="2"/>
  <c r="J109" i="2" s="1"/>
  <c r="F636" i="13"/>
  <c r="P622" i="13"/>
  <c r="Z622" i="13"/>
  <c r="V81" i="3"/>
  <c r="V33" i="3"/>
  <c r="Y622" i="13"/>
  <c r="O622" i="13"/>
  <c r="E636" i="13"/>
  <c r="X622" i="13"/>
  <c r="N622" i="13"/>
  <c r="D636" i="13"/>
  <c r="O520" i="10"/>
  <c r="I4" i="18"/>
  <c r="J82" i="14"/>
  <c r="AJ82" i="14" s="1"/>
  <c r="K27" i="5"/>
  <c r="K16" i="2"/>
  <c r="AM73" i="14"/>
  <c r="M76" i="14"/>
  <c r="M74" i="14"/>
  <c r="AM74" i="14" s="1"/>
  <c r="AN73" i="14"/>
  <c r="N74" i="14"/>
  <c r="AN74" i="14" s="1"/>
  <c r="N76" i="14"/>
  <c r="K40" i="2"/>
  <c r="J84" i="14" s="1"/>
  <c r="AJ84" i="14" s="1"/>
  <c r="J520" i="10"/>
  <c r="AH73" i="14"/>
  <c r="H74" i="14"/>
  <c r="AH74" i="14" s="1"/>
  <c r="H76" i="14"/>
  <c r="I111" i="2"/>
  <c r="I109" i="2" s="1"/>
  <c r="J155" i="14"/>
  <c r="J96" i="14" s="1"/>
  <c r="H63" i="13"/>
  <c r="N62" i="13"/>
  <c r="N16" i="2"/>
  <c r="K868" i="13" s="1"/>
  <c r="L4" i="18"/>
  <c r="N27" i="5"/>
  <c r="M82" i="14"/>
  <c r="AM82" i="14" s="1"/>
  <c r="E533" i="13"/>
  <c r="O533" i="13" s="1"/>
  <c r="O521" i="13"/>
  <c r="K520" i="10"/>
  <c r="I868" i="13"/>
  <c r="J43" i="22"/>
  <c r="K111" i="2"/>
  <c r="K109" i="2" s="1"/>
  <c r="AL73" i="14"/>
  <c r="L74" i="14"/>
  <c r="AL74" i="14" s="1"/>
  <c r="L76" i="14"/>
  <c r="P521" i="13"/>
  <c r="F533" i="13"/>
  <c r="P533" i="13" s="1"/>
  <c r="M111" i="2"/>
  <c r="M109" i="2" s="1"/>
  <c r="V69" i="3"/>
  <c r="N111" i="2"/>
  <c r="N109" i="2" s="1"/>
  <c r="D634" i="13"/>
  <c r="N634" i="13" s="1"/>
  <c r="F4" i="18"/>
  <c r="F17" i="20"/>
  <c r="F18" i="20" s="1"/>
  <c r="V59" i="3"/>
  <c r="V60" i="3" s="1"/>
  <c r="Y107" i="19" s="1"/>
  <c r="D596" i="13"/>
  <c r="N596" i="13" s="1"/>
  <c r="H16" i="2"/>
  <c r="D17" i="15" s="1"/>
  <c r="H27" i="5"/>
  <c r="K5" i="15" s="1"/>
  <c r="G82" i="14"/>
  <c r="AG82" i="14" s="1"/>
  <c r="D598" i="13"/>
  <c r="N584" i="13"/>
  <c r="X584" i="13"/>
  <c r="L144" i="14"/>
  <c r="L161" i="14"/>
  <c r="L162" i="14" s="1"/>
  <c r="M159" i="14"/>
  <c r="K77" i="14"/>
  <c r="AK77" i="14" s="1"/>
  <c r="AK76" i="14"/>
  <c r="O40" i="2"/>
  <c r="N84" i="14" s="1"/>
  <c r="AN84" i="14" s="1"/>
  <c r="J74" i="14"/>
  <c r="AJ74" i="14" s="1"/>
  <c r="AJ73" i="14"/>
  <c r="J76" i="14"/>
  <c r="M520" i="10"/>
  <c r="Y584" i="13"/>
  <c r="O584" i="13"/>
  <c r="E598" i="13"/>
  <c r="Z584" i="13"/>
  <c r="F598" i="13"/>
  <c r="P584" i="13"/>
  <c r="M4" i="18"/>
  <c r="O16" i="2"/>
  <c r="L868" i="13" s="1"/>
  <c r="O27" i="5"/>
  <c r="N82" i="14"/>
  <c r="AN82" i="14" s="1"/>
  <c r="E596" i="13"/>
  <c r="O596" i="13" s="1"/>
  <c r="I16" i="2"/>
  <c r="E17" i="15" s="1"/>
  <c r="E634" i="13"/>
  <c r="O634" i="13" s="1"/>
  <c r="H82" i="14"/>
  <c r="AH82" i="14" s="1"/>
  <c r="I27" i="5"/>
  <c r="L5" i="15" s="1"/>
  <c r="G17" i="20"/>
  <c r="G18" i="20" s="1"/>
  <c r="G4" i="18"/>
  <c r="V77" i="3"/>
  <c r="U77" i="3" s="1"/>
  <c r="H40" i="2"/>
  <c r="H42" i="2" s="1"/>
  <c r="K145" i="14"/>
  <c r="K148" i="14" s="1"/>
  <c r="K150" i="14"/>
  <c r="K153" i="14" s="1"/>
  <c r="L63" i="13"/>
  <c r="M40" i="2"/>
  <c r="L84" i="14" s="1"/>
  <c r="AL84" i="14" s="1"/>
  <c r="H111" i="2"/>
  <c r="H109" i="2" s="1"/>
  <c r="K165" i="14"/>
  <c r="K168" i="14" s="1"/>
  <c r="M63" i="13"/>
  <c r="J171" i="14"/>
  <c r="J174" i="14" s="1"/>
  <c r="J176" i="14" s="1"/>
  <c r="J97" i="14" s="1"/>
  <c r="AI73" i="14"/>
  <c r="I74" i="14"/>
  <c r="AI74" i="14" s="1"/>
  <c r="I76" i="14"/>
  <c r="F596" i="13"/>
  <c r="P596" i="13" s="1"/>
  <c r="J16" i="2"/>
  <c r="F17" i="15" s="1"/>
  <c r="J27" i="5"/>
  <c r="M5" i="15" s="1"/>
  <c r="F634" i="13"/>
  <c r="P634" i="13" s="1"/>
  <c r="I82" i="14"/>
  <c r="AI82" i="14" s="1"/>
  <c r="H4" i="18"/>
  <c r="R17" i="20" l="1"/>
  <c r="H18" i="20"/>
  <c r="P17" i="20"/>
  <c r="Q17" i="20"/>
  <c r="Z71" i="3"/>
  <c r="Z74" i="3" s="1"/>
  <c r="U74" i="3"/>
  <c r="U18" i="3"/>
  <c r="V72" i="3"/>
  <c r="W7" i="3"/>
  <c r="W18" i="3" s="1"/>
  <c r="W240" i="3"/>
  <c r="W212" i="3"/>
  <c r="W219" i="3" s="1"/>
  <c r="Y194" i="3"/>
  <c r="Y203" i="3"/>
  <c r="M949" i="13" s="1"/>
  <c r="M952" i="13" s="1"/>
  <c r="M953" i="13" s="1"/>
  <c r="X209" i="3"/>
  <c r="X206" i="3"/>
  <c r="X237" i="3"/>
  <c r="Y237" i="3" s="1"/>
  <c r="X8" i="3"/>
  <c r="X7" i="3" s="1"/>
  <c r="L49" i="2"/>
  <c r="L54" i="2" s="1"/>
  <c r="I131" i="14"/>
  <c r="I47" i="2"/>
  <c r="H84" i="14"/>
  <c r="AH84" i="14" s="1"/>
  <c r="I136" i="2"/>
  <c r="I42" i="2"/>
  <c r="E602" i="13" s="1"/>
  <c r="E638" i="13"/>
  <c r="O638" i="13" s="1"/>
  <c r="E600" i="13"/>
  <c r="Y600" i="13" s="1"/>
  <c r="X200" i="3"/>
  <c r="X176" i="3"/>
  <c r="X185" i="3" s="1"/>
  <c r="Y197" i="3"/>
  <c r="Z197" i="3"/>
  <c r="U63" i="3"/>
  <c r="N47" i="2"/>
  <c r="N49" i="2" s="1"/>
  <c r="N54" i="2" s="1"/>
  <c r="U54" i="3"/>
  <c r="N42" i="2"/>
  <c r="N44" i="2" s="1"/>
  <c r="L5" i="18" s="1"/>
  <c r="N136" i="2"/>
  <c r="K136" i="2"/>
  <c r="J42" i="2"/>
  <c r="F602" i="13" s="1"/>
  <c r="K171" i="14"/>
  <c r="K174" i="14" s="1"/>
  <c r="K176" i="14" s="1"/>
  <c r="K97" i="14" s="1"/>
  <c r="J136" i="2"/>
  <c r="J47" i="2"/>
  <c r="H24" i="20" s="1"/>
  <c r="F638" i="13"/>
  <c r="Z638" i="13" s="1"/>
  <c r="I84" i="14"/>
  <c r="AI84" i="14" s="1"/>
  <c r="H136" i="2"/>
  <c r="J99" i="14"/>
  <c r="J114" i="14" s="1"/>
  <c r="J131" i="14" s="1"/>
  <c r="O47" i="2"/>
  <c r="H47" i="2"/>
  <c r="O42" i="2"/>
  <c r="O44" i="2" s="1"/>
  <c r="M5" i="18" s="1"/>
  <c r="K155" i="14"/>
  <c r="K96" i="14" s="1"/>
  <c r="M77" i="14"/>
  <c r="AM77" i="14" s="1"/>
  <c r="AM76" i="14"/>
  <c r="N598" i="13"/>
  <c r="X598" i="13"/>
  <c r="X636" i="13"/>
  <c r="N636" i="13"/>
  <c r="V83" i="3"/>
  <c r="D638" i="13"/>
  <c r="D600" i="13"/>
  <c r="G84" i="14"/>
  <c r="AG84" i="14" s="1"/>
  <c r="M136" i="2"/>
  <c r="I43" i="22"/>
  <c r="H868" i="13"/>
  <c r="AI76" i="14"/>
  <c r="I77" i="14"/>
  <c r="AI77" i="14" s="1"/>
  <c r="Z600" i="13"/>
  <c r="P600" i="13"/>
  <c r="D535" i="13"/>
  <c r="N535" i="13" s="1"/>
  <c r="D640" i="13"/>
  <c r="D602" i="13"/>
  <c r="H44" i="2"/>
  <c r="F5" i="18" s="1"/>
  <c r="V78" i="3"/>
  <c r="AJ76" i="14"/>
  <c r="J77" i="14"/>
  <c r="AJ77" i="14" s="1"/>
  <c r="K47" i="2"/>
  <c r="I24" i="20" s="1"/>
  <c r="O136" i="2"/>
  <c r="F43" i="22"/>
  <c r="E868" i="13"/>
  <c r="Z636" i="13"/>
  <c r="P636" i="13"/>
  <c r="Z598" i="13"/>
  <c r="P598" i="13"/>
  <c r="L165" i="14"/>
  <c r="L168" i="14" s="1"/>
  <c r="AL76" i="14"/>
  <c r="L77" i="14"/>
  <c r="AL77" i="14" s="1"/>
  <c r="L145" i="14"/>
  <c r="L148" i="14" s="1"/>
  <c r="L150" i="14"/>
  <c r="L153" i="14" s="1"/>
  <c r="K42" i="2"/>
  <c r="K44" i="2" s="1"/>
  <c r="I5" i="18" s="1"/>
  <c r="M47" i="2"/>
  <c r="G77" i="14"/>
  <c r="AG77" i="14" s="1"/>
  <c r="AG76" i="14"/>
  <c r="F868" i="13"/>
  <c r="G43" i="22"/>
  <c r="M144" i="14"/>
  <c r="M161" i="14"/>
  <c r="M162" i="14" s="1"/>
  <c r="N159" i="14"/>
  <c r="AN76" i="14"/>
  <c r="N77" i="14"/>
  <c r="AN77" i="14" s="1"/>
  <c r="Y636" i="13"/>
  <c r="O636" i="13"/>
  <c r="H43" i="22"/>
  <c r="G868" i="13"/>
  <c r="Y598" i="13"/>
  <c r="O598" i="13"/>
  <c r="AH76" i="14"/>
  <c r="H77" i="14"/>
  <c r="AH77" i="14" s="1"/>
  <c r="M42" i="2"/>
  <c r="M44" i="2" s="1"/>
  <c r="K5" i="18" s="1"/>
  <c r="S24" i="20" l="1"/>
  <c r="I22" i="20"/>
  <c r="S22" i="20" s="1"/>
  <c r="U65" i="3"/>
  <c r="AP63" i="3"/>
  <c r="H22" i="20"/>
  <c r="R22" i="20" s="1"/>
  <c r="R24" i="20"/>
  <c r="X18" i="3"/>
  <c r="Z83" i="3"/>
  <c r="J49" i="2"/>
  <c r="F20" i="15"/>
  <c r="AA89" i="3"/>
  <c r="E20" i="15"/>
  <c r="H49" i="2"/>
  <c r="D20" i="15"/>
  <c r="L56" i="2"/>
  <c r="K88" i="14" s="1"/>
  <c r="AK88" i="14" s="1"/>
  <c r="N56" i="2"/>
  <c r="N60" i="2" s="1"/>
  <c r="N30" i="5" s="1"/>
  <c r="X212" i="3"/>
  <c r="X219" i="3" s="1"/>
  <c r="X240" i="3"/>
  <c r="Y240" i="3" s="1"/>
  <c r="X6" i="3"/>
  <c r="X63" i="3"/>
  <c r="X54" i="3"/>
  <c r="Y209" i="3"/>
  <c r="Y206" i="3"/>
  <c r="Y212" i="3" s="1"/>
  <c r="Y219" i="3" s="1"/>
  <c r="Y8" i="3"/>
  <c r="Y7" i="3" s="1"/>
  <c r="W63" i="3"/>
  <c r="W54" i="3"/>
  <c r="W6" i="3"/>
  <c r="W3" i="3" s="1"/>
  <c r="G24" i="20"/>
  <c r="H86" i="14"/>
  <c r="AH86" i="14" s="1"/>
  <c r="I49" i="2"/>
  <c r="I54" i="2" s="1"/>
  <c r="E535" i="13"/>
  <c r="O535" i="13" s="1"/>
  <c r="F640" i="13"/>
  <c r="P640" i="13" s="1"/>
  <c r="E640" i="13"/>
  <c r="O640" i="13" s="1"/>
  <c r="F535" i="13"/>
  <c r="P535" i="13" s="1"/>
  <c r="I44" i="2"/>
  <c r="G5" i="18" s="1"/>
  <c r="M86" i="14"/>
  <c r="AM86" i="14" s="1"/>
  <c r="Y638" i="13"/>
  <c r="K99" i="14"/>
  <c r="K114" i="14" s="1"/>
  <c r="K131" i="14" s="1"/>
  <c r="O600" i="13"/>
  <c r="Y200" i="3"/>
  <c r="Y176" i="3"/>
  <c r="Y185" i="3" s="1"/>
  <c r="Z200" i="3"/>
  <c r="V89" i="3"/>
  <c r="J44" i="2"/>
  <c r="H5" i="18" s="1"/>
  <c r="G86" i="14"/>
  <c r="AG86" i="14" s="1"/>
  <c r="F24" i="20"/>
  <c r="P220" i="19"/>
  <c r="Q46" i="19"/>
  <c r="P638" i="13"/>
  <c r="J120" i="14"/>
  <c r="J122" i="14" s="1"/>
  <c r="L171" i="14"/>
  <c r="L174" i="14" s="1"/>
  <c r="L176" i="14" s="1"/>
  <c r="L97" i="14" s="1"/>
  <c r="I86" i="14"/>
  <c r="AI86" i="14" s="1"/>
  <c r="N86" i="14"/>
  <c r="AN86" i="14" s="1"/>
  <c r="O49" i="2"/>
  <c r="O54" i="2" s="1"/>
  <c r="L155" i="14"/>
  <c r="L96" i="14" s="1"/>
  <c r="X600" i="13"/>
  <c r="N600" i="13"/>
  <c r="X602" i="13"/>
  <c r="N602" i="13"/>
  <c r="M145" i="14"/>
  <c r="M148" i="14" s="1"/>
  <c r="M150" i="14"/>
  <c r="M153" i="14" s="1"/>
  <c r="M49" i="2"/>
  <c r="M54" i="2" s="1"/>
  <c r="L86" i="14"/>
  <c r="AL86" i="14" s="1"/>
  <c r="O602" i="13"/>
  <c r="Y602" i="13"/>
  <c r="X638" i="13"/>
  <c r="N638" i="13"/>
  <c r="N144" i="14"/>
  <c r="N161" i="14"/>
  <c r="N162" i="14" s="1"/>
  <c r="O159" i="14"/>
  <c r="P602" i="13"/>
  <c r="Z602" i="13"/>
  <c r="X640" i="13"/>
  <c r="N640" i="13"/>
  <c r="M165" i="14"/>
  <c r="M168" i="14" s="1"/>
  <c r="J86" i="14"/>
  <c r="AJ86" i="14" s="1"/>
  <c r="K49" i="2"/>
  <c r="K54" i="2" s="1"/>
  <c r="U83" i="3"/>
  <c r="X75" i="3" l="1"/>
  <c r="X3" i="3"/>
  <c r="U87" i="3"/>
  <c r="AP83" i="3"/>
  <c r="P24" i="20"/>
  <c r="F22" i="20"/>
  <c r="P22" i="20" s="1"/>
  <c r="G22" i="20"/>
  <c r="Q22" i="20" s="1"/>
  <c r="Q24" i="20"/>
  <c r="W65" i="3"/>
  <c r="W87" i="3"/>
  <c r="X65" i="3"/>
  <c r="X87" i="3"/>
  <c r="V91" i="3"/>
  <c r="U91" i="3" s="1"/>
  <c r="U95" i="3" s="1"/>
  <c r="H54" i="2"/>
  <c r="J56" i="2"/>
  <c r="J54" i="2"/>
  <c r="N75" i="2"/>
  <c r="Y18" i="3"/>
  <c r="H56" i="2"/>
  <c r="H74" i="2" s="1"/>
  <c r="L36" i="5"/>
  <c r="L85" i="2"/>
  <c r="L84" i="2" s="1"/>
  <c r="L57" i="2"/>
  <c r="K89" i="14" s="1"/>
  <c r="L29" i="5"/>
  <c r="J3" i="22" s="1"/>
  <c r="L75" i="2"/>
  <c r="L74" i="2"/>
  <c r="J6" i="18"/>
  <c r="L60" i="2"/>
  <c r="L30" i="5" s="1"/>
  <c r="L6" i="18"/>
  <c r="K56" i="2"/>
  <c r="N74" i="2"/>
  <c r="N57" i="2"/>
  <c r="M89" i="14" s="1"/>
  <c r="N36" i="5"/>
  <c r="M56" i="2"/>
  <c r="M60" i="2" s="1"/>
  <c r="M30" i="5" s="1"/>
  <c r="N29" i="5"/>
  <c r="O56" i="2"/>
  <c r="O60" i="2" s="1"/>
  <c r="O30" i="5" s="1"/>
  <c r="M88" i="14"/>
  <c r="AM88" i="14" s="1"/>
  <c r="I56" i="2"/>
  <c r="E604" i="13" s="1"/>
  <c r="O604" i="13" s="1"/>
  <c r="W75" i="3"/>
  <c r="N85" i="2"/>
  <c r="N84" i="2" s="1"/>
  <c r="Y54" i="3"/>
  <c r="Y6" i="3"/>
  <c r="Y63" i="3"/>
  <c r="W33" i="3"/>
  <c r="W69" i="3"/>
  <c r="W53" i="3"/>
  <c r="W78" i="3"/>
  <c r="W38" i="3"/>
  <c r="W41" i="3" s="1"/>
  <c r="W81" i="3"/>
  <c r="W72" i="3"/>
  <c r="X69" i="3"/>
  <c r="X33" i="3"/>
  <c r="X78" i="3"/>
  <c r="X72" i="3"/>
  <c r="X38" i="3"/>
  <c r="X41" i="3" s="1"/>
  <c r="X81" i="3"/>
  <c r="X53" i="3"/>
  <c r="Z8" i="3"/>
  <c r="Z640" i="13"/>
  <c r="AA91" i="3"/>
  <c r="AA92" i="3" s="1"/>
  <c r="Y640" i="13"/>
  <c r="K120" i="14"/>
  <c r="K122" i="14" s="1"/>
  <c r="L99" i="14"/>
  <c r="L114" i="14" s="1"/>
  <c r="L120" i="14" s="1"/>
  <c r="L122" i="14" s="1"/>
  <c r="N165" i="14"/>
  <c r="N168" i="14" s="1"/>
  <c r="N145" i="14"/>
  <c r="N148" i="14" s="1"/>
  <c r="N150" i="14"/>
  <c r="N153" i="14" s="1"/>
  <c r="M155" i="14"/>
  <c r="M96" i="14" s="1"/>
  <c r="M171" i="14"/>
  <c r="M174" i="14" s="1"/>
  <c r="M176" i="14" s="1"/>
  <c r="M97" i="14" s="1"/>
  <c r="O161" i="14"/>
  <c r="O162" i="14" s="1"/>
  <c r="O144" i="14"/>
  <c r="K60" i="2" l="1"/>
  <c r="I26" i="20"/>
  <c r="Y75" i="3"/>
  <c r="Y3" i="3"/>
  <c r="F642" i="13"/>
  <c r="P642" i="13" s="1"/>
  <c r="H26" i="20"/>
  <c r="Y65" i="3"/>
  <c r="Y87" i="3"/>
  <c r="H29" i="5"/>
  <c r="F3" i="22" s="1"/>
  <c r="H36" i="5"/>
  <c r="F26" i="20"/>
  <c r="P26" i="20" s="1"/>
  <c r="J85" i="2"/>
  <c r="J84" i="2" s="1"/>
  <c r="V92" i="3"/>
  <c r="J60" i="2"/>
  <c r="F604" i="13"/>
  <c r="Z604" i="13" s="1"/>
  <c r="J75" i="2"/>
  <c r="F22" i="15" s="1"/>
  <c r="I88" i="14"/>
  <c r="AI88" i="14" s="1"/>
  <c r="J36" i="5"/>
  <c r="F537" i="13"/>
  <c r="P537" i="13" s="1"/>
  <c r="J74" i="2"/>
  <c r="H6" i="18"/>
  <c r="J29" i="5"/>
  <c r="H3" i="22" s="1"/>
  <c r="F21" i="15"/>
  <c r="M6" i="15" s="1"/>
  <c r="J57" i="2"/>
  <c r="I89" i="14" s="1"/>
  <c r="H75" i="2"/>
  <c r="D22" i="15" s="1"/>
  <c r="D642" i="13"/>
  <c r="X642" i="13" s="1"/>
  <c r="H60" i="2"/>
  <c r="H30" i="5" s="1"/>
  <c r="F6" i="18"/>
  <c r="G88" i="14"/>
  <c r="AG88" i="14" s="1"/>
  <c r="H85" i="2"/>
  <c r="H84" i="2" s="1"/>
  <c r="D537" i="13"/>
  <c r="N537" i="13" s="1"/>
  <c r="H57" i="2"/>
  <c r="G89" i="14" s="1"/>
  <c r="D21" i="15"/>
  <c r="K6" i="15" s="1"/>
  <c r="H187" i="2"/>
  <c r="H190" i="2" s="1"/>
  <c r="H185" i="2" s="1"/>
  <c r="D604" i="13"/>
  <c r="X604" i="13" s="1"/>
  <c r="V97" i="3"/>
  <c r="V98" i="3" s="1"/>
  <c r="K74" i="2"/>
  <c r="L88" i="14"/>
  <c r="AL88" i="14" s="1"/>
  <c r="K36" i="5"/>
  <c r="I6" i="18"/>
  <c r="K57" i="2"/>
  <c r="J89" i="14" s="1"/>
  <c r="K75" i="2"/>
  <c r="I85" i="2"/>
  <c r="I84" i="2" s="1"/>
  <c r="K85" i="2"/>
  <c r="K84" i="2" s="1"/>
  <c r="I36" i="5"/>
  <c r="I60" i="2"/>
  <c r="I30" i="5" s="1"/>
  <c r="K29" i="5"/>
  <c r="I3" i="22" s="1"/>
  <c r="E642" i="13"/>
  <c r="Y642" i="13" s="1"/>
  <c r="J88" i="14"/>
  <c r="AJ88" i="14" s="1"/>
  <c r="I74" i="2"/>
  <c r="I75" i="2"/>
  <c r="E22" i="15" s="1"/>
  <c r="I29" i="5"/>
  <c r="G3" i="22" s="1"/>
  <c r="G26" i="20"/>
  <c r="Q26" i="20" s="1"/>
  <c r="M57" i="2"/>
  <c r="L89" i="14" s="1"/>
  <c r="G6" i="18"/>
  <c r="M74" i="2"/>
  <c r="M36" i="5"/>
  <c r="M29" i="5"/>
  <c r="K6" i="18"/>
  <c r="M85" i="2"/>
  <c r="M84" i="2" s="1"/>
  <c r="AA97" i="3"/>
  <c r="AA98" i="3" s="1"/>
  <c r="E21" i="15"/>
  <c r="L6" i="15" s="1"/>
  <c r="M75" i="2"/>
  <c r="H88" i="14"/>
  <c r="AH88" i="14" s="1"/>
  <c r="O36" i="5"/>
  <c r="C45" i="5" s="1"/>
  <c r="C46" i="5" s="1"/>
  <c r="N88" i="14"/>
  <c r="AN88" i="14" s="1"/>
  <c r="M6" i="18"/>
  <c r="O85" i="2"/>
  <c r="O84" i="2" s="1"/>
  <c r="O29" i="5"/>
  <c r="E42" i="16"/>
  <c r="F42" i="16" s="1"/>
  <c r="I57" i="2"/>
  <c r="H89" i="14" s="1"/>
  <c r="O74" i="2"/>
  <c r="O75" i="2"/>
  <c r="O57" i="2"/>
  <c r="N89" i="14" s="1"/>
  <c r="E537" i="13"/>
  <c r="O537" i="13" s="1"/>
  <c r="X382" i="3"/>
  <c r="X383" i="3" s="1"/>
  <c r="X48" i="3"/>
  <c r="X59" i="3" s="1"/>
  <c r="X291" i="3"/>
  <c r="X292" i="3"/>
  <c r="X293" i="3" s="1"/>
  <c r="X177" i="3"/>
  <c r="Z21" i="3"/>
  <c r="Z7" i="3"/>
  <c r="Y69" i="3"/>
  <c r="Y53" i="3"/>
  <c r="Y56" i="3" s="1"/>
  <c r="Y78" i="3"/>
  <c r="Y38" i="3"/>
  <c r="Y81" i="3"/>
  <c r="Y33" i="3"/>
  <c r="Y72" i="3"/>
  <c r="X56" i="3"/>
  <c r="W48" i="3"/>
  <c r="W59" i="3" s="1"/>
  <c r="W382" i="3"/>
  <c r="W383" i="3" s="1"/>
  <c r="W291" i="3"/>
  <c r="W292" i="3"/>
  <c r="W293" i="3" s="1"/>
  <c r="W177" i="3"/>
  <c r="Z91" i="3"/>
  <c r="Z95" i="3" s="1"/>
  <c r="Y604" i="13"/>
  <c r="L131" i="14"/>
  <c r="O145" i="14"/>
  <c r="O148" i="14" s="1"/>
  <c r="O150" i="14"/>
  <c r="O153" i="14" s="1"/>
  <c r="N171" i="14"/>
  <c r="N174" i="14" s="1"/>
  <c r="N176" i="14" s="1"/>
  <c r="N97" i="14" s="1"/>
  <c r="O165" i="14"/>
  <c r="O168" i="14" s="1"/>
  <c r="M99" i="14"/>
  <c r="M114" i="14" s="1"/>
  <c r="N155" i="14"/>
  <c r="N96" i="14" s="1"/>
  <c r="S26" i="20" l="1"/>
  <c r="I27" i="20"/>
  <c r="K30" i="5"/>
  <c r="I28" i="20"/>
  <c r="S28" i="20" s="1"/>
  <c r="Z642" i="13"/>
  <c r="H27" i="20"/>
  <c r="R26" i="20"/>
  <c r="J30" i="5"/>
  <c r="Q30" i="5" s="1"/>
  <c r="H28" i="20"/>
  <c r="R28" i="20" s="1"/>
  <c r="F27" i="20"/>
  <c r="Z18" i="3"/>
  <c r="Z63" i="3"/>
  <c r="P604" i="13"/>
  <c r="F28" i="20"/>
  <c r="P28" i="20" s="1"/>
  <c r="N642" i="13"/>
  <c r="Z38" i="3"/>
  <c r="Z41" i="3" s="1"/>
  <c r="Y41" i="3"/>
  <c r="I187" i="2"/>
  <c r="J187" i="2" s="1"/>
  <c r="N604" i="13"/>
  <c r="O642" i="13"/>
  <c r="C44" i="5"/>
  <c r="C47" i="5" s="1"/>
  <c r="C49" i="5" s="1"/>
  <c r="C50" i="5" s="1"/>
  <c r="G27" i="20"/>
  <c r="Q29" i="5"/>
  <c r="G28" i="20"/>
  <c r="Q28" i="20" s="1"/>
  <c r="Z6" i="3"/>
  <c r="Z54" i="3"/>
  <c r="Y382" i="3"/>
  <c r="Y383" i="3" s="1"/>
  <c r="Y48" i="3"/>
  <c r="Y59" i="3" s="1"/>
  <c r="Y292" i="3"/>
  <c r="Y293" i="3" s="1"/>
  <c r="Y291" i="3"/>
  <c r="Y177" i="3"/>
  <c r="X60" i="3"/>
  <c r="X89" i="3"/>
  <c r="W60" i="3"/>
  <c r="W89" i="3"/>
  <c r="W97" i="3" s="1"/>
  <c r="O171" i="14"/>
  <c r="O174" i="14" s="1"/>
  <c r="O176" i="14" s="1"/>
  <c r="O97" i="14" s="1"/>
  <c r="N99" i="14"/>
  <c r="N114" i="14" s="1"/>
  <c r="N131" i="14" s="1"/>
  <c r="M120" i="14"/>
  <c r="M122" i="14" s="1"/>
  <c r="M131" i="14"/>
  <c r="O155" i="14"/>
  <c r="O96" i="14" s="1"/>
  <c r="F12" i="18"/>
  <c r="H5" i="17"/>
  <c r="H31" i="5"/>
  <c r="F19" i="22" s="1"/>
  <c r="Z382" i="3" l="1"/>
  <c r="Z69" i="3"/>
  <c r="Z3" i="3"/>
  <c r="Z65" i="3"/>
  <c r="Z87" i="3"/>
  <c r="W98" i="3"/>
  <c r="Z177" i="3"/>
  <c r="Z292" i="3"/>
  <c r="Z293" i="3" s="1"/>
  <c r="Z291" i="3"/>
  <c r="Z48" i="3"/>
  <c r="Z59" i="3" s="1"/>
  <c r="I190" i="2"/>
  <c r="I185" i="2" s="1"/>
  <c r="I31" i="5" s="1"/>
  <c r="G19" i="22" s="1"/>
  <c r="G3" i="5"/>
  <c r="G4" i="5" s="1"/>
  <c r="G8" i="5" s="1"/>
  <c r="G9" i="5" s="1"/>
  <c r="C616" i="13" s="1"/>
  <c r="M616" i="13" s="1"/>
  <c r="D46" i="5"/>
  <c r="Z39" i="3"/>
  <c r="Z75" i="3"/>
  <c r="O99" i="14"/>
  <c r="O114" i="14" s="1"/>
  <c r="O131" i="14" s="1"/>
  <c r="W92" i="3"/>
  <c r="X92" i="3"/>
  <c r="X97" i="3"/>
  <c r="Z72" i="3"/>
  <c r="Z81" i="3"/>
  <c r="Z33" i="3"/>
  <c r="Z53" i="3"/>
  <c r="Z56" i="3" s="1"/>
  <c r="Z78" i="3"/>
  <c r="Y89" i="3"/>
  <c r="Y60" i="3"/>
  <c r="Z383" i="3"/>
  <c r="N120" i="14"/>
  <c r="N122" i="14" s="1"/>
  <c r="J190" i="2"/>
  <c r="J185" i="2" s="1"/>
  <c r="K187" i="2"/>
  <c r="I5" i="17" l="1"/>
  <c r="G12" i="18"/>
  <c r="O120" i="14"/>
  <c r="O122" i="14" s="1"/>
  <c r="H3" i="5"/>
  <c r="H4" i="5" s="1"/>
  <c r="H697" i="13"/>
  <c r="M697" i="13" s="1"/>
  <c r="G11" i="5"/>
  <c r="C547" i="13"/>
  <c r="M547" i="13" s="1"/>
  <c r="C654" i="13"/>
  <c r="M654" i="13" s="1"/>
  <c r="X98" i="3"/>
  <c r="L956" i="13"/>
  <c r="K956" i="13"/>
  <c r="Z89" i="3"/>
  <c r="Z97" i="3" s="1"/>
  <c r="Z60" i="3"/>
  <c r="Y97" i="3"/>
  <c r="Y92" i="3"/>
  <c r="H12" i="18"/>
  <c r="J5" i="17"/>
  <c r="J31" i="5"/>
  <c r="H19" i="22" s="1"/>
  <c r="L187" i="2"/>
  <c r="K190" i="2"/>
  <c r="K185" i="2" s="1"/>
  <c r="Z98" i="3" l="1"/>
  <c r="Y98" i="3"/>
  <c r="M956" i="13"/>
  <c r="Z92" i="3"/>
  <c r="M187" i="2"/>
  <c r="L190" i="2"/>
  <c r="L185" i="2" s="1"/>
  <c r="I12" i="18"/>
  <c r="K5" i="17"/>
  <c r="K31" i="5"/>
  <c r="I19" i="22" s="1"/>
  <c r="N956" i="13" l="1"/>
  <c r="J12" i="18"/>
  <c r="L31" i="5"/>
  <c r="J19" i="22" s="1"/>
  <c r="M190" i="2"/>
  <c r="M185" i="2" s="1"/>
  <c r="N187" i="2"/>
  <c r="N190" i="2" l="1"/>
  <c r="N185" i="2" s="1"/>
  <c r="O187" i="2"/>
  <c r="O190" i="2" s="1"/>
  <c r="O185" i="2" s="1"/>
  <c r="K12" i="18"/>
  <c r="M31" i="5"/>
  <c r="M12" i="18" l="1"/>
  <c r="O31" i="5"/>
  <c r="L12" i="18"/>
  <c r="N31" i="5"/>
  <c r="E13" i="18"/>
  <c r="G4" i="17"/>
  <c r="E6" i="17"/>
  <c r="G11" i="17"/>
  <c r="H11" i="17" s="1"/>
  <c r="G13" i="17"/>
  <c r="G32" i="5"/>
  <c r="E27" i="22" s="1"/>
  <c r="I11" i="17" l="1"/>
  <c r="J11" i="17" l="1"/>
  <c r="K11" i="17" l="1"/>
  <c r="G103" i="2"/>
  <c r="G95" i="2" s="1"/>
  <c r="G83" i="2" s="1"/>
  <c r="G129" i="2" s="1"/>
  <c r="G172" i="2"/>
  <c r="G167" i="2" s="1"/>
  <c r="G166" i="2" l="1"/>
  <c r="G192" i="2" s="1"/>
  <c r="G28" i="5"/>
  <c r="J7" i="15" s="1"/>
  <c r="G132" i="2"/>
  <c r="H130" i="2" s="1"/>
  <c r="G138" i="2" l="1"/>
  <c r="E11" i="22"/>
  <c r="T6" i="3"/>
  <c r="T55" i="3"/>
  <c r="T301" i="3"/>
  <c r="T302" i="3" s="1"/>
  <c r="T303" i="3" s="1"/>
  <c r="T3" i="3" l="1"/>
  <c r="I4" i="19"/>
  <c r="O4" i="19" s="1"/>
  <c r="AO6" i="3"/>
  <c r="C1171" i="13" s="1"/>
  <c r="T171" i="3"/>
  <c r="T75" i="3"/>
  <c r="U301" i="3"/>
  <c r="U302" i="3" s="1"/>
  <c r="U303" i="3" s="1"/>
  <c r="T38" i="3"/>
  <c r="T81" i="3"/>
  <c r="U6" i="3"/>
  <c r="U55" i="3"/>
  <c r="T311" i="3"/>
  <c r="T78" i="3"/>
  <c r="T53" i="3"/>
  <c r="T56" i="3" s="1"/>
  <c r="T72" i="3"/>
  <c r="T33" i="3"/>
  <c r="T69" i="3"/>
  <c r="T40" i="3" l="1"/>
  <c r="I13" i="19"/>
  <c r="O13" i="19" s="1"/>
  <c r="L4" i="19"/>
  <c r="J4" i="19"/>
  <c r="AP6" i="3"/>
  <c r="U3" i="3"/>
  <c r="AO38" i="3"/>
  <c r="T177" i="3"/>
  <c r="U38" i="3"/>
  <c r="T41" i="3"/>
  <c r="Q63" i="19" s="1"/>
  <c r="L268" i="19" s="1"/>
  <c r="P63" i="19"/>
  <c r="K268" i="19" s="1"/>
  <c r="J13" i="19"/>
  <c r="U75" i="3"/>
  <c r="V302" i="3"/>
  <c r="AA302" i="3" s="1"/>
  <c r="AA311" i="3" s="1"/>
  <c r="U311" i="3"/>
  <c r="U33" i="3"/>
  <c r="U171" i="3"/>
  <c r="T382" i="3"/>
  <c r="T383" i="3" s="1"/>
  <c r="T48" i="3"/>
  <c r="AO48" i="3" s="1"/>
  <c r="T291" i="3"/>
  <c r="T292" i="3"/>
  <c r="T293" i="3" s="1"/>
  <c r="U72" i="3"/>
  <c r="U69" i="3"/>
  <c r="U53" i="3"/>
  <c r="U78" i="3"/>
  <c r="U81" i="3"/>
  <c r="L13" i="19" l="1"/>
  <c r="AP38" i="3"/>
  <c r="U40" i="3"/>
  <c r="U41" i="3"/>
  <c r="R63" i="19" s="1"/>
  <c r="M268" i="19" s="1"/>
  <c r="W99" i="3"/>
  <c r="AA303" i="3"/>
  <c r="V311" i="3"/>
  <c r="V303" i="3"/>
  <c r="U56" i="3"/>
  <c r="W56" i="3"/>
  <c r="T59" i="3"/>
  <c r="U39" i="3"/>
  <c r="U382" i="3"/>
  <c r="U383" i="3" s="1"/>
  <c r="U48" i="3"/>
  <c r="AP48" i="3" s="1"/>
  <c r="U177" i="3"/>
  <c r="U292" i="3"/>
  <c r="U293" i="3" s="1"/>
  <c r="U291" i="3"/>
  <c r="AO59" i="3" l="1"/>
  <c r="I14" i="19"/>
  <c r="O14" i="19" s="1"/>
  <c r="U59" i="3"/>
  <c r="X99" i="3"/>
  <c r="W102" i="3"/>
  <c r="T60" i="3"/>
  <c r="T89" i="3"/>
  <c r="AO89" i="3" s="1"/>
  <c r="I15" i="19" l="1"/>
  <c r="L14" i="19"/>
  <c r="J14" i="19"/>
  <c r="U89" i="3"/>
  <c r="AP89" i="3" s="1"/>
  <c r="AP59" i="3"/>
  <c r="K957" i="13"/>
  <c r="W103" i="3"/>
  <c r="Y99" i="3"/>
  <c r="X102" i="3"/>
  <c r="W107" i="19"/>
  <c r="Q62" i="19"/>
  <c r="L270" i="19" s="1"/>
  <c r="T97" i="3"/>
  <c r="T92" i="3"/>
  <c r="P62" i="19"/>
  <c r="K270" i="19" s="1"/>
  <c r="V107" i="19"/>
  <c r="U60" i="3"/>
  <c r="AO97" i="3" l="1"/>
  <c r="I17" i="19"/>
  <c r="L15" i="19"/>
  <c r="J15" i="19"/>
  <c r="T111" i="3"/>
  <c r="U92" i="3"/>
  <c r="U97" i="3"/>
  <c r="AP97" i="3" s="1"/>
  <c r="Y102" i="3"/>
  <c r="Z99" i="3"/>
  <c r="Z102" i="3" s="1"/>
  <c r="L957" i="13"/>
  <c r="X103" i="3"/>
  <c r="T102" i="3"/>
  <c r="I20" i="19" s="1"/>
  <c r="O20" i="19" s="1"/>
  <c r="I956" i="13"/>
  <c r="T98" i="3"/>
  <c r="I18" i="19" s="1"/>
  <c r="R62" i="19"/>
  <c r="M270" i="19" s="1"/>
  <c r="X107" i="19"/>
  <c r="L17" i="19" l="1"/>
  <c r="J17" i="19"/>
  <c r="L20" i="19"/>
  <c r="I21" i="19"/>
  <c r="I19" i="19"/>
  <c r="J20" i="19"/>
  <c r="J956" i="13"/>
  <c r="U111" i="3"/>
  <c r="T108" i="3"/>
  <c r="T109" i="3"/>
  <c r="N957" i="13"/>
  <c r="Z103" i="3"/>
  <c r="M957" i="13"/>
  <c r="Y103" i="3"/>
  <c r="T103" i="3"/>
  <c r="I957" i="13"/>
  <c r="U102" i="3"/>
  <c r="U98" i="3"/>
  <c r="L21" i="19" l="1"/>
  <c r="O21" i="19"/>
  <c r="L19" i="19"/>
  <c r="O19" i="19"/>
  <c r="U109" i="3"/>
  <c r="J19" i="19"/>
  <c r="J21" i="19"/>
  <c r="U108" i="3"/>
  <c r="W111" i="3"/>
  <c r="U103" i="3"/>
  <c r="J957" i="13"/>
  <c r="X111" i="3" l="1"/>
  <c r="W108" i="3"/>
  <c r="W109" i="3"/>
  <c r="Y111" i="3" l="1"/>
  <c r="X108" i="3"/>
  <c r="X109" i="3"/>
  <c r="Z111" i="3" l="1"/>
  <c r="Y108" i="3"/>
  <c r="Y109" i="3"/>
  <c r="Z108" i="3" l="1"/>
  <c r="Z109" i="3"/>
  <c r="F11" i="22" l="1"/>
  <c r="G11" i="22"/>
  <c r="H11" i="22"/>
  <c r="I11" i="22"/>
  <c r="J11" i="22"/>
  <c r="F27" i="22"/>
  <c r="G27" i="22"/>
  <c r="H27" i="22"/>
  <c r="I27" i="22"/>
  <c r="J27" i="22"/>
  <c r="H14" i="21"/>
  <c r="I14" i="21"/>
  <c r="J14" i="21"/>
  <c r="K14" i="21"/>
  <c r="L14" i="21"/>
  <c r="M14" i="21"/>
  <c r="N14" i="21"/>
  <c r="O14" i="21"/>
  <c r="H31" i="21"/>
  <c r="I31" i="21"/>
  <c r="J31" i="21"/>
  <c r="K31" i="21"/>
  <c r="L31" i="21"/>
  <c r="M31" i="21"/>
  <c r="N31" i="21"/>
  <c r="O31" i="21"/>
  <c r="F13" i="18"/>
  <c r="G13" i="18"/>
  <c r="H13" i="18"/>
  <c r="I13" i="18"/>
  <c r="J13" i="18"/>
  <c r="K13" i="18"/>
  <c r="L13" i="18"/>
  <c r="M13" i="18"/>
  <c r="H3" i="17"/>
  <c r="I3" i="17"/>
  <c r="J3" i="17"/>
  <c r="K3" i="17"/>
  <c r="H4" i="17"/>
  <c r="I4" i="17"/>
  <c r="J4" i="17"/>
  <c r="K4" i="17"/>
  <c r="F6" i="17"/>
  <c r="G6" i="17"/>
  <c r="H6" i="17"/>
  <c r="I6" i="17"/>
  <c r="J6" i="17"/>
  <c r="K6" i="17"/>
  <c r="H10" i="17"/>
  <c r="I10" i="17"/>
  <c r="J10" i="17"/>
  <c r="K10" i="17"/>
  <c r="H12" i="17"/>
  <c r="I12" i="17"/>
  <c r="J12" i="17"/>
  <c r="K12" i="17"/>
  <c r="H83" i="2"/>
  <c r="I83" i="2"/>
  <c r="J83" i="2"/>
  <c r="K83" i="2"/>
  <c r="L83" i="2"/>
  <c r="M83" i="2"/>
  <c r="N83" i="2"/>
  <c r="O83" i="2"/>
  <c r="H95" i="2"/>
  <c r="I95" i="2"/>
  <c r="J95" i="2"/>
  <c r="K95" i="2"/>
  <c r="L95" i="2"/>
  <c r="M95" i="2"/>
  <c r="N95" i="2"/>
  <c r="O95" i="2"/>
  <c r="H103" i="2"/>
  <c r="I103" i="2"/>
  <c r="J103" i="2"/>
  <c r="K103" i="2"/>
  <c r="L103" i="2"/>
  <c r="M103" i="2"/>
  <c r="N103" i="2"/>
  <c r="O103" i="2"/>
  <c r="H129" i="2"/>
  <c r="I129" i="2"/>
  <c r="J129" i="2"/>
  <c r="K129" i="2"/>
  <c r="L129" i="2"/>
  <c r="M129" i="2"/>
  <c r="N129" i="2"/>
  <c r="O129" i="2"/>
  <c r="I130" i="2"/>
  <c r="J130" i="2"/>
  <c r="K130" i="2"/>
  <c r="L130" i="2"/>
  <c r="M130" i="2"/>
  <c r="N130" i="2"/>
  <c r="O130" i="2"/>
  <c r="H132" i="2"/>
  <c r="I132" i="2"/>
  <c r="J132" i="2"/>
  <c r="K132" i="2"/>
  <c r="L132" i="2"/>
  <c r="M132" i="2"/>
  <c r="N132" i="2"/>
  <c r="O132" i="2"/>
  <c r="H138" i="2"/>
  <c r="I138" i="2"/>
  <c r="J138" i="2"/>
  <c r="K138" i="2"/>
  <c r="L138" i="2"/>
  <c r="M138" i="2"/>
  <c r="N138" i="2"/>
  <c r="O138" i="2"/>
  <c r="H142" i="2"/>
  <c r="I142" i="2"/>
  <c r="J142" i="2"/>
  <c r="K142" i="2"/>
  <c r="L142" i="2"/>
  <c r="M142" i="2"/>
  <c r="N142" i="2"/>
  <c r="O142" i="2"/>
  <c r="H143" i="2"/>
  <c r="I143" i="2"/>
  <c r="J143" i="2"/>
  <c r="K143" i="2"/>
  <c r="L143" i="2"/>
  <c r="M143" i="2"/>
  <c r="N143" i="2"/>
  <c r="O143" i="2"/>
  <c r="H144" i="2"/>
  <c r="I144" i="2"/>
  <c r="J144" i="2"/>
  <c r="K144" i="2"/>
  <c r="L144" i="2"/>
  <c r="M144" i="2"/>
  <c r="N144" i="2"/>
  <c r="O144" i="2"/>
  <c r="H145" i="2"/>
  <c r="I145" i="2"/>
  <c r="J145" i="2"/>
  <c r="K145" i="2"/>
  <c r="L145" i="2"/>
  <c r="M145" i="2"/>
  <c r="N145" i="2"/>
  <c r="O145" i="2"/>
  <c r="H166" i="2"/>
  <c r="I166" i="2"/>
  <c r="J166" i="2"/>
  <c r="K166" i="2"/>
  <c r="L166" i="2"/>
  <c r="M166" i="2"/>
  <c r="N166" i="2"/>
  <c r="O166" i="2"/>
  <c r="H167" i="2"/>
  <c r="I167" i="2"/>
  <c r="J167" i="2"/>
  <c r="K167" i="2"/>
  <c r="L167" i="2"/>
  <c r="M167" i="2"/>
  <c r="N167" i="2"/>
  <c r="O167" i="2"/>
  <c r="H172" i="2"/>
  <c r="I172" i="2"/>
  <c r="J172" i="2"/>
  <c r="K172" i="2"/>
  <c r="L172" i="2"/>
  <c r="M172" i="2"/>
  <c r="N172" i="2"/>
  <c r="O172" i="2"/>
  <c r="H174" i="2"/>
  <c r="I174" i="2"/>
  <c r="J174" i="2"/>
  <c r="K174" i="2"/>
  <c r="L174" i="2"/>
  <c r="M174" i="2"/>
  <c r="N174" i="2"/>
  <c r="O174" i="2"/>
  <c r="H192" i="2"/>
  <c r="I192" i="2"/>
  <c r="J192" i="2"/>
  <c r="K192" i="2"/>
  <c r="L192" i="2"/>
  <c r="M192" i="2"/>
  <c r="N192" i="2"/>
  <c r="O192" i="2"/>
  <c r="K7" i="15"/>
  <c r="L7" i="15"/>
  <c r="M7" i="15"/>
  <c r="H28" i="5"/>
  <c r="I28" i="5"/>
  <c r="J28" i="5"/>
  <c r="K28" i="5"/>
  <c r="L28" i="5"/>
  <c r="M28" i="5"/>
  <c r="N28" i="5"/>
  <c r="O28" i="5"/>
  <c r="H32" i="5"/>
  <c r="I32" i="5"/>
  <c r="J32" i="5"/>
  <c r="K32" i="5"/>
  <c r="L32" i="5"/>
  <c r="M32" i="5"/>
  <c r="N32" i="5"/>
  <c r="O3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Eduardo</author>
  </authors>
  <commentList>
    <comment ref="B45" authorId="0" shapeId="0" xr:uid="{32EC5B4A-54BC-49EA-B3A6-05D917DFB01C}">
      <text>
        <r>
          <rPr>
            <b/>
            <sz val="9"/>
            <color indexed="81"/>
            <rFont val="Tahoma"/>
            <family val="2"/>
          </rPr>
          <t>Eduardo:</t>
        </r>
        <r>
          <rPr>
            <sz val="9"/>
            <color indexed="81"/>
            <rFont val="Tahoma"/>
            <family val="2"/>
          </rPr>
          <t xml:space="preserve">
Finance costs with convertible instruments include fair value adjustments relating to the embedded derivative conversion feature, which are based upon subjective assumptions and do not reflect the cash cost of our convertible debt, and do not directly reflect how our business is performing at any particular time and the related expense adjustment amounts are not key measures of our core operating performance</t>
        </r>
      </text>
    </comment>
    <comment ref="B49" authorId="0" shapeId="0" xr:uid="{6D6EB172-801C-4BD6-8455-01DEB3CA3388}">
      <text>
        <r>
          <rPr>
            <b/>
            <sz val="9"/>
            <color indexed="81"/>
            <rFont val="Tahoma"/>
            <family val="2"/>
          </rPr>
          <t>Eduardo:</t>
        </r>
        <r>
          <rPr>
            <sz val="9"/>
            <color indexed="81"/>
            <rFont val="Tahoma"/>
            <family val="2"/>
          </rPr>
          <t xml:space="preserve">
In Brazil, the country that its most significant subsidiaries operate, income tax is comprised of IRPJ (income tax for companies)- 15% plus a surcharge of 10% on taxable income exceeding R$240 thousand per year
and CSLL (social contribution on profits) - 10%
</t>
        </r>
      </text>
    </comment>
    <comment ref="B51" authorId="0" shapeId="0" xr:uid="{0A1DC996-53D9-4834-998F-EEC776D104C8}">
      <text>
        <r>
          <rPr>
            <b/>
            <sz val="9"/>
            <color indexed="81"/>
            <rFont val="Tahoma"/>
            <family val="2"/>
          </rPr>
          <t>Eduardo:</t>
        </r>
        <r>
          <rPr>
            <sz val="9"/>
            <color indexed="81"/>
            <rFont val="Tahoma"/>
            <family val="2"/>
          </rPr>
          <t xml:space="preserve">
Deferred tax is calculated at the tax rates that are expected to apply in the period when the liability is settled, or the asset is realized based on rates enacted or substantively enacted at the balance sheet date. Deferred tax is charged or credited in the statement of profit or loss, except when it relates to items recognized in other comprehensive income or directly in equity, in which case the deferred tax is also recognized in other comprehensive income or directly in equity.</t>
        </r>
      </text>
    </comment>
    <comment ref="B53" authorId="0" shapeId="0" xr:uid="{BD2216AB-CA9E-4B2A-A109-CC7074ABC187}">
      <text>
        <r>
          <rPr>
            <b/>
            <sz val="9"/>
            <color indexed="81"/>
            <rFont val="Tahoma"/>
            <family val="2"/>
          </rPr>
          <t>Eduardo:</t>
        </r>
        <r>
          <rPr>
            <sz val="9"/>
            <color indexed="81"/>
            <rFont val="Tahoma"/>
            <family val="2"/>
          </rPr>
          <t xml:space="preserve">
Deferred tax is calculated at the tax rates that are expected to apply in the period when the liability is settled, or the asset is realized based on rates enacted or substantively enacted at the balance sheet date. Deferred tax is charged or credited in the statement of profit or loss, except when it relates to items recognized in other comprehensive income or directly in equity, in which case the deferred tax is also recognized in other comprehensive income or directly in equity.</t>
        </r>
      </text>
    </comment>
    <comment ref="B62" authorId="0" shapeId="0" xr:uid="{5EF860B8-78CB-4A56-A9D1-06454F2BD706}">
      <text>
        <r>
          <rPr>
            <b/>
            <sz val="9"/>
            <color indexed="81"/>
            <rFont val="Tahoma"/>
            <family val="2"/>
          </rPr>
          <t>Eduardo:</t>
        </r>
        <r>
          <rPr>
            <sz val="9"/>
            <color indexed="81"/>
            <rFont val="Tahoma"/>
            <family val="2"/>
          </rPr>
          <t xml:space="preserve">
Our Class A ordinary shares are entitled to one vote per share.</t>
        </r>
      </text>
    </comment>
    <comment ref="B63" authorId="0" shapeId="0" xr:uid="{9376613E-D09E-4BB7-BA6E-E34678A75903}">
      <text>
        <r>
          <rPr>
            <b/>
            <sz val="9"/>
            <color indexed="81"/>
            <rFont val="Tahoma"/>
            <family val="2"/>
          </rPr>
          <t>Eduardo:</t>
        </r>
        <r>
          <rPr>
            <sz val="9"/>
            <color indexed="81"/>
            <rFont val="Tahoma"/>
            <family val="2"/>
          </rPr>
          <t xml:space="preserve">
 Our Class B ordinary shares are entitled to 20 votes per share </t>
        </r>
      </text>
    </comment>
    <comment ref="B174" authorId="0" shapeId="0" xr:uid="{9339D1ED-8F08-4AC6-B0D7-802B555CACBD}">
      <text>
        <r>
          <rPr>
            <b/>
            <sz val="9"/>
            <color indexed="81"/>
            <rFont val="Tahoma"/>
            <family val="2"/>
          </rPr>
          <t>Eduardo:</t>
        </r>
        <r>
          <rPr>
            <sz val="9"/>
            <color indexed="81"/>
            <rFont val="Tahoma"/>
            <family val="2"/>
          </rPr>
          <t xml:space="preserve">
Corresponds to the amount payable to the Mastercard brand related to credit card transactions. This amount is settled according to the transaction installments, substantially in up to 27 days for Brazilian transactions with no installments and 1 business day for international transactions. Sales in installments (“parcelado”) have monthly settlements over a period of up to 12 months. For Mexican and Colombian operations, the amounts are settled in 1 business day.</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Eduardo</author>
  </authors>
  <commentList>
    <comment ref="B10" authorId="0" shapeId="0" xr:uid="{77FD3F08-AFA3-4392-9EAD-DCF75A590F54}">
      <text>
        <r>
          <rPr>
            <b/>
            <sz val="9"/>
            <color indexed="81"/>
            <rFont val="Tahoma"/>
            <family val="2"/>
          </rPr>
          <t>Eduardo:</t>
        </r>
        <r>
          <rPr>
            <sz val="9"/>
            <color indexed="81"/>
            <rFont val="Tahoma"/>
            <family val="2"/>
          </rPr>
          <t xml:space="preserve">
Tier I Capital: the sum of Common Equity Tier I, which consists of Paid In Capital, capital, reserves and retained earnings, less deductions, and prudential adjustments and the Additional Tier I, which consists of subordinated debt instruments without a defined maturity that meet eligibility requirements. It is important to note that Nu Financeira does not hold any debt eligible to Additional Tier I on the date of these consolidated financial statements</t>
        </r>
      </text>
    </comment>
    <comment ref="B24" authorId="0" shapeId="0" xr:uid="{00658E8C-9D20-4FC6-9E10-5CC68A6972B1}">
      <text>
        <r>
          <rPr>
            <b/>
            <sz val="9"/>
            <color indexed="81"/>
            <rFont val="Tahoma"/>
            <family val="2"/>
          </rPr>
          <t>Eduardo:</t>
        </r>
        <r>
          <rPr>
            <sz val="9"/>
            <color indexed="81"/>
            <rFont val="Tahoma"/>
            <family val="2"/>
          </rPr>
          <t xml:space="preserve">
Tier I Capital: the sum of Common Equity Tier I, which consists of Paid In Capital, capital, reserves and retained earnings, less deductions, and prudential adjustments and the Additional Tier I, which consists of subordinated debt instruments without a defined maturity that meet eligibility requirements. It is important to note that Nu Financeira does not hold any debt eligible to Additional Tier I on the date of these consolidated financial statements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Eduardo</author>
  </authors>
  <commentList>
    <comment ref="A9" authorId="0" shapeId="0" xr:uid="{FB8EDECB-92A0-4012-8DF7-F1816D8A383A}">
      <text>
        <r>
          <rPr>
            <b/>
            <sz val="9"/>
            <color indexed="81"/>
            <rFont val="Tahoma"/>
            <family val="2"/>
          </rPr>
          <t>Eduardo:</t>
        </r>
        <r>
          <rPr>
            <sz val="9"/>
            <color indexed="81"/>
            <rFont val="Tahoma"/>
            <family val="2"/>
          </rPr>
          <t xml:space="preserve">
We define a monthly active customer as any customer that has generated revenue in the last 30 calendar days of the measurement period</t>
        </r>
      </text>
    </comment>
    <comment ref="A16" authorId="0" shapeId="0" xr:uid="{4B43855C-33C6-4632-98D7-967D713652D5}">
      <text>
        <r>
          <rPr>
            <b/>
            <sz val="9"/>
            <color indexed="81"/>
            <rFont val="Tahoma"/>
            <family val="2"/>
          </rPr>
          <t>Eduardo:</t>
        </r>
        <r>
          <rPr>
            <sz val="9"/>
            <color indexed="81"/>
            <rFont val="Tahoma"/>
            <family val="2"/>
          </rPr>
          <t xml:space="preserve">
we define activity rate as monthly active customers divided by the total number of customers as of a specific date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Eduardo</author>
  </authors>
  <commentList>
    <comment ref="B181" authorId="0" shapeId="0" xr:uid="{7727E261-14B1-41A8-92AC-AC04B8F39E39}">
      <text>
        <r>
          <rPr>
            <b/>
            <sz val="9"/>
            <color indexed="81"/>
            <rFont val="Tahoma"/>
            <family val="2"/>
          </rPr>
          <t>Eduardo:</t>
        </r>
        <r>
          <rPr>
            <sz val="9"/>
            <color indexed="81"/>
            <rFont val="Tahoma"/>
            <family val="2"/>
          </rPr>
          <t xml:space="preserve">
printing and shipping of a card, credit data costs (primarily consisting of credit bureau costs) and paid marketing.</t>
        </r>
      </text>
    </comment>
    <comment ref="B443" authorId="0" shapeId="0" xr:uid="{41395621-1FE7-4CDB-B132-B1BDECE51E05}">
      <text>
        <r>
          <rPr>
            <b/>
            <sz val="9"/>
            <color indexed="81"/>
            <rFont val="Tahoma"/>
            <family val="2"/>
          </rPr>
          <t>Eduardo:</t>
        </r>
        <r>
          <rPr>
            <sz val="9"/>
            <color indexed="81"/>
            <rFont val="Tahoma"/>
            <family val="2"/>
          </rPr>
          <t xml:space="preserve">
F1 document</t>
        </r>
      </text>
    </comment>
    <comment ref="B450" authorId="0" shapeId="0" xr:uid="{868FD03A-8A1D-4B4A-ACFF-B43098CAFF0A}">
      <text>
        <r>
          <rPr>
            <b/>
            <sz val="9"/>
            <color indexed="81"/>
            <rFont val="Tahoma"/>
            <family val="2"/>
          </rPr>
          <t>Eduardo:</t>
        </r>
        <r>
          <rPr>
            <sz val="9"/>
            <color indexed="81"/>
            <rFont val="Tahoma"/>
            <family val="2"/>
          </rPr>
          <t xml:space="preserve">
Assuming the requirement is for credit transactions</t>
        </r>
      </text>
    </comment>
    <comment ref="B451" authorId="0" shapeId="0" xr:uid="{1C4A5097-0218-4659-A1D7-AA68ABFE9835}">
      <text>
        <r>
          <rPr>
            <b/>
            <sz val="9"/>
            <color indexed="81"/>
            <rFont val="Tahoma"/>
            <family val="2"/>
          </rPr>
          <t>Eduardo:</t>
        </r>
        <r>
          <rPr>
            <sz val="9"/>
            <color indexed="81"/>
            <rFont val="Tahoma"/>
            <family val="2"/>
          </rPr>
          <t xml:space="preserve">
F1 document</t>
        </r>
      </text>
    </comment>
    <comment ref="B461" authorId="0" shapeId="0" xr:uid="{89C57275-A8C3-473C-ACD5-F3F67553C2DC}">
      <text>
        <r>
          <rPr>
            <b/>
            <sz val="9"/>
            <color indexed="81"/>
            <rFont val="Tahoma"/>
            <family val="2"/>
          </rPr>
          <t>Eduardo:</t>
        </r>
        <r>
          <rPr>
            <sz val="9"/>
            <color indexed="81"/>
            <rFont val="Tahoma"/>
            <family val="2"/>
          </rPr>
          <t xml:space="preserve">
3Q21 to 3Q20 credit TPV</t>
        </r>
      </text>
    </comment>
    <comment ref="B465" authorId="0" shapeId="0" xr:uid="{0806C3D5-0359-4ECC-9656-0659CA05AB42}">
      <text>
        <r>
          <rPr>
            <b/>
            <sz val="9"/>
            <color indexed="81"/>
            <rFont val="Tahoma"/>
            <family val="2"/>
          </rPr>
          <t>Eduardo:</t>
        </r>
        <r>
          <rPr>
            <sz val="9"/>
            <color indexed="81"/>
            <rFont val="Tahoma"/>
            <family val="2"/>
          </rPr>
          <t xml:space="preserve">
Assuming the requirement is for credit transactions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Eduardo</author>
  </authors>
  <commentList>
    <comment ref="A8" authorId="0" shapeId="0" xr:uid="{B64CB894-CB62-48A2-9ED6-09FD155D465C}">
      <text>
        <r>
          <rPr>
            <b/>
            <sz val="9"/>
            <color indexed="81"/>
            <rFont val="Tahoma"/>
            <family val="2"/>
          </rPr>
          <t>Eduardo:</t>
        </r>
        <r>
          <rPr>
            <sz val="9"/>
            <color indexed="81"/>
            <rFont val="Tahoma"/>
            <family val="2"/>
          </rPr>
          <t xml:space="preserve">
Revolving and Instalments</t>
        </r>
      </text>
    </comment>
    <comment ref="E29" authorId="0" shapeId="0" xr:uid="{C60FC19F-EBC9-41B7-B79B-C3AB7F54804F}">
      <text>
        <r>
          <rPr>
            <b/>
            <sz val="9"/>
            <color indexed="81"/>
            <rFont val="Tahoma"/>
            <family val="2"/>
          </rPr>
          <t>Eduardo:</t>
        </r>
        <r>
          <rPr>
            <sz val="9"/>
            <color indexed="81"/>
            <rFont val="Tahoma"/>
            <family val="2"/>
          </rPr>
          <t xml:space="preserve">
From Valor economico article</t>
        </r>
      </text>
    </comment>
    <comment ref="A33" authorId="0" shapeId="0" xr:uid="{4A3A0B21-C5D7-49DE-8B38-845BD304CF71}">
      <text>
        <r>
          <rPr>
            <b/>
            <sz val="9"/>
            <color indexed="81"/>
            <rFont val="Tahoma"/>
            <family val="2"/>
          </rPr>
          <t>Eduardo:</t>
        </r>
        <r>
          <rPr>
            <sz val="9"/>
            <color indexed="81"/>
            <rFont val="Tahoma"/>
            <family val="2"/>
          </rPr>
          <t xml:space="preserve">
Growing with active clients growth rate</t>
        </r>
      </text>
    </comment>
    <comment ref="A73" authorId="0" shapeId="0" xr:uid="{5EE284BF-1AF9-42DB-9BE9-5DF7D7A197F4}">
      <text>
        <r>
          <rPr>
            <b/>
            <sz val="9"/>
            <color indexed="81"/>
            <rFont val="Tahoma"/>
            <family val="2"/>
          </rPr>
          <t>Eduardo:</t>
        </r>
        <r>
          <rPr>
            <sz val="9"/>
            <color indexed="81"/>
            <rFont val="Tahoma"/>
            <family val="2"/>
          </rPr>
          <t xml:space="preserve">
Growing with active clients growth rate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Eduardo</author>
  </authors>
  <commentList>
    <comment ref="B336" authorId="0" shapeId="0" xr:uid="{145153BE-9145-4F83-A1E7-7592E863A81F}">
      <text>
        <r>
          <rPr>
            <b/>
            <sz val="9"/>
            <color indexed="81"/>
            <rFont val="Tahoma"/>
            <family val="2"/>
          </rPr>
          <t>Eduardo:</t>
        </r>
        <r>
          <rPr>
            <sz val="9"/>
            <color indexed="81"/>
            <rFont val="Tahoma"/>
            <family val="2"/>
          </rPr>
          <t xml:space="preserve">
for Q1 22:
2%* X + 98%*Y = 3.7% - Constant mix
21%*X + 79%*Y = 4.2% - Actual mix</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Soomit Datta</author>
  </authors>
  <commentList>
    <comment ref="J381" authorId="0" shapeId="0" xr:uid="{DDC4157F-4639-431D-955C-E6426536C970}">
      <text>
        <r>
          <rPr>
            <b/>
            <sz val="9"/>
            <color indexed="81"/>
            <rFont val="Tahoma"/>
            <family val="2"/>
          </rPr>
          <t>Soomit Datta:</t>
        </r>
        <r>
          <rPr>
            <sz val="9"/>
            <color indexed="81"/>
            <rFont val="Tahoma"/>
            <family val="2"/>
          </rPr>
          <t xml:space="preserve">
stripping out one-time non cash recognition of 2021 CSA termination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Eduardo</author>
    <author>Soomit Datta</author>
  </authors>
  <commentList>
    <comment ref="A16" authorId="0" shapeId="0" xr:uid="{936BA910-BCCE-4DAA-9AF2-4B2C6F6D7806}">
      <text>
        <r>
          <rPr>
            <b/>
            <sz val="9"/>
            <color indexed="81"/>
            <rFont val="Tahoma"/>
            <family val="2"/>
          </rPr>
          <t>Eduardo:</t>
        </r>
        <r>
          <rPr>
            <sz val="9"/>
            <color indexed="81"/>
            <rFont val="Tahoma"/>
            <family val="2"/>
          </rPr>
          <t xml:space="preserve">
We define a monthly active customer as any customer that has generated revenue in the last 30 calendar days of the measurement period</t>
        </r>
      </text>
    </comment>
    <comment ref="A69" authorId="0" shapeId="0" xr:uid="{720BC07D-0DD8-428C-B3A7-FE430C399E67}">
      <text>
        <r>
          <rPr>
            <b/>
            <sz val="9"/>
            <color indexed="81"/>
            <rFont val="Tahoma"/>
            <family val="2"/>
          </rPr>
          <t>Eduardo:</t>
        </r>
        <r>
          <rPr>
            <sz val="9"/>
            <color indexed="81"/>
            <rFont val="Tahoma"/>
            <family val="2"/>
          </rPr>
          <t xml:space="preserve">
https://population.un.org/wpp/Download/Standard/Population/</t>
        </r>
      </text>
    </comment>
    <comment ref="A71" authorId="0" shapeId="0" xr:uid="{1FDA4053-56FB-49DA-953E-C6A3641EB519}">
      <text>
        <r>
          <rPr>
            <b/>
            <sz val="9"/>
            <color indexed="81"/>
            <rFont val="Tahoma"/>
            <family val="2"/>
          </rPr>
          <t>Eduardo:</t>
        </r>
        <r>
          <rPr>
            <sz val="9"/>
            <color indexed="81"/>
            <rFont val="Tahoma"/>
            <family val="2"/>
          </rPr>
          <t xml:space="preserve">
Statista
</t>
        </r>
      </text>
    </comment>
    <comment ref="A122" authorId="0" shapeId="0" xr:uid="{7A68F3F8-AE8F-402A-87C7-AF2FBB717A07}">
      <text>
        <r>
          <rPr>
            <b/>
            <sz val="9"/>
            <color indexed="81"/>
            <rFont val="Tahoma"/>
            <family val="2"/>
          </rPr>
          <t>Eduardo:</t>
        </r>
        <r>
          <rPr>
            <sz val="9"/>
            <color indexed="81"/>
            <rFont val="Tahoma"/>
            <family val="2"/>
          </rPr>
          <t xml:space="preserve">
https://population.un.org/wpp/Download/Standard/Population/</t>
        </r>
      </text>
    </comment>
    <comment ref="A123" authorId="0" shapeId="0" xr:uid="{0FE806B3-B139-4677-B98C-EA5A25DB2A26}">
      <text>
        <r>
          <rPr>
            <b/>
            <sz val="9"/>
            <color indexed="81"/>
            <rFont val="Tahoma"/>
            <family val="2"/>
          </rPr>
          <t>Eduardo:</t>
        </r>
        <r>
          <rPr>
            <sz val="9"/>
            <color indexed="81"/>
            <rFont val="Tahoma"/>
            <family val="2"/>
          </rPr>
          <t xml:space="preserve">
https://www.gob.mx/cms/uploads/attachment/file/581089/Panorama_IF_2020.pdf</t>
        </r>
      </text>
    </comment>
    <comment ref="A124" authorId="0" shapeId="0" xr:uid="{5241AF30-C7A5-4F22-8287-771F76900519}">
      <text>
        <r>
          <rPr>
            <b/>
            <sz val="9"/>
            <color indexed="81"/>
            <rFont val="Tahoma"/>
            <family val="2"/>
          </rPr>
          <t>Eduardo:</t>
        </r>
        <r>
          <rPr>
            <sz val="9"/>
            <color indexed="81"/>
            <rFont val="Tahoma"/>
            <family val="2"/>
          </rPr>
          <t xml:space="preserve">
Statista
</t>
        </r>
      </text>
    </comment>
    <comment ref="E124" authorId="0" shapeId="0" xr:uid="{62DDB489-8460-447B-A5DB-8F2FD8355CDC}">
      <text>
        <r>
          <rPr>
            <b/>
            <sz val="9"/>
            <color indexed="81"/>
            <rFont val="Tahoma"/>
            <family val="2"/>
          </rPr>
          <t>Eduardo:</t>
        </r>
        <r>
          <rPr>
            <sz val="9"/>
            <color indexed="81"/>
            <rFont val="Tahoma"/>
            <family val="2"/>
          </rPr>
          <t xml:space="preserve">
My esttimate</t>
        </r>
      </text>
    </comment>
    <comment ref="A153" authorId="0" shapeId="0" xr:uid="{FDF69592-0F4F-45C8-ADCA-4D8AB8C3E463}">
      <text>
        <r>
          <rPr>
            <b/>
            <sz val="9"/>
            <color indexed="81"/>
            <rFont val="Tahoma"/>
            <family val="2"/>
          </rPr>
          <t>Eduardo:</t>
        </r>
        <r>
          <rPr>
            <sz val="9"/>
            <color indexed="81"/>
            <rFont val="Tahoma"/>
            <family val="2"/>
          </rPr>
          <t xml:space="preserve">
https://population.un.org/wpp/Download/Standard/Population/</t>
        </r>
      </text>
    </comment>
    <comment ref="A154" authorId="0" shapeId="0" xr:uid="{CF425D06-8181-476E-B598-A56ED0EA1B5E}">
      <text>
        <r>
          <rPr>
            <b/>
            <sz val="9"/>
            <color indexed="81"/>
            <rFont val="Tahoma"/>
            <family val="2"/>
          </rPr>
          <t>Eduardo:</t>
        </r>
        <r>
          <rPr>
            <sz val="9"/>
            <color indexed="81"/>
            <rFont val="Tahoma"/>
            <family val="2"/>
          </rPr>
          <t xml:space="preserve">
https://www.asobancaria.com/informe-tarjetas-credito/</t>
        </r>
      </text>
    </comment>
    <comment ref="A155" authorId="0" shapeId="0" xr:uid="{DAC27486-07BF-4BBD-AD18-D373FBD0F05F}">
      <text>
        <r>
          <rPr>
            <b/>
            <sz val="9"/>
            <color indexed="81"/>
            <rFont val="Tahoma"/>
            <family val="2"/>
          </rPr>
          <t>Eduardo:</t>
        </r>
        <r>
          <rPr>
            <sz val="9"/>
            <color indexed="81"/>
            <rFont val="Tahoma"/>
            <family val="2"/>
          </rPr>
          <t xml:space="preserve">
Statista
</t>
        </r>
      </text>
    </comment>
    <comment ref="E155" authorId="0" shapeId="0" xr:uid="{5C58071B-5ADA-4156-B442-409EEDDD28E5}">
      <text>
        <r>
          <rPr>
            <b/>
            <sz val="9"/>
            <color indexed="81"/>
            <rFont val="Tahoma"/>
            <family val="2"/>
          </rPr>
          <t>Eduardo:</t>
        </r>
        <r>
          <rPr>
            <sz val="9"/>
            <color indexed="81"/>
            <rFont val="Tahoma"/>
            <family val="2"/>
          </rPr>
          <t xml:space="preserve">
My esttimate</t>
        </r>
      </text>
    </comment>
    <comment ref="A185" authorId="0" shapeId="0" xr:uid="{0AF4B90E-51D0-4F52-BD2D-F8FE7C7AD3A4}">
      <text>
        <r>
          <rPr>
            <b/>
            <sz val="9"/>
            <color indexed="81"/>
            <rFont val="Tahoma"/>
            <family val="2"/>
          </rPr>
          <t>Eduardo:</t>
        </r>
        <r>
          <rPr>
            <sz val="9"/>
            <color indexed="81"/>
            <rFont val="Tahoma"/>
            <family val="2"/>
          </rPr>
          <t xml:space="preserve">
Purchase volume is defined as the total value of transactions that are authorized through our credit and debit cards only; it does not include other payment methods that we offer such as PIX, a payment system that allows real-time payments and transfers launched by the Central Bank of Brazil, WhatsApp payments or traditional wire transfers.</t>
        </r>
      </text>
    </comment>
    <comment ref="A211" authorId="0" shapeId="0" xr:uid="{32986A07-3411-482E-995D-18BCD3916897}">
      <text>
        <r>
          <rPr>
            <b/>
            <sz val="9"/>
            <color indexed="81"/>
            <rFont val="Tahoma"/>
            <family val="2"/>
          </rPr>
          <t>Eduardo:</t>
        </r>
        <r>
          <rPr>
            <sz val="9"/>
            <color indexed="81"/>
            <rFont val="Tahoma"/>
            <family val="2"/>
          </rPr>
          <t xml:space="preserve">
Brazilian central bank</t>
        </r>
      </text>
    </comment>
    <comment ref="E244" authorId="0" shapeId="0" xr:uid="{F0126FDF-C6BF-4D60-9C88-91A339F2DA66}">
      <text>
        <r>
          <rPr>
            <b/>
            <sz val="9"/>
            <color indexed="81"/>
            <rFont val="Tahoma"/>
            <family val="2"/>
          </rPr>
          <t>Eduardo:</t>
        </r>
        <r>
          <rPr>
            <sz val="9"/>
            <color indexed="81"/>
            <rFont val="Tahoma"/>
            <family val="2"/>
          </rPr>
          <t xml:space="preserve">
From F1 document</t>
        </r>
      </text>
    </comment>
    <comment ref="A248" authorId="0" shapeId="0" xr:uid="{2E7E08B5-65E3-4D05-BC82-C0F10A54E208}">
      <text>
        <r>
          <rPr>
            <b/>
            <sz val="9"/>
            <color indexed="81"/>
            <rFont val="Tahoma"/>
            <family val="2"/>
          </rPr>
          <t>Eduardo:</t>
        </r>
        <r>
          <rPr>
            <sz val="9"/>
            <color indexed="81"/>
            <rFont val="Tahoma"/>
            <family val="2"/>
          </rPr>
          <t xml:space="preserve">
Maximum of 1.91% for credit according to the Banco de Mexico (March 11 of 2021)</t>
        </r>
      </text>
    </comment>
    <comment ref="A249" authorId="0" shapeId="0" xr:uid="{AF5A39CB-5C18-49B5-A491-79DA6C9852F7}">
      <text>
        <r>
          <rPr>
            <b/>
            <sz val="9"/>
            <color indexed="81"/>
            <rFont val="Tahoma"/>
            <family val="2"/>
          </rPr>
          <t>Eduardo:</t>
        </r>
        <r>
          <rPr>
            <sz val="9"/>
            <color indexed="81"/>
            <rFont val="Tahoma"/>
            <family val="2"/>
          </rPr>
          <t xml:space="preserve">
Maximum of 1.15% for credit according to the Banco de Mexico</t>
        </r>
      </text>
    </comment>
    <comment ref="A265" authorId="0" shapeId="0" xr:uid="{43F42638-5B1C-45FF-B091-536F64830681}">
      <text>
        <r>
          <rPr>
            <b/>
            <sz val="9"/>
            <color indexed="81"/>
            <rFont val="Tahoma"/>
            <family val="2"/>
          </rPr>
          <t>Eduardo:</t>
        </r>
        <r>
          <rPr>
            <sz val="9"/>
            <color indexed="81"/>
            <rFont val="Tahoma"/>
            <family val="2"/>
          </rPr>
          <t xml:space="preserve">
https://repositorio.banrep.gov.co/bitstream/handle/20.500.12134/10029/reporte-sistemas-de-pago-2019-ingles.pdf</t>
        </r>
      </text>
    </comment>
    <comment ref="F318" authorId="1" shapeId="0" xr:uid="{473E0BE6-8623-4417-9A9D-E78ABB94565C}">
      <text>
        <r>
          <rPr>
            <b/>
            <sz val="9"/>
            <color indexed="81"/>
            <rFont val="Tahoma"/>
            <family val="2"/>
          </rPr>
          <t>Soomit Datta:</t>
        </r>
        <r>
          <rPr>
            <sz val="9"/>
            <color indexed="81"/>
            <rFont val="Tahoma"/>
            <family val="2"/>
          </rPr>
          <t xml:space="preserve">
Inter Q3 21 12m rolling</t>
        </r>
      </text>
    </comment>
    <comment ref="A389" authorId="0" shapeId="0" xr:uid="{49074EFB-9083-4AA7-8E5D-DC5E6C61A4A0}">
      <text>
        <r>
          <rPr>
            <b/>
            <sz val="9"/>
            <color indexed="81"/>
            <rFont val="Tahoma"/>
            <family val="2"/>
          </rPr>
          <t>Eduardo:</t>
        </r>
        <r>
          <rPr>
            <sz val="9"/>
            <color indexed="81"/>
            <rFont val="Tahoma"/>
            <family val="2"/>
          </rPr>
          <t xml:space="preserve">
2020 PT document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Eduardo</author>
  </authors>
  <commentList>
    <comment ref="B42" authorId="0" shapeId="0" xr:uid="{EE026BD8-FF8F-4187-B044-9FA266B9CFDD}">
      <text>
        <r>
          <rPr>
            <b/>
            <sz val="9"/>
            <color indexed="81"/>
            <rFont val="Tahoma"/>
            <family val="2"/>
          </rPr>
          <t>Eduardo:</t>
        </r>
        <r>
          <rPr>
            <sz val="9"/>
            <color indexed="81"/>
            <rFont val="Tahoma"/>
            <family val="2"/>
          </rPr>
          <t xml:space="preserve">
(Total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Eduardo</author>
  </authors>
  <commentList>
    <comment ref="A5" authorId="0" shapeId="0" xr:uid="{F96487CF-1A16-40A0-B049-C241A6B5AD62}">
      <text>
        <r>
          <rPr>
            <b/>
            <sz val="9"/>
            <color indexed="81"/>
            <rFont val="Tahoma"/>
            <family val="2"/>
          </rPr>
          <t>Eduardo:</t>
        </r>
        <r>
          <rPr>
            <sz val="9"/>
            <color indexed="81"/>
            <rFont val="Tahoma"/>
            <family val="2"/>
          </rPr>
          <t xml:space="preserve">
8100 in Q3 2021</t>
        </r>
      </text>
    </comment>
    <comment ref="A22" authorId="0" shapeId="0" xr:uid="{7B4B4E6B-A281-47E6-A0AE-4AC01E73240A}">
      <text>
        <r>
          <rPr>
            <b/>
            <sz val="9"/>
            <color indexed="81"/>
            <rFont val="Tahoma"/>
            <family val="2"/>
          </rPr>
          <t>Eduardo:</t>
        </r>
        <r>
          <rPr>
            <sz val="9"/>
            <color indexed="81"/>
            <rFont val="Tahoma"/>
            <family val="2"/>
          </rPr>
          <t xml:space="preserve">
8100 in Q3 2021</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Eduardo</author>
  </authors>
  <commentList>
    <comment ref="A3" authorId="0" shapeId="0" xr:uid="{9220D41E-B294-4A5A-BC06-51DE84F4EF37}">
      <text>
        <r>
          <rPr>
            <b/>
            <sz val="9"/>
            <color indexed="81"/>
            <rFont val="Tahoma"/>
            <family val="2"/>
          </rPr>
          <t>Eduardo:</t>
        </r>
        <r>
          <rPr>
            <sz val="9"/>
            <color indexed="81"/>
            <rFont val="Tahoma"/>
            <family val="2"/>
          </rPr>
          <t xml:space="preserve">
PAGS and DLO report gross, so select a gross and net. Others report net</t>
        </r>
      </text>
    </comment>
  </commentList>
</comments>
</file>

<file path=xl/sharedStrings.xml><?xml version="1.0" encoding="utf-8"?>
<sst xmlns="http://schemas.openxmlformats.org/spreadsheetml/2006/main" count="3295" uniqueCount="1821">
  <si>
    <t>Soomit Datta</t>
  </si>
  <si>
    <t>New Street Research</t>
  </si>
  <si>
    <t xml:space="preserve">+44 20 7375 9128 </t>
  </si>
  <si>
    <t>soomit@newstreetresearch.com</t>
  </si>
  <si>
    <t>Ticker</t>
  </si>
  <si>
    <t>Rating</t>
  </si>
  <si>
    <t>Target Price</t>
  </si>
  <si>
    <t>Actual</t>
  </si>
  <si>
    <t>Estimate</t>
  </si>
  <si>
    <t>Income Statement</t>
  </si>
  <si>
    <t>% of Revenue</t>
  </si>
  <si>
    <t>Gross profit from financial intermediation</t>
  </si>
  <si>
    <t>Income Before Taxes and Profit Sharing</t>
  </si>
  <si>
    <t>Effective tax rate</t>
  </si>
  <si>
    <t>Net Income</t>
  </si>
  <si>
    <t>Basic shares outstanding</t>
  </si>
  <si>
    <t>Weighted average shares</t>
  </si>
  <si>
    <t>Basic EPS</t>
  </si>
  <si>
    <t>Diluted EPS</t>
  </si>
  <si>
    <t>Basic DPS</t>
  </si>
  <si>
    <t>Diluted DPS</t>
  </si>
  <si>
    <t>Cash Flow</t>
  </si>
  <si>
    <t>Operational activities</t>
  </si>
  <si>
    <t>Net cash used in operating activities</t>
  </si>
  <si>
    <t>Net income</t>
  </si>
  <si>
    <t>Deferred taxes</t>
  </si>
  <si>
    <t>Depreciation and amortization</t>
  </si>
  <si>
    <t>Change in assets and liabilities</t>
  </si>
  <si>
    <t>Net cash used in investment activities</t>
  </si>
  <si>
    <t>Acquisition of intangible assets</t>
  </si>
  <si>
    <t>Net cash from financing activities</t>
  </si>
  <si>
    <t>Capital increase</t>
  </si>
  <si>
    <t>Increase / decrease in cash and cash equivalents</t>
  </si>
  <si>
    <t>Effect of exchange rate variation on cash and cash equivalents</t>
  </si>
  <si>
    <t>Cash and cash equivalents at beginning of period</t>
  </si>
  <si>
    <t>Cash and cash equivalents at end of period</t>
  </si>
  <si>
    <t>Check</t>
  </si>
  <si>
    <t>Balance Sheet</t>
  </si>
  <si>
    <t>Total assets</t>
  </si>
  <si>
    <t>Total current assets</t>
  </si>
  <si>
    <t>Excess Cash</t>
  </si>
  <si>
    <t>Cash and cash equivalents</t>
  </si>
  <si>
    <t>Derivative financial instruments</t>
  </si>
  <si>
    <t>Intangible assets</t>
  </si>
  <si>
    <t>Other assets</t>
  </si>
  <si>
    <t>Total liabilities and shareholders' equity</t>
  </si>
  <si>
    <t>Total liabilities</t>
  </si>
  <si>
    <t>Deposits</t>
  </si>
  <si>
    <t>Other liabilities</t>
  </si>
  <si>
    <t>Total shareholders' equity</t>
  </si>
  <si>
    <t>Share capital</t>
  </si>
  <si>
    <t>3Q20</t>
  </si>
  <si>
    <t>4Q20</t>
  </si>
  <si>
    <t>1Q21</t>
  </si>
  <si>
    <t>2Q21</t>
  </si>
  <si>
    <t>3Q21</t>
  </si>
  <si>
    <t>4Q21</t>
  </si>
  <si>
    <t>1Q22</t>
  </si>
  <si>
    <t>2Q22</t>
  </si>
  <si>
    <t>3Q22</t>
  </si>
  <si>
    <t>4Q22</t>
  </si>
  <si>
    <t>1Q23</t>
  </si>
  <si>
    <t>2Q23</t>
  </si>
  <si>
    <t>3Q23</t>
  </si>
  <si>
    <t>4Q23</t>
  </si>
  <si>
    <t>CDI</t>
  </si>
  <si>
    <t>Metric</t>
  </si>
  <si>
    <t>Forecast</t>
  </si>
  <si>
    <t>Multiple</t>
  </si>
  <si>
    <t>100% EV</t>
  </si>
  <si>
    <t>% of EV</t>
  </si>
  <si>
    <t>DCF</t>
  </si>
  <si>
    <t>Total value</t>
  </si>
  <si>
    <t>SHOUT, millions</t>
  </si>
  <si>
    <t>Equity (market capitalisation)</t>
  </si>
  <si>
    <t>Value per share</t>
  </si>
  <si>
    <t>Price</t>
  </si>
  <si>
    <t>Upside</t>
  </si>
  <si>
    <t>Equity</t>
  </si>
  <si>
    <t>Associate</t>
  </si>
  <si>
    <t>Cumulative dividend</t>
  </si>
  <si>
    <t>EV</t>
  </si>
  <si>
    <t>Market cap</t>
  </si>
  <si>
    <t>EV/Revenue</t>
  </si>
  <si>
    <t>P/E</t>
  </si>
  <si>
    <t>WACC</t>
  </si>
  <si>
    <t>TV</t>
  </si>
  <si>
    <t>Interest income and gains (losses) on financial instruments</t>
  </si>
  <si>
    <t>Fee and commission income</t>
  </si>
  <si>
    <t>Interest and other financial expenses</t>
  </si>
  <si>
    <t>Credit loss allowance expenses</t>
  </si>
  <si>
    <t>Total cost of financial and transactional services provided</t>
  </si>
  <si>
    <t>Operating Expenses</t>
  </si>
  <si>
    <t>Customer support and operations</t>
  </si>
  <si>
    <t>General and administrative expenses</t>
  </si>
  <si>
    <t>Marketing expenses</t>
  </si>
  <si>
    <t>Other income (expenses)</t>
  </si>
  <si>
    <t>Total operating expenses</t>
  </si>
  <si>
    <t>Finance costs – results with convertible instruments</t>
  </si>
  <si>
    <t>Current taxes</t>
  </si>
  <si>
    <t>Financial assets at fair value through profit or loss</t>
  </si>
  <si>
    <t>Securities</t>
  </si>
  <si>
    <t>Collateral for credit card operations</t>
  </si>
  <si>
    <t>Financial assets at fair value through other comprehensive income</t>
  </si>
  <si>
    <t>Financial assets at amortized cost</t>
  </si>
  <si>
    <t>Compulsory deposits at central banks</t>
  </si>
  <si>
    <t>Credit card receivables</t>
  </si>
  <si>
    <t>Loans to customers</t>
  </si>
  <si>
    <t>Interbank transactions</t>
  </si>
  <si>
    <t>Other financial assets at amortized cost</t>
  </si>
  <si>
    <t>Deferred tax assets</t>
  </si>
  <si>
    <t>Right-of-use assets</t>
  </si>
  <si>
    <t>Property, plant and equipment</t>
  </si>
  <si>
    <t>Goodwill</t>
  </si>
  <si>
    <t>Financial liabilities at fair value through profit or loss</t>
  </si>
  <si>
    <t>Instruments eligible as capital</t>
  </si>
  <si>
    <t>Financial liabilities at amortized cost</t>
  </si>
  <si>
    <t>Payables to credit card network</t>
  </si>
  <si>
    <t>Borrowings and financing</t>
  </si>
  <si>
    <t>Securitized borrowings</t>
  </si>
  <si>
    <t>Senior preferred shares</t>
  </si>
  <si>
    <t>Salaries, allowances and social security contributions</t>
  </si>
  <si>
    <t>Tax liabilities</t>
  </si>
  <si>
    <t>Lease liabilities</t>
  </si>
  <si>
    <t>Provision for lawsuits and administrative proceedings</t>
  </si>
  <si>
    <t>Deferred income</t>
  </si>
  <si>
    <t>Deferred tax liabilities</t>
  </si>
  <si>
    <t>Share premium reserve</t>
  </si>
  <si>
    <t>Accumulated gains (losses)</t>
  </si>
  <si>
    <t>Other comprehensive income/loss</t>
  </si>
  <si>
    <t>Equity attributable to controlling shareholders of the parent company</t>
  </si>
  <si>
    <t>Equity attributable to non-controlling interest</t>
  </si>
  <si>
    <t>Nubank</t>
  </si>
  <si>
    <t>Total Revenue</t>
  </si>
  <si>
    <t>Total non current assets</t>
  </si>
  <si>
    <t>Banco Inter - in USD Millions</t>
  </si>
  <si>
    <t>NU</t>
  </si>
  <si>
    <t>Deferred income taxes</t>
  </si>
  <si>
    <t>Gains (losses) on financial instruments</t>
  </si>
  <si>
    <t>Interests accrued</t>
  </si>
  <si>
    <t>Stock options granted</t>
  </si>
  <si>
    <t>Adjustments</t>
  </si>
  <si>
    <t>Interest paid</t>
  </si>
  <si>
    <t>Income tax paid</t>
  </si>
  <si>
    <t>Acquisition of fixed assets</t>
  </si>
  <si>
    <t>Acquisition of subsidiary, net of cash acquired</t>
  </si>
  <si>
    <t>Proceeds from senior preferred shares</t>
  </si>
  <si>
    <t>Proceeds from securitized borrowings</t>
  </si>
  <si>
    <t>Payments of securitized borrowings</t>
  </si>
  <si>
    <t>Proceeds from borrowings and financing</t>
  </si>
  <si>
    <t>Payments of borrowings and financing</t>
  </si>
  <si>
    <t>Proceeds from debt instruments eligible as capital</t>
  </si>
  <si>
    <t>Lease payments</t>
  </si>
  <si>
    <t>Exercise of stock options</t>
  </si>
  <si>
    <t>Shares repurchased</t>
  </si>
  <si>
    <t>Shares withheld for employee’s taxes</t>
  </si>
  <si>
    <t>USD million</t>
  </si>
  <si>
    <t>Purchase volume (in US$ billions)</t>
  </si>
  <si>
    <t>Interest income – credit card</t>
  </si>
  <si>
    <t>Interest income – lending</t>
  </si>
  <si>
    <t>Interest income – other assets at amortized cost</t>
  </si>
  <si>
    <t>Interest income and gains (losses) on financial instruments at fair value</t>
  </si>
  <si>
    <t>Interchange fees</t>
  </si>
  <si>
    <t>Recharge gains</t>
  </si>
  <si>
    <t>Rewards revenue</t>
  </si>
  <si>
    <t>Late fees</t>
  </si>
  <si>
    <t>Other fee and commission income</t>
  </si>
  <si>
    <t>Interest expense on deposits</t>
  </si>
  <si>
    <t>Other interest and similar expenses</t>
  </si>
  <si>
    <t>Bank slip costs</t>
  </si>
  <si>
    <t>Rewards expenses</t>
  </si>
  <si>
    <t>Credit and debit card network costs</t>
  </si>
  <si>
    <t>Other transactional expenses</t>
  </si>
  <si>
    <t>Total transactional expenses</t>
  </si>
  <si>
    <t>Operationals</t>
  </si>
  <si>
    <t>Total Customers</t>
  </si>
  <si>
    <t>Activity Rate</t>
  </si>
  <si>
    <t>Monthly Active Customers</t>
  </si>
  <si>
    <t>9m - Sep</t>
  </si>
  <si>
    <t>Personal Loans</t>
  </si>
  <si>
    <t>Credit card</t>
  </si>
  <si>
    <t>Revenue - Loan portfolio</t>
  </si>
  <si>
    <t>Implied rate</t>
  </si>
  <si>
    <t>Class A shares outstanding</t>
  </si>
  <si>
    <t>Class B shares outstanding</t>
  </si>
  <si>
    <t>Total shares outstanding</t>
  </si>
  <si>
    <t>Customers</t>
  </si>
  <si>
    <t>Nubank - in millions</t>
  </si>
  <si>
    <t>Q114</t>
  </si>
  <si>
    <t>Q214</t>
  </si>
  <si>
    <t>Q314</t>
  </si>
  <si>
    <t>Q414</t>
  </si>
  <si>
    <t>Q115</t>
  </si>
  <si>
    <t>Q215</t>
  </si>
  <si>
    <t>Q315</t>
  </si>
  <si>
    <t>Q415</t>
  </si>
  <si>
    <t>Q116</t>
  </si>
  <si>
    <t>Q216</t>
  </si>
  <si>
    <t>Q316</t>
  </si>
  <si>
    <t>Q416</t>
  </si>
  <si>
    <t>Q117</t>
  </si>
  <si>
    <t>Q217</t>
  </si>
  <si>
    <t>Q317</t>
  </si>
  <si>
    <t>Q417</t>
  </si>
  <si>
    <t>Q118</t>
  </si>
  <si>
    <t>Q218</t>
  </si>
  <si>
    <t>Q318</t>
  </si>
  <si>
    <t>Q418</t>
  </si>
  <si>
    <t>Q119</t>
  </si>
  <si>
    <t>Q219</t>
  </si>
  <si>
    <t>Q319</t>
  </si>
  <si>
    <t>Q419</t>
  </si>
  <si>
    <t>Q120</t>
  </si>
  <si>
    <t>Q220</t>
  </si>
  <si>
    <t>Timeline observation</t>
  </si>
  <si>
    <t>Nubank rewards</t>
  </si>
  <si>
    <t>Bank account</t>
  </si>
  <si>
    <t>Debit card</t>
  </si>
  <si>
    <t>Personal loans</t>
  </si>
  <si>
    <t>SME Bank account</t>
  </si>
  <si>
    <t>Nu Mexico</t>
  </si>
  <si>
    <t>Nulife</t>
  </si>
  <si>
    <t>Nu colombia</t>
  </si>
  <si>
    <t>Easynvest acquisition</t>
  </si>
  <si>
    <t>Ultraviolet, BNPL, FX Remittance</t>
  </si>
  <si>
    <t xml:space="preserve">Secured credit (Creditas), </t>
  </si>
  <si>
    <t>Spin pay acquisition</t>
  </si>
  <si>
    <t>Geographic Mix</t>
  </si>
  <si>
    <t>Brazil</t>
  </si>
  <si>
    <t>Mexico</t>
  </si>
  <si>
    <t>Colombia</t>
  </si>
  <si>
    <t>Loan Portfolio (%)</t>
  </si>
  <si>
    <t>Othe fee income</t>
  </si>
  <si>
    <t>Yield</t>
  </si>
  <si>
    <t>Credit</t>
  </si>
  <si>
    <t>Debit</t>
  </si>
  <si>
    <t>Purchased Volume (bn)</t>
  </si>
  <si>
    <t>Interchange fees Revenue</t>
  </si>
  <si>
    <t>Implied Yield</t>
  </si>
  <si>
    <t>Implied Credit %</t>
  </si>
  <si>
    <t>Implied Debit %</t>
  </si>
  <si>
    <t>150bps</t>
  </si>
  <si>
    <t>Assumed Credit fee</t>
  </si>
  <si>
    <t>50bps</t>
  </si>
  <si>
    <t>Current</t>
  </si>
  <si>
    <t>Instalments</t>
  </si>
  <si>
    <t>Revolving</t>
  </si>
  <si>
    <t>Loans rates</t>
  </si>
  <si>
    <t>Implied Credit Volume (USD bn)</t>
  </si>
  <si>
    <t>Implied Debit Volume (USD bn)</t>
  </si>
  <si>
    <t>Assumed Debit fee</t>
  </si>
  <si>
    <t>9m 21</t>
  </si>
  <si>
    <t>Brazilian market</t>
  </si>
  <si>
    <t>Nubank's share</t>
  </si>
  <si>
    <t>Credit card revenue</t>
  </si>
  <si>
    <t>Credit card loan portfolio</t>
  </si>
  <si>
    <t>USDBRL</t>
  </si>
  <si>
    <t>% of active clients using personal loans</t>
  </si>
  <si>
    <t>Average personal loan/active client (USD)</t>
  </si>
  <si>
    <t>Average Credit card loan/active client (USD)</t>
  </si>
  <si>
    <t># of active personal loans</t>
  </si>
  <si>
    <t>%yoy</t>
  </si>
  <si>
    <t>Total processed volume in Brazil (Credit + Debit) - BRL billions</t>
  </si>
  <si>
    <t>Nubank's share of processed volume in cards</t>
  </si>
  <si>
    <t>QoQ</t>
  </si>
  <si>
    <t>% of deposits</t>
  </si>
  <si>
    <t>% of CDI</t>
  </si>
  <si>
    <t>Deposits/active client</t>
  </si>
  <si>
    <t>Population</t>
  </si>
  <si>
    <t># of active credit cards</t>
  </si>
  <si>
    <t>% of Nubank clients in Brazil</t>
  </si>
  <si>
    <t>% of Nubank active clients with a credit card</t>
  </si>
  <si>
    <t>Credit card penetration</t>
  </si>
  <si>
    <t>Card holders, million</t>
  </si>
  <si>
    <t>Cards/holder</t>
  </si>
  <si>
    <t>Nubank active credit cards</t>
  </si>
  <si>
    <t>% of Nubank clients in Mexico</t>
  </si>
  <si>
    <t>% of Nubank clients in Colombia</t>
  </si>
  <si>
    <t>Nubank active clients in Brazil (millions)</t>
  </si>
  <si>
    <t>Nubank active clients in Mexico (millions)</t>
  </si>
  <si>
    <t>Nubank active clients in Colombia (millions)</t>
  </si>
  <si>
    <t>Nubank credit card mkt share in Brazil</t>
  </si>
  <si>
    <t>Nubank credit card mkt share in Mexico</t>
  </si>
  <si>
    <t>Nubank credit card mkt share in Colombia</t>
  </si>
  <si>
    <t>Brazilian loan Portfolio (USD millions)</t>
  </si>
  <si>
    <t>Mexican loan Portfolio (USD millions)</t>
  </si>
  <si>
    <t>Loan Portfolio</t>
  </si>
  <si>
    <t>Other fees</t>
  </si>
  <si>
    <t>Estimates - Interchange fee</t>
  </si>
  <si>
    <t>Credit (%)</t>
  </si>
  <si>
    <t>Debit (%)</t>
  </si>
  <si>
    <t>Credit (USD bn)</t>
  </si>
  <si>
    <t>Debit (USD bn)</t>
  </si>
  <si>
    <t>Credit interchange fee (bps)</t>
  </si>
  <si>
    <t>Debit interchange fee (bps)</t>
  </si>
  <si>
    <t>Total processed volume in Mexico (Credit + Debit) - USD millions</t>
  </si>
  <si>
    <t>Total processed volume in Brazil (Credit + Debit) - COL millions</t>
  </si>
  <si>
    <t>Nubank's share of processed volume in cards - Colombia</t>
  </si>
  <si>
    <t>Nubank's share of processed volume in cards - Mexico</t>
  </si>
  <si>
    <t>USDMXN</t>
  </si>
  <si>
    <t>USDCOL</t>
  </si>
  <si>
    <t>% of credit card receivables</t>
  </si>
  <si>
    <t>Total processed volume in Brazil (Credit + Debit) - USD billions</t>
  </si>
  <si>
    <t>Total processed volume in Mexico (Credit + Debit) - MXN billions</t>
  </si>
  <si>
    <t>deposits</t>
  </si>
  <si>
    <t>% of Loan portfolio</t>
  </si>
  <si>
    <t>Population (millions)</t>
  </si>
  <si>
    <t>Purchase volume in Brazil (in US$ billions)</t>
  </si>
  <si>
    <t>Purchase volume in Mexico (in US$ billions)</t>
  </si>
  <si>
    <t>Purchase volume in Colombia (in US$ billions)</t>
  </si>
  <si>
    <t>Credit Transactions (%)</t>
  </si>
  <si>
    <t>Debit Transactions (%)</t>
  </si>
  <si>
    <t>Implied Yield (%)</t>
  </si>
  <si>
    <t>NPL - Nubank</t>
  </si>
  <si>
    <t>NPL - Banco Inter</t>
  </si>
  <si>
    <t>Banco Inter</t>
  </si>
  <si>
    <t>Other services</t>
  </si>
  <si>
    <t>Marketplace</t>
  </si>
  <si>
    <t>Insurance</t>
  </si>
  <si>
    <t>Investments</t>
  </si>
  <si>
    <t>Active clients</t>
  </si>
  <si>
    <t>GMV/active clients</t>
  </si>
  <si>
    <t>GMV (BRL millions)</t>
  </si>
  <si>
    <t>Total active clients</t>
  </si>
  <si>
    <t>% of active clients</t>
  </si>
  <si>
    <t>Total GMV (BRL millions)</t>
  </si>
  <si>
    <t>Take rate</t>
  </si>
  <si>
    <t>USD/active client</t>
  </si>
  <si>
    <t>Total GMV (USD millions)</t>
  </si>
  <si>
    <t>R$/ Active client</t>
  </si>
  <si>
    <t>USD/ Active client</t>
  </si>
  <si>
    <t>Banking Revenues</t>
  </si>
  <si>
    <t>Total Revenues</t>
  </si>
  <si>
    <t>Other businesses</t>
  </si>
  <si>
    <t>Othee income on fin instr.</t>
  </si>
  <si>
    <t>Class A issued</t>
  </si>
  <si>
    <t>Class B issued</t>
  </si>
  <si>
    <t>Issuance Price</t>
  </si>
  <si>
    <t>Issuance, US$ m</t>
  </si>
  <si>
    <t>Fees</t>
  </si>
  <si>
    <t>Revenue</t>
  </si>
  <si>
    <t>Inter, BRL</t>
  </si>
  <si>
    <t>Inter, USD</t>
  </si>
  <si>
    <t>Nubank, USD</t>
  </si>
  <si>
    <t>21-25e CAGR</t>
  </si>
  <si>
    <t>% change</t>
  </si>
  <si>
    <t>Credit cards</t>
  </si>
  <si>
    <t>as % active subs</t>
  </si>
  <si>
    <t>% share</t>
  </si>
  <si>
    <t>Cards / user</t>
  </si>
  <si>
    <t>Card users</t>
  </si>
  <si>
    <t>Penetration</t>
  </si>
  <si>
    <t>Nubank cards</t>
  </si>
  <si>
    <t>Split of CCs</t>
  </si>
  <si>
    <t>Total</t>
  </si>
  <si>
    <t>Interest income, gains (losses) on fin instruments</t>
  </si>
  <si>
    <t>Interchange</t>
  </si>
  <si>
    <t>Total revenue</t>
  </si>
  <si>
    <t xml:space="preserve"> - of which CC</t>
  </si>
  <si>
    <t xml:space="preserve"> - of which personal/other</t>
  </si>
  <si>
    <t xml:space="preserve"> - of which other (inc gains)</t>
  </si>
  <si>
    <t>P&amp;L</t>
  </si>
  <si>
    <t>USD millions</t>
  </si>
  <si>
    <t>New services</t>
  </si>
  <si>
    <t>Total New services</t>
  </si>
  <si>
    <t>Other fee income</t>
  </si>
  <si>
    <t>Total Interchange/fee income</t>
  </si>
  <si>
    <t>Active subs, millions</t>
  </si>
  <si>
    <t>Credit cards by country, millions</t>
  </si>
  <si>
    <t>Market cards, millions</t>
  </si>
  <si>
    <t>USD Millions</t>
  </si>
  <si>
    <t>Share Price (USD)</t>
  </si>
  <si>
    <t>% margin</t>
  </si>
  <si>
    <t>Nubank - in USD Millions</t>
  </si>
  <si>
    <t>Net debt</t>
  </si>
  <si>
    <t>Q1 21</t>
  </si>
  <si>
    <t>Q2 21</t>
  </si>
  <si>
    <t>Q3 21</t>
  </si>
  <si>
    <t>Revenue, y/y</t>
  </si>
  <si>
    <t>g</t>
  </si>
  <si>
    <t>Terminal growth</t>
  </si>
  <si>
    <t>NPV CFs</t>
  </si>
  <si>
    <t>PV of terminal value</t>
  </si>
  <si>
    <t>SHOUT</t>
  </si>
  <si>
    <t>EFCF</t>
  </si>
  <si>
    <t>Class A Issuance</t>
  </si>
  <si>
    <t>q/q change</t>
  </si>
  <si>
    <t>% growth</t>
  </si>
  <si>
    <t>Active subs</t>
  </si>
  <si>
    <t>Registered subs</t>
  </si>
  <si>
    <t>ARPU</t>
  </si>
  <si>
    <t>ARPU, USD</t>
  </si>
  <si>
    <t>ARPU, BRL</t>
  </si>
  <si>
    <t>Inter</t>
  </si>
  <si>
    <t>Pagbank</t>
  </si>
  <si>
    <t>PicPay</t>
  </si>
  <si>
    <t>BRL</t>
  </si>
  <si>
    <t>Itau, Bradesco, Santander</t>
  </si>
  <si>
    <t>Nubank's BR credit card market share</t>
  </si>
  <si>
    <t>Revenues</t>
  </si>
  <si>
    <t>TAM</t>
  </si>
  <si>
    <t>% of TAM</t>
  </si>
  <si>
    <t>Tinkoff</t>
  </si>
  <si>
    <t>Net income margin</t>
  </si>
  <si>
    <t>Personal loans Portfolio</t>
  </si>
  <si>
    <t>Revenue (USD bn)</t>
  </si>
  <si>
    <t>Price, USD</t>
  </si>
  <si>
    <t>Market Cap</t>
  </si>
  <si>
    <t>Financial/Operational</t>
  </si>
  <si>
    <t>Gross profit</t>
  </si>
  <si>
    <t>nm</t>
  </si>
  <si>
    <t>Operating income</t>
  </si>
  <si>
    <t>Net income (GAAP)</t>
  </si>
  <si>
    <t>EPS</t>
  </si>
  <si>
    <t>DPS</t>
  </si>
  <si>
    <t>Interest income</t>
  </si>
  <si>
    <t>Fee income</t>
  </si>
  <si>
    <t>USD m</t>
  </si>
  <si>
    <t>Brazilian mkt share</t>
  </si>
  <si>
    <t>Mortgages</t>
  </si>
  <si>
    <t>Payroll</t>
  </si>
  <si>
    <t>Auto</t>
  </si>
  <si>
    <t>Interest earning portfolio</t>
  </si>
  <si>
    <t>Credit card loans</t>
  </si>
  <si>
    <t>Total interest income</t>
  </si>
  <si>
    <t>Interest income - Credit cards</t>
  </si>
  <si>
    <t>Implied yield</t>
  </si>
  <si>
    <t>Interest income - Personal loans</t>
  </si>
  <si>
    <t>Retail Credit - Mexico</t>
  </si>
  <si>
    <t>Retail Credit - Colombia</t>
  </si>
  <si>
    <t>2021*</t>
  </si>
  <si>
    <t>Picpay</t>
  </si>
  <si>
    <t>Mercado pago</t>
  </si>
  <si>
    <t>PagBank</t>
  </si>
  <si>
    <t>P/B</t>
  </si>
  <si>
    <t>CAC</t>
  </si>
  <si>
    <t>Cost of funding</t>
  </si>
  <si>
    <t>efficience gain (loss)</t>
  </si>
  <si>
    <t>Increase in take rate</t>
  </si>
  <si>
    <t>Increase in revenue/client (USD)</t>
  </si>
  <si>
    <t>Decrease in funding costs (% of CDI)</t>
  </si>
  <si>
    <t># of active credit cards (millions)</t>
  </si>
  <si>
    <t>9m 20</t>
  </si>
  <si>
    <t>CDI 2022</t>
  </si>
  <si>
    <t>Net income margin vs CDI 2022</t>
  </si>
  <si>
    <t>Financial metrics, USD m</t>
  </si>
  <si>
    <t>Active clients, m</t>
  </si>
  <si>
    <t>CC loan portfolio, USD m</t>
  </si>
  <si>
    <t>Personal loans, USD m</t>
  </si>
  <si>
    <t># of active cc's, m</t>
  </si>
  <si>
    <t>Loan book</t>
  </si>
  <si>
    <t>9m 2021</t>
  </si>
  <si>
    <t>Nubank cc receivables</t>
  </si>
  <si>
    <t>MercadoLibre</t>
  </si>
  <si>
    <t xml:space="preserve">BRL </t>
  </si>
  <si>
    <t>Stone</t>
  </si>
  <si>
    <t>Nubank personal loans</t>
  </si>
  <si>
    <t>Share of TAM</t>
  </si>
  <si>
    <t>Market</t>
  </si>
  <si>
    <t>Nubank's Revenue share</t>
  </si>
  <si>
    <t>Take up of new services</t>
  </si>
  <si>
    <t>Insurance as % Active</t>
  </si>
  <si>
    <t>Insurance subs</t>
  </si>
  <si>
    <t>Marketplace subs</t>
  </si>
  <si>
    <t>Active clients, millions</t>
  </si>
  <si>
    <t>Scaling factor</t>
  </si>
  <si>
    <t>Sense check: Br GMV, BRL millions</t>
  </si>
  <si>
    <t>Regional GMV, BRL millions</t>
  </si>
  <si>
    <t>Nubank share</t>
  </si>
  <si>
    <t>GMV/active clients, $</t>
  </si>
  <si>
    <t>GMV/active clients, BRL</t>
  </si>
  <si>
    <t>Marketplace as % Active</t>
  </si>
  <si>
    <t>ARPU, $</t>
  </si>
  <si>
    <t>GMV/sub, $</t>
  </si>
  <si>
    <t>CC loan book by country, USD m</t>
  </si>
  <si>
    <t>Personal/other loans, USD m</t>
  </si>
  <si>
    <t>Transaction expenses</t>
  </si>
  <si>
    <t>PBT</t>
  </si>
  <si>
    <t>margin</t>
  </si>
  <si>
    <t>A shares</t>
  </si>
  <si>
    <t>B shares</t>
  </si>
  <si>
    <t>David Velez</t>
  </si>
  <si>
    <t>Split</t>
  </si>
  <si>
    <t>Voting</t>
  </si>
  <si>
    <t>Cristina Helena Zingaretti Junqueira</t>
  </si>
  <si>
    <t>NU (NYSE)</t>
  </si>
  <si>
    <t xml:space="preserve">retail </t>
  </si>
  <si>
    <t>net income</t>
  </si>
  <si>
    <t>Itau</t>
  </si>
  <si>
    <t>30m credit cards</t>
  </si>
  <si>
    <t>credit</t>
  </si>
  <si>
    <t>cards</t>
  </si>
  <si>
    <t>Usage/card</t>
  </si>
  <si>
    <t>Usage/card per month</t>
  </si>
  <si>
    <t xml:space="preserve">equity </t>
  </si>
  <si>
    <t>loans</t>
  </si>
  <si>
    <t>loans to explode</t>
  </si>
  <si>
    <t>interest loans</t>
  </si>
  <si>
    <t>risk weighted assets/assets</t>
  </si>
  <si>
    <t>bank</t>
  </si>
  <si>
    <t>70-90%</t>
  </si>
  <si>
    <t>capital density</t>
  </si>
  <si>
    <t>Tier 1</t>
  </si>
  <si>
    <t>regulatory issues??</t>
  </si>
  <si>
    <t>growing loans…</t>
  </si>
  <si>
    <t>Need to run with higher Tier 1</t>
  </si>
  <si>
    <t>deposit base</t>
  </si>
  <si>
    <t>up 77%</t>
  </si>
  <si>
    <t>limit to how quickly</t>
  </si>
  <si>
    <t>other types of funding</t>
  </si>
  <si>
    <t>LT - run with some extra buffers</t>
  </si>
  <si>
    <t>Mexico 35%</t>
  </si>
  <si>
    <t>cc</t>
  </si>
  <si>
    <t>loan port</t>
  </si>
  <si>
    <t>Guidance</t>
  </si>
  <si>
    <t>majority</t>
  </si>
  <si>
    <t>charge</t>
  </si>
  <si>
    <t>Interest earning</t>
  </si>
  <si>
    <t>asset yield</t>
  </si>
  <si>
    <t>int from earnings/int earning portfolio</t>
  </si>
  <si>
    <t>NPLs over int earning</t>
  </si>
  <si>
    <t>Funding cost</t>
  </si>
  <si>
    <t>NPL</t>
  </si>
  <si>
    <t>over interest earning</t>
  </si>
  <si>
    <t>GDP</t>
  </si>
  <si>
    <t>inf</t>
  </si>
  <si>
    <t>nom</t>
  </si>
  <si>
    <t>real</t>
  </si>
  <si>
    <t>Equity to Assets</t>
  </si>
  <si>
    <t>Loans to Equity</t>
  </si>
  <si>
    <t>Tier 1 Capital (%)</t>
  </si>
  <si>
    <t>Return on assets</t>
  </si>
  <si>
    <t>Total loans to total deposits</t>
  </si>
  <si>
    <t>Tier 1 capital</t>
  </si>
  <si>
    <t>Risk weighted assets</t>
  </si>
  <si>
    <t>9m21</t>
  </si>
  <si>
    <t>% of total asset base</t>
  </si>
  <si>
    <t>EV/Gross profit</t>
  </si>
  <si>
    <t>Company guidance</t>
  </si>
  <si>
    <t>Nu credit cards</t>
  </si>
  <si>
    <t>Nu personal loans</t>
  </si>
  <si>
    <t>Inter SME</t>
  </si>
  <si>
    <t>Inter Payroll</t>
  </si>
  <si>
    <t>Inter Real estate</t>
  </si>
  <si>
    <t>Blended yield</t>
  </si>
  <si>
    <t>Nu Group</t>
  </si>
  <si>
    <t>Inter Group*</t>
  </si>
  <si>
    <t>TPV</t>
  </si>
  <si>
    <t>Loans</t>
  </si>
  <si>
    <t xml:space="preserve"> Credit cards</t>
  </si>
  <si>
    <t xml:space="preserve"> Personal loans</t>
  </si>
  <si>
    <t xml:space="preserve"> SME</t>
  </si>
  <si>
    <t xml:space="preserve"> BNPL</t>
  </si>
  <si>
    <t>Net profit</t>
  </si>
  <si>
    <t>NSR</t>
  </si>
  <si>
    <t>% diff</t>
  </si>
  <si>
    <t>Additions</t>
  </si>
  <si>
    <t>Reversals</t>
  </si>
  <si>
    <t>Net increase of loss allowance (note 13)</t>
  </si>
  <si>
    <t>Recovery</t>
  </si>
  <si>
    <t>Net increase of loss allowance (note 14)</t>
  </si>
  <si>
    <t>Q3 20</t>
  </si>
  <si>
    <t>NPLs</t>
  </si>
  <si>
    <t>FY 20</t>
  </si>
  <si>
    <t>FY 19</t>
  </si>
  <si>
    <t>FY 18</t>
  </si>
  <si>
    <t>Implied CC interest earning</t>
  </si>
  <si>
    <t>as % total</t>
  </si>
  <si>
    <t>Total (charge to P&amp;L)</t>
  </si>
  <si>
    <t>CC balance sheet provision</t>
  </si>
  <si>
    <t>Personal loan provision</t>
  </si>
  <si>
    <t>Gross lending provision</t>
  </si>
  <si>
    <t>BS (net)</t>
  </si>
  <si>
    <t>BS (gross)</t>
  </si>
  <si>
    <t>Provision as % gross</t>
  </si>
  <si>
    <t>Loans on BS</t>
  </si>
  <si>
    <t>NPL (P&amp;L)</t>
  </si>
  <si>
    <t xml:space="preserve"> </t>
  </si>
  <si>
    <t>% of Average loans</t>
  </si>
  <si>
    <t>Loans to deposits</t>
  </si>
  <si>
    <t>Interest as %</t>
  </si>
  <si>
    <t>Clean int income</t>
  </si>
  <si>
    <t>Other interest income</t>
  </si>
  <si>
    <t>Total yield</t>
  </si>
  <si>
    <t>Funding</t>
  </si>
  <si>
    <t>Int expense</t>
  </si>
  <si>
    <t>Spread</t>
  </si>
  <si>
    <t>Yield (on loan)</t>
  </si>
  <si>
    <t>Clean interest income</t>
  </si>
  <si>
    <t xml:space="preserve">Spread </t>
  </si>
  <si>
    <t>Nu</t>
  </si>
  <si>
    <t>Guide</t>
  </si>
  <si>
    <t>Net loan book</t>
  </si>
  <si>
    <t>Working capital</t>
  </si>
  <si>
    <t>Total gross</t>
  </si>
  <si>
    <t>Provisions</t>
  </si>
  <si>
    <t>Net loans ex-credit cards</t>
  </si>
  <si>
    <t>Total net loan book</t>
  </si>
  <si>
    <t>less funding</t>
  </si>
  <si>
    <t>less credit losses</t>
  </si>
  <si>
    <t>NII after losses</t>
  </si>
  <si>
    <t>Transactional expenses (inc chargebacks)</t>
  </si>
  <si>
    <t>Blended</t>
  </si>
  <si>
    <t>Annualised return (NII) as % net loan book</t>
  </si>
  <si>
    <t>Other A shares*</t>
  </si>
  <si>
    <t>Key shareholders</t>
  </si>
  <si>
    <t>Sequoia</t>
  </si>
  <si>
    <t>DST</t>
  </si>
  <si>
    <t>Tencent</t>
  </si>
  <si>
    <t>Tiger</t>
  </si>
  <si>
    <t>Issued in IPO</t>
  </si>
  <si>
    <t>Credit Card loans Portfolion (RHS)</t>
  </si>
  <si>
    <t>Br revs as % total</t>
  </si>
  <si>
    <t>Country</t>
  </si>
  <si>
    <t>% Unbanked*</t>
  </si>
  <si>
    <t>Internet penetration (%)*</t>
  </si>
  <si>
    <t>USA</t>
  </si>
  <si>
    <t>Indonesia</t>
  </si>
  <si>
    <t>Phillipines</t>
  </si>
  <si>
    <t>Vietnam</t>
  </si>
  <si>
    <t>Argentina</t>
  </si>
  <si>
    <t>Peru</t>
  </si>
  <si>
    <t>Chile</t>
  </si>
  <si>
    <t>International expansion opportunity</t>
  </si>
  <si>
    <t xml:space="preserve">Credit revenue </t>
  </si>
  <si>
    <t xml:space="preserve">Own BS funding </t>
  </si>
  <si>
    <t>3rd-party funding</t>
  </si>
  <si>
    <t>Regulatory capital requirements</t>
  </si>
  <si>
    <t>Requirement for payments intitutions</t>
  </si>
  <si>
    <t>of last 12M monthly TPV</t>
  </si>
  <si>
    <t>Pre-IPO shareholder's equity</t>
  </si>
  <si>
    <t>Monthly TPV</t>
  </si>
  <si>
    <t>Last 12 months TPV</t>
  </si>
  <si>
    <t>Estimates</t>
  </si>
  <si>
    <t>Estimates (using post-IPO shareholder's equity)</t>
  </si>
  <si>
    <t>Post-IPO shareholder's equity</t>
  </si>
  <si>
    <t>Shareholder's equity as a % of monthly TPV</t>
  </si>
  <si>
    <t>Shareholder's equity</t>
  </si>
  <si>
    <t>Total TPV</t>
  </si>
  <si>
    <t>Banco Inter (BRL millions)</t>
  </si>
  <si>
    <t>Nubank (USD millions)</t>
  </si>
  <si>
    <t>Requirement for Inter</t>
  </si>
  <si>
    <t>Requirements for Banks</t>
  </si>
  <si>
    <t>Credit card loans Risk weighted assets (RWA) %</t>
  </si>
  <si>
    <t>Basel capital requirements</t>
  </si>
  <si>
    <t>Leverage on RWA</t>
  </si>
  <si>
    <t>Capital required</t>
  </si>
  <si>
    <t>Leverage on loans</t>
  </si>
  <si>
    <t>Interest bearing credit card loans (% of total)</t>
  </si>
  <si>
    <t>Credito (Pago)</t>
  </si>
  <si>
    <t>PAN</t>
  </si>
  <si>
    <t>Itau (small, individuals)</t>
  </si>
  <si>
    <t>Inter  (Payroll)</t>
  </si>
  <si>
    <t>Inter  (Real estate)</t>
  </si>
  <si>
    <t>Inter (Group)</t>
  </si>
  <si>
    <t>Itau (Group)</t>
  </si>
  <si>
    <t>Inter  (SME)</t>
  </si>
  <si>
    <t>NU US</t>
  </si>
  <si>
    <t>EBITDA</t>
  </si>
  <si>
    <t>Nubank - USD</t>
  </si>
  <si>
    <t>Gross revenue</t>
  </si>
  <si>
    <t xml:space="preserve">Net revenue </t>
  </si>
  <si>
    <t>Subscribers (registered)</t>
  </si>
  <si>
    <t>Subscribers (active)</t>
  </si>
  <si>
    <t>ARPU (active)</t>
  </si>
  <si>
    <t>Acquiring TPV (for Payment cos)</t>
  </si>
  <si>
    <t>Shareholders equity</t>
  </si>
  <si>
    <t>Total assets (average)</t>
  </si>
  <si>
    <t>Share count (SHOUT)</t>
  </si>
  <si>
    <t>Net debt (relevant for Payment companies)</t>
  </si>
  <si>
    <t>+ Other EV adjustments, if relevant</t>
  </si>
  <si>
    <t>Cons</t>
  </si>
  <si>
    <t>Q4 21</t>
  </si>
  <si>
    <t>diff</t>
  </si>
  <si>
    <t>Q4 20</t>
  </si>
  <si>
    <t>y/y</t>
  </si>
  <si>
    <t>Net interest margin</t>
  </si>
  <si>
    <t>Banking</t>
  </si>
  <si>
    <t>Total clients, m</t>
  </si>
  <si>
    <t>Net adds</t>
  </si>
  <si>
    <t>Cards</t>
  </si>
  <si>
    <t># of active credit cards, m</t>
  </si>
  <si>
    <t xml:space="preserve"> - Credit card</t>
  </si>
  <si>
    <t xml:space="preserve"> - Debit card</t>
  </si>
  <si>
    <t>GMV</t>
  </si>
  <si>
    <t>Insurance platform</t>
  </si>
  <si>
    <t>Clients, m</t>
  </si>
  <si>
    <t>Investment platform</t>
  </si>
  <si>
    <t>Assets under administration</t>
  </si>
  <si>
    <t>NPL (Overall)</t>
  </si>
  <si>
    <t>Q1 19</t>
  </si>
  <si>
    <t>Q2 19</t>
  </si>
  <si>
    <t>Q3 19</t>
  </si>
  <si>
    <t>Q4 19</t>
  </si>
  <si>
    <t>Q1 20</t>
  </si>
  <si>
    <t>Q2 20</t>
  </si>
  <si>
    <t>Banco Pan</t>
  </si>
  <si>
    <t>Bradesco</t>
  </si>
  <si>
    <t>Market (Central Bank)</t>
  </si>
  <si>
    <t>USD mn</t>
  </si>
  <si>
    <t>Credit portfolio, USD m</t>
  </si>
  <si>
    <t>Other Services, USD m</t>
  </si>
  <si>
    <t>Purchase volume, USD bn</t>
  </si>
  <si>
    <t>ARPU, USD / month</t>
  </si>
  <si>
    <t>Net income, GAAP</t>
  </si>
  <si>
    <t>Net interest income</t>
  </si>
  <si>
    <t xml:space="preserve">of which </t>
  </si>
  <si>
    <t>NIM (%)</t>
  </si>
  <si>
    <t>Gross profit margin</t>
  </si>
  <si>
    <t>Customer program ("Nusocios")</t>
  </si>
  <si>
    <t>Nubank active clients (Brazil, Mexico and Colombia) - year end</t>
  </si>
  <si>
    <t>In Brazil</t>
  </si>
  <si>
    <t>In Mexico</t>
  </si>
  <si>
    <t>In Colombia</t>
  </si>
  <si>
    <t>engagement ratio</t>
  </si>
  <si>
    <t>Active clients In Brazil</t>
  </si>
  <si>
    <t>Active clients In Mexico</t>
  </si>
  <si>
    <t>Active clients In Colombia</t>
  </si>
  <si>
    <t>Repurchase agreements</t>
  </si>
  <si>
    <t>Customer Program</t>
  </si>
  <si>
    <t>Losses (gains) on others investments</t>
  </si>
  <si>
    <t>Interest received</t>
  </si>
  <si>
    <t>Equity instrument</t>
  </si>
  <si>
    <t>Issuance of preferred shares</t>
  </si>
  <si>
    <t>Issuance of shares under IPO</t>
  </si>
  <si>
    <t>Transactions costs from IPO</t>
  </si>
  <si>
    <t>Fee and Comm income</t>
  </si>
  <si>
    <t>Interest and fin expenses</t>
  </si>
  <si>
    <t>Transactional exp</t>
  </si>
  <si>
    <t>Credit losses</t>
  </si>
  <si>
    <t>Card receivables</t>
  </si>
  <si>
    <t>Balance sheet</t>
  </si>
  <si>
    <t>Total net</t>
  </si>
  <si>
    <t>growth</t>
  </si>
  <si>
    <t>ARPU, USD (reported)</t>
  </si>
  <si>
    <t>ARPU, USD (calc)</t>
  </si>
  <si>
    <t>Act</t>
  </si>
  <si>
    <t>tier 1</t>
  </si>
  <si>
    <t>tier 2</t>
  </si>
  <si>
    <t>common equity, disclosed reserves</t>
  </si>
  <si>
    <t>second layer, inc. revaluation reserves, general provisions</t>
  </si>
  <si>
    <t>total capital</t>
  </si>
  <si>
    <t>loan A</t>
  </si>
  <si>
    <t>riskiness</t>
  </si>
  <si>
    <t>loan B</t>
  </si>
  <si>
    <t>total</t>
  </si>
  <si>
    <t>rwa</t>
  </si>
  <si>
    <t>adequacy ration</t>
  </si>
  <si>
    <t>tier 1 ratio</t>
  </si>
  <si>
    <t>Example</t>
  </si>
  <si>
    <t>loan</t>
  </si>
  <si>
    <t>Capital adequacy</t>
  </si>
  <si>
    <t>Credit RWA</t>
  </si>
  <si>
    <t xml:space="preserve"> - of which personal loans</t>
  </si>
  <si>
    <t>Payments RWA</t>
  </si>
  <si>
    <t xml:space="preserve"> - of which Outstanding balance</t>
  </si>
  <si>
    <t xml:space="preserve"> - of which TPV</t>
  </si>
  <si>
    <t>Monthly average TPV (Credit and Debit)</t>
  </si>
  <si>
    <t>Balance of electronic currencies (daily)</t>
  </si>
  <si>
    <t>Growth</t>
  </si>
  <si>
    <t>Interest bearing credit card receivables</t>
  </si>
  <si>
    <t>% of book in interest-bearing</t>
  </si>
  <si>
    <t>% of book in revolving</t>
  </si>
  <si>
    <t>Reference Equity (Tier 1 and Tier 2)</t>
  </si>
  <si>
    <t>2021-old</t>
  </si>
  <si>
    <t>2021-new</t>
  </si>
  <si>
    <t>Interest bearing portfolio</t>
  </si>
  <si>
    <t xml:space="preserve"> - of which Installments</t>
  </si>
  <si>
    <t xml:space="preserve"> - of which Revolving</t>
  </si>
  <si>
    <t>% of receivables</t>
  </si>
  <si>
    <t>Total limit</t>
  </si>
  <si>
    <t>% of limit used (estimated)</t>
  </si>
  <si>
    <t>Credit conversion factor (FCC)</t>
  </si>
  <si>
    <t>Tier 2 capital</t>
  </si>
  <si>
    <t xml:space="preserve"> - of Common Equity</t>
  </si>
  <si>
    <t>Basel Ratio (Actual)</t>
  </si>
  <si>
    <t>Balance for 14% Basel</t>
  </si>
  <si>
    <t>New estimates</t>
  </si>
  <si>
    <t>Diff</t>
  </si>
  <si>
    <t>Operating Income</t>
  </si>
  <si>
    <t>Loan Portfolio Period-end</t>
  </si>
  <si>
    <t>TP</t>
  </si>
  <si>
    <t>Other services - revenues</t>
  </si>
  <si>
    <t>Transactors' credit</t>
  </si>
  <si>
    <t>Total credit card portfolio</t>
  </si>
  <si>
    <t>Revolvers' credit (Interest-earning)</t>
  </si>
  <si>
    <t>Factor to Revolver's credit</t>
  </si>
  <si>
    <t>Credit RWA associated to Revolver's credit</t>
  </si>
  <si>
    <t xml:space="preserve">Factor to Transactors' credit </t>
  </si>
  <si>
    <t>Total credit card portfolio RWA related to used cc limit</t>
  </si>
  <si>
    <t>Capital required (for Basel of 10.5%)</t>
  </si>
  <si>
    <t>Capital required (for Basel of 14%)</t>
  </si>
  <si>
    <t>Operational RWA</t>
  </si>
  <si>
    <t>Market RWA</t>
  </si>
  <si>
    <t xml:space="preserve"> - of which Credit card used limit (Table 1)</t>
  </si>
  <si>
    <t xml:space="preserve"> - of which Credit card unused limit (Table 2)</t>
  </si>
  <si>
    <t>Personal loans / other</t>
  </si>
  <si>
    <t>Implied interest yield</t>
  </si>
  <si>
    <t>Implied net interest expense</t>
  </si>
  <si>
    <t>% of securities</t>
  </si>
  <si>
    <t>Annualised</t>
  </si>
  <si>
    <t>as % of CDI</t>
  </si>
  <si>
    <t>- of which prepaid</t>
  </si>
  <si>
    <t>- of which debit</t>
  </si>
  <si>
    <t>- of which credit</t>
  </si>
  <si>
    <t>Split of limit into:</t>
  </si>
  <si>
    <t xml:space="preserve">Transactors </t>
  </si>
  <si>
    <t>Credit conversion factor (FCC) - assume cancellable</t>
  </si>
  <si>
    <t xml:space="preserve">1/ Transactors </t>
  </si>
  <si>
    <t>2/ Revolvers</t>
  </si>
  <si>
    <t>Available limit (unused)</t>
  </si>
  <si>
    <t>CURRENT RECEIVABLES</t>
  </si>
  <si>
    <t>UNUSED LIMIT</t>
  </si>
  <si>
    <t>RWA related to Transactor's available limit (1)</t>
  </si>
  <si>
    <t>RWA related to Transactor's available limit (2)</t>
  </si>
  <si>
    <t>Total Credit RWA related to Available limit (1) + (2)</t>
  </si>
  <si>
    <t>Total (1)</t>
  </si>
  <si>
    <t>Total (2)</t>
  </si>
  <si>
    <t>Total (3)</t>
  </si>
  <si>
    <t>Total (4)</t>
  </si>
  <si>
    <t>Risk Weighted Assets, RWA (1) + (2) + (3) + (4)</t>
  </si>
  <si>
    <t>Factor to transactor's credit</t>
  </si>
  <si>
    <t>35% of total</t>
  </si>
  <si>
    <t>65% of total</t>
  </si>
  <si>
    <t>nu pagamentos</t>
  </si>
  <si>
    <t>adjustments</t>
  </si>
  <si>
    <t>intanigle assets</t>
  </si>
  <si>
    <t>deferred tax</t>
  </si>
  <si>
    <t>as a % of Total credit card portfolio</t>
  </si>
  <si>
    <t>Revolvers - cancelable (Assuming 35% of available limit)</t>
  </si>
  <si>
    <t>UNUSED</t>
  </si>
  <si>
    <t>Credit RWA associated to Transactors's credit</t>
  </si>
  <si>
    <t>VERSION II</t>
  </si>
  <si>
    <t xml:space="preserve"> - less revolver</t>
  </si>
  <si>
    <t xml:space="preserve"> - less interest-bearing instalment</t>
  </si>
  <si>
    <t>Adj cc loans</t>
  </si>
  <si>
    <t>Assumed ratio revolvers (LTM)</t>
  </si>
  <si>
    <t>Revolvers</t>
  </si>
  <si>
    <t>Implied Transactors</t>
  </si>
  <si>
    <t>RWA Revolvers</t>
  </si>
  <si>
    <t>RWA Transactors</t>
  </si>
  <si>
    <t>USED</t>
  </si>
  <si>
    <t>Assumed cc book as % total limit</t>
  </si>
  <si>
    <t>Total approved limit</t>
  </si>
  <si>
    <t>Unused approved</t>
  </si>
  <si>
    <t>FPR for Revolvers</t>
  </si>
  <si>
    <t>FPR for Transactors</t>
  </si>
  <si>
    <t>FCC (assume 100% cancelable)</t>
  </si>
  <si>
    <t>Apply BIS ratio</t>
  </si>
  <si>
    <t xml:space="preserve">Existing RWA </t>
  </si>
  <si>
    <t>Total Equity required</t>
  </si>
  <si>
    <t>Total RWA Used</t>
  </si>
  <si>
    <t>Total RWA Unused</t>
  </si>
  <si>
    <t>Additional Regulatory Capital required (1) + (2) less (3)</t>
  </si>
  <si>
    <t>Existing Equity required (2)</t>
  </si>
  <si>
    <t>New Equity required (1)</t>
  </si>
  <si>
    <t>Updated Regulatory Capital base (3)</t>
  </si>
  <si>
    <t>Total new RWA</t>
  </si>
  <si>
    <t>USD/BRL period end</t>
  </si>
  <si>
    <t>USD/BRL average</t>
  </si>
  <si>
    <t>Loan Portfolio (BRL millions)</t>
  </si>
  <si>
    <t>Assets</t>
  </si>
  <si>
    <t>Liabilities</t>
  </si>
  <si>
    <t>Balance Sheet assumptions - USD m</t>
  </si>
  <si>
    <t>Balance Sheet assumptions - BRL m</t>
  </si>
  <si>
    <t>Brazilian loan Portfolio (BRL millions)</t>
  </si>
  <si>
    <t>Average personal loan/active client (BRL)</t>
  </si>
  <si>
    <t>Average Credit card loan/active client (BRL)</t>
  </si>
  <si>
    <t>BRL revenue check</t>
  </si>
  <si>
    <t>as % of Revenues</t>
  </si>
  <si>
    <t>Q1 22</t>
  </si>
  <si>
    <t>FX Neutral</t>
  </si>
  <si>
    <t>Interest-earning portfolio</t>
  </si>
  <si>
    <t>NuTap</t>
  </si>
  <si>
    <t>NuPay</t>
  </si>
  <si>
    <t>Lock up</t>
  </si>
  <si>
    <t>NIM (as % net loans)</t>
  </si>
  <si>
    <t>In magnitude, much more significant than credit losses?</t>
  </si>
  <si>
    <t>Profitability</t>
  </si>
  <si>
    <t>No pressure to show profits to support stock?</t>
  </si>
  <si>
    <t>Any sellers, public disclosures here?</t>
  </si>
  <si>
    <t>Credit/ personal loans can cope with x2 level of baseline risk - explain this?</t>
  </si>
  <si>
    <t>Lending</t>
  </si>
  <si>
    <t>Moving into Acquiring</t>
  </si>
  <si>
    <t>How is this trending?</t>
  </si>
  <si>
    <t>Check - need to be pre-approved right?</t>
  </si>
  <si>
    <t>Continued confidence through Q2 (and since results)?</t>
  </si>
  <si>
    <t>Timing?</t>
  </si>
  <si>
    <t>How does that relate to NPL?</t>
  </si>
  <si>
    <t>Maths on this?</t>
  </si>
  <si>
    <t>What's the target here…? Relative to loan book</t>
  </si>
  <si>
    <t>Reduce the payout on deposits from 100% of CDI?</t>
  </si>
  <si>
    <t xml:space="preserve">Trending back to "normal" level </t>
  </si>
  <si>
    <t>SMEs</t>
  </si>
  <si>
    <t>How to think about this?</t>
  </si>
  <si>
    <t>Maintly interchange?</t>
  </si>
  <si>
    <t>How many cash cards vs credit</t>
  </si>
  <si>
    <t>Main concerns</t>
  </si>
  <si>
    <t>Growth to value</t>
  </si>
  <si>
    <t>How valuing</t>
  </si>
  <si>
    <t>Brazil asset quality cycle</t>
  </si>
  <si>
    <t>Given rapid growth</t>
  </si>
  <si>
    <t>smooth progress to pre-covid</t>
  </si>
  <si>
    <t>price discovery for stock</t>
  </si>
  <si>
    <t>NPLs down in pandemic</t>
  </si>
  <si>
    <t>Stopped spending</t>
  </si>
  <si>
    <t>Government income support, even to those who had not lost income</t>
  </si>
  <si>
    <t>Comments</t>
  </si>
  <si>
    <t>Historical lows globally</t>
  </si>
  <si>
    <t>15-90 in particular</t>
  </si>
  <si>
    <t>Seasonality  is a key issue</t>
  </si>
  <si>
    <t xml:space="preserve">80 bps </t>
  </si>
  <si>
    <t>2019 - credit card company</t>
  </si>
  <si>
    <t>higher NPL</t>
  </si>
  <si>
    <t>unsecured</t>
  </si>
  <si>
    <t>5% per month, 1% per month, 16-17% annualised losses</t>
  </si>
  <si>
    <t>5-6% typically</t>
  </si>
  <si>
    <t>write offs</t>
  </si>
  <si>
    <t>Data so far, portfolio still operating a pre-pandemic levels, while Brazil is back to where it was</t>
  </si>
  <si>
    <t>Investors want to see a flat line</t>
  </si>
  <si>
    <t>15-90 as lead indicator, most sensitive part of NPL, seasonality though</t>
  </si>
  <si>
    <t>90+ can see a longer trend , cleaner</t>
  </si>
  <si>
    <t>NPL does not mean higher provision per se</t>
  </si>
  <si>
    <t>Can increase yields  but up to adverse selection</t>
  </si>
  <si>
    <t>Provision</t>
  </si>
  <si>
    <t>up front</t>
  </si>
  <si>
    <t>per $100</t>
  </si>
  <si>
    <t>14-16%</t>
  </si>
  <si>
    <t>3 months break even</t>
  </si>
  <si>
    <t>Value to growth</t>
  </si>
  <si>
    <t>Cost of capital increase…things have absolutely changed</t>
  </si>
  <si>
    <t>Mindful of headcount…will slow</t>
  </si>
  <si>
    <t>Try to renegotiate cost</t>
  </si>
  <si>
    <t>Longer pay backs… marketplace, 7 years down to 2</t>
  </si>
  <si>
    <t>Colombia…more profitable</t>
  </si>
  <si>
    <t>Slow loan growth</t>
  </si>
  <si>
    <t>CAC…small, $5 per customer, x 25 million, meaningful</t>
  </si>
  <si>
    <t>OpEx - 52% allocated to developers</t>
  </si>
  <si>
    <t>Loan growth</t>
  </si>
  <si>
    <t>IPO loan growth</t>
  </si>
  <si>
    <t>largely anticipated the target</t>
  </si>
  <si>
    <t>H2 lower pace of growth</t>
  </si>
  <si>
    <t>Deposit rates</t>
  </si>
  <si>
    <t>Will probably happen at some point</t>
  </si>
  <si>
    <t>85% of NU balances rotate in 60 days</t>
  </si>
  <si>
    <t>convenience money….pay bills 30-60 days</t>
  </si>
  <si>
    <t>&lt;30 days, IOF</t>
  </si>
  <si>
    <t>customer tax</t>
  </si>
  <si>
    <t>15 days</t>
  </si>
  <si>
    <t>1 day</t>
  </si>
  <si>
    <t>transferred to customers</t>
  </si>
  <si>
    <t>30-60 days</t>
  </si>
  <si>
    <t>Need to explain this to customers</t>
  </si>
  <si>
    <t>$250m of interest paid</t>
  </si>
  <si>
    <t>EZ Invest and Nu Invest products, can offer alternative…for that held for more than 60 days</t>
  </si>
  <si>
    <t>EZ through next 2-3 quarters</t>
  </si>
  <si>
    <t>Q4 22 deposit cuts, throough 2023</t>
  </si>
  <si>
    <t>SMEs, 1.6m - as of Q1. What do you need?</t>
  </si>
  <si>
    <t>Acquiring before a credit card or loan product</t>
  </si>
  <si>
    <t>Solve this pain, don’t expect a large acquring business</t>
  </si>
  <si>
    <t>No POS device</t>
  </si>
  <si>
    <t>NPS - primary banking relationship</t>
  </si>
  <si>
    <t xml:space="preserve"> two thirds long tail</t>
  </si>
  <si>
    <t>2 strategies</t>
  </si>
  <si>
    <t>Nu Everywhere</t>
  </si>
  <si>
    <t>Wherever they are, choose payment solution</t>
  </si>
  <si>
    <t>Within Nu banking</t>
  </si>
  <si>
    <t>Targeting larger E-Comm players. Can be 30% of GMV of some partners</t>
  </si>
  <si>
    <t>Fraud risk is close to zero</t>
  </si>
  <si>
    <t>interest bearing instalments</t>
  </si>
  <si>
    <t>15 partners</t>
  </si>
  <si>
    <t>% of revs</t>
  </si>
  <si>
    <t>Interest on deposits decrease impact</t>
  </si>
  <si>
    <t>Current - 2% decrease/year</t>
  </si>
  <si>
    <t>2023 drop to 70%, then 5% yearly decrease</t>
  </si>
  <si>
    <t>2023 drop to 50%, then 5% yearly decrease</t>
  </si>
  <si>
    <t>Difference</t>
  </si>
  <si>
    <t>% y/y</t>
  </si>
  <si>
    <t>10% drop/year until 2025, then 5% drop/year</t>
  </si>
  <si>
    <t>Recharge fees</t>
  </si>
  <si>
    <t>Other fees and commission income</t>
  </si>
  <si>
    <t>% yield</t>
  </si>
  <si>
    <t>Credit (bn)</t>
  </si>
  <si>
    <t>Debit (bn)</t>
  </si>
  <si>
    <t>Credit take rate (%)</t>
  </si>
  <si>
    <t>Debit take rate (%)</t>
  </si>
  <si>
    <t>Nu-socios</t>
  </si>
  <si>
    <t>Blended NPL</t>
  </si>
  <si>
    <t>Personal loans weight</t>
  </si>
  <si>
    <t>Credit card weight</t>
  </si>
  <si>
    <t>Q4 19 NPL Constant mix</t>
  </si>
  <si>
    <t>Personal loans Q4 19 weight</t>
  </si>
  <si>
    <t>Credit card NPL</t>
  </si>
  <si>
    <t>Personal loans NPL</t>
  </si>
  <si>
    <t>Ccs Q4 19 weight</t>
  </si>
  <si>
    <t>3 parts of the equation</t>
  </si>
  <si>
    <t>Gross loan book</t>
  </si>
  <si>
    <t>Gross loan portfolio (SD calc)</t>
  </si>
  <si>
    <t>Implied NPL by product</t>
  </si>
  <si>
    <t>Credit cards loans (% of total Loan Book)</t>
  </si>
  <si>
    <t>Personal loans (% of total Loan Book)</t>
  </si>
  <si>
    <t>Credit card loans (USD Bn)</t>
  </si>
  <si>
    <t>Personal loans (USD Bn)</t>
  </si>
  <si>
    <t>Interest on deposits (% of CDI)</t>
  </si>
  <si>
    <t>Scenario 1</t>
  </si>
  <si>
    <t>Scenario 2</t>
  </si>
  <si>
    <t>Scenario 3</t>
  </si>
  <si>
    <t>vs Previous estimates</t>
  </si>
  <si>
    <t>Total loan book</t>
  </si>
  <si>
    <t>Loan Book</t>
  </si>
  <si>
    <t>Q2 22</t>
  </si>
  <si>
    <t>Q3 22</t>
  </si>
  <si>
    <t>Q4 22</t>
  </si>
  <si>
    <t>BS (net) - USD</t>
  </si>
  <si>
    <t>BS (net) - BRL</t>
  </si>
  <si>
    <t>BS (net) change - USD</t>
  </si>
  <si>
    <t>BS (net) change - BRL</t>
  </si>
  <si>
    <t>Q1 23</t>
  </si>
  <si>
    <t>Q2 23</t>
  </si>
  <si>
    <t>Q3 23</t>
  </si>
  <si>
    <t>Q4 23</t>
  </si>
  <si>
    <t>Growth (% in BRL)</t>
  </si>
  <si>
    <t>Consensus</t>
  </si>
  <si>
    <t>Consensus - USD</t>
  </si>
  <si>
    <t>Consensus - BRL</t>
  </si>
  <si>
    <t>NSR vs Consensus</t>
  </si>
  <si>
    <t>NSR Estimates (BRL mn)</t>
  </si>
  <si>
    <t>Consensus (BRL mn)</t>
  </si>
  <si>
    <t>Q2 22e</t>
  </si>
  <si>
    <t>Q3 22e</t>
  </si>
  <si>
    <t>Q4 22e</t>
  </si>
  <si>
    <t>Q1 23e</t>
  </si>
  <si>
    <t>Q2 23e</t>
  </si>
  <si>
    <t>Q3 23e</t>
  </si>
  <si>
    <t>Q4 23e</t>
  </si>
  <si>
    <t>Loans ending in the quarter</t>
  </si>
  <si>
    <t>Loans origination in the quarter</t>
  </si>
  <si>
    <t>of which, personal loans</t>
  </si>
  <si>
    <t>of which, credit cards</t>
  </si>
  <si>
    <t>of which, credit cards (%)</t>
  </si>
  <si>
    <t>of which, personal loans (%)</t>
  </si>
  <si>
    <t>Assumption for duration  (in months)</t>
  </si>
  <si>
    <t>Net increase</t>
  </si>
  <si>
    <t>Total Credit loss allowance expenses</t>
  </si>
  <si>
    <t>Expected credit loss expense</t>
  </si>
  <si>
    <t>Additions (% of loan origination)</t>
  </si>
  <si>
    <t>Reversals (% of Beg gross loan book)</t>
  </si>
  <si>
    <t>Provisions P&amp;L (NSR)</t>
  </si>
  <si>
    <t>Provisions P&amp;L (Actual)</t>
  </si>
  <si>
    <t>y/y loan portfolio growth</t>
  </si>
  <si>
    <t>Expected credit losses (% of loan portfolio)</t>
  </si>
  <si>
    <t>Interest on deposits</t>
  </si>
  <si>
    <t>Picpay*</t>
  </si>
  <si>
    <t>Banco Pan*</t>
  </si>
  <si>
    <t>Loans origination y/y growth</t>
  </si>
  <si>
    <t>Personal loan receivables</t>
  </si>
  <si>
    <t>ECL P&amp;L expenses</t>
  </si>
  <si>
    <t>ECL P&amp;L expenses (% of loan book)</t>
  </si>
  <si>
    <t>y/y Loan book growth</t>
  </si>
  <si>
    <t>In USD m</t>
  </si>
  <si>
    <t>USD</t>
  </si>
  <si>
    <t>Deposits/Active client</t>
  </si>
  <si>
    <t>Amount</t>
  </si>
  <si>
    <t>ss</t>
  </si>
  <si>
    <t>dd</t>
  </si>
  <si>
    <t>Days</t>
  </si>
  <si>
    <t>Tax on interest</t>
  </si>
  <si>
    <t>Mercado Libre</t>
  </si>
  <si>
    <t>Revs</t>
  </si>
  <si>
    <t>PagSeguro</t>
  </si>
  <si>
    <t>Pagbank funding cost</t>
  </si>
  <si>
    <t>Mercado Pago</t>
  </si>
  <si>
    <t>Post-tax</t>
  </si>
  <si>
    <t>as % net margin</t>
  </si>
  <si>
    <t>Deposit % CDI</t>
  </si>
  <si>
    <t>Saving</t>
  </si>
  <si>
    <t xml:space="preserve">WACC </t>
  </si>
  <si>
    <t xml:space="preserve">Interest income and gains (losses) </t>
  </si>
  <si>
    <t>Total costs (pre opex)</t>
  </si>
  <si>
    <t xml:space="preserve">Allowance as % </t>
  </si>
  <si>
    <t>WACC sensitivity</t>
  </si>
  <si>
    <t>Deposit remuneration</t>
  </si>
  <si>
    <t>Deposit yield as % CDI</t>
  </si>
  <si>
    <t>Deposit yield as  % revenue</t>
  </si>
  <si>
    <t>TP, USD</t>
  </si>
  <si>
    <t>as % lending</t>
  </si>
  <si>
    <t>Provision as % revenue</t>
  </si>
  <si>
    <t>Loans ending in the year</t>
  </si>
  <si>
    <t>Loans origination in the year</t>
  </si>
  <si>
    <t>ROE</t>
  </si>
  <si>
    <t>ROA</t>
  </si>
  <si>
    <t>Santander</t>
  </si>
  <si>
    <t>NIM</t>
  </si>
  <si>
    <t>Banco do Brasil</t>
  </si>
  <si>
    <t>Reasons for NU to trade at a premium</t>
  </si>
  <si>
    <t>1) Geographic expansion opp</t>
  </si>
  <si>
    <t>2) NIM expansion with lower funding costs possibility</t>
  </si>
  <si>
    <t>3) Fee income expansion through new services (implying some degree of diversification of fee income and lending ops)</t>
  </si>
  <si>
    <t>4) Not too sure on this, but looking at 2025 still appears to be in "early" stages for NU given Colombia and Mexico businesses maturation</t>
  </si>
  <si>
    <t>5) No physical agencies, big banks have been closing these at an increasing rate (In Brazil, there were 18k agencies in the end of 2021, 1k less than in 2020 and at 2007 levels  - pandemic accelerated the trend)</t>
  </si>
  <si>
    <t>higher risk, but looks slight odd? It seems correct from Itau's statements</t>
  </si>
  <si>
    <t>Gross profit = (Total revenue - interest expenses - provisions)/total revenue</t>
  </si>
  <si>
    <t>Implied net interest expense (as a % of CDI)</t>
  </si>
  <si>
    <t>Check: Average USD/BRL</t>
  </si>
  <si>
    <t>Period-end USD/BRL</t>
  </si>
  <si>
    <t>y/y growth</t>
  </si>
  <si>
    <t>Total Credit portfolio (Net)</t>
  </si>
  <si>
    <t>Overall NPL 15-90 day</t>
  </si>
  <si>
    <t xml:space="preserve">Overall NPL +90 day </t>
  </si>
  <si>
    <t>Credit card - old</t>
  </si>
  <si>
    <t>Personal loans - old</t>
  </si>
  <si>
    <t>Credit card - new</t>
  </si>
  <si>
    <t>Personal loans - new</t>
  </si>
  <si>
    <t>Gross margin (as % net loans)</t>
  </si>
  <si>
    <t>Interest bearing liabilities</t>
  </si>
  <si>
    <t>Gross profit after funding</t>
  </si>
  <si>
    <t xml:space="preserve"> - of which cc</t>
  </si>
  <si>
    <t>as % cc</t>
  </si>
  <si>
    <t>Margin on Interest bearing</t>
  </si>
  <si>
    <t>Loan portfolio (gross) - USD</t>
  </si>
  <si>
    <t>Loan portfolio (gross) - BRL</t>
  </si>
  <si>
    <t>Blended new</t>
  </si>
  <si>
    <t>Blended old</t>
  </si>
  <si>
    <t>Provisions - USD</t>
  </si>
  <si>
    <t>NEW</t>
  </si>
  <si>
    <t>OLD</t>
  </si>
  <si>
    <t>90 +</t>
  </si>
  <si>
    <t xml:space="preserve">15-90 </t>
  </si>
  <si>
    <t>Previous estimates (pre Q2 22)</t>
  </si>
  <si>
    <t xml:space="preserve">NEW vs OLD </t>
  </si>
  <si>
    <t>Post CFO Investor call (Sept-22)</t>
  </si>
  <si>
    <t>Loss of revenue as %</t>
  </si>
  <si>
    <t xml:space="preserve">Loss of revenue </t>
  </si>
  <si>
    <t>Prepaid Interchange fees as % revs</t>
  </si>
  <si>
    <t>New interchange fee</t>
  </si>
  <si>
    <t>Prepaid Interchange fees</t>
  </si>
  <si>
    <t>Total (12m), billion</t>
  </si>
  <si>
    <t>Processed volumes, billion</t>
  </si>
  <si>
    <t>Prepaid volumes processed (12m), billion</t>
  </si>
  <si>
    <t>Interchange - Apr 1 2023</t>
  </si>
  <si>
    <t>Rolling 12 months</t>
  </si>
  <si>
    <t>Cut to Interconnect fee</t>
  </si>
  <si>
    <t>Cut to revenue</t>
  </si>
  <si>
    <t>Pre-paid volumes processed</t>
  </si>
  <si>
    <t>Quarterly</t>
  </si>
  <si>
    <t>New revenue</t>
  </si>
  <si>
    <t>New prepaid revenue as %</t>
  </si>
  <si>
    <t>Implied Prepaid Interchange rate (OLD)</t>
  </si>
  <si>
    <t>Prepaid</t>
  </si>
  <si>
    <t>Prepaid interchange fee (bps)</t>
  </si>
  <si>
    <t>Prepaid (USD bn)</t>
  </si>
  <si>
    <t>Prepaid (%)</t>
  </si>
  <si>
    <t>Cut to gross profit</t>
  </si>
  <si>
    <t>Old</t>
  </si>
  <si>
    <t>New</t>
  </si>
  <si>
    <t>12% share of corporate checking accounts</t>
  </si>
  <si>
    <t>Bank a/c</t>
  </si>
  <si>
    <t>Personal loan yields</t>
  </si>
  <si>
    <t>per month</t>
  </si>
  <si>
    <t>annual</t>
  </si>
  <si>
    <t>Interest-earnings (USD m)</t>
  </si>
  <si>
    <t>Interest-earnings (BRL m)</t>
  </si>
  <si>
    <t>Adjusted net income</t>
  </si>
  <si>
    <t xml:space="preserve">Net income, adjusted </t>
  </si>
  <si>
    <t>Implied interest yield (total portfolio)</t>
  </si>
  <si>
    <t>Implied interest yield (interest bearing)</t>
  </si>
  <si>
    <t>Implied net interest expense (as NU discloses)</t>
  </si>
  <si>
    <t>Post Q3 22</t>
  </si>
  <si>
    <t xml:space="preserve"> (i) stage 1 include all receivables not classified in stages 2 and 3;</t>
  </si>
  <si>
    <t xml:space="preserve">All receivables are classified through stages, where: </t>
  </si>
  <si>
    <t>(ii) stage 2 is primarily related to all receivables more than 30 (thirty), but less than 90 (ninety), days in arrears, or with an increase in client's behavior risk score compared to the time of the origination; and</t>
  </si>
  <si>
    <t xml:space="preserve"> (iii) stage 3 when receivables are more than 90 (ninety) days in arrears, or there are indications that the financial asset will not be fully paid without a collateral or financial guarantee.</t>
  </si>
  <si>
    <t>Stage 1</t>
  </si>
  <si>
    <t>Stage 2</t>
  </si>
  <si>
    <t>Stage 3</t>
  </si>
  <si>
    <t>Gross</t>
  </si>
  <si>
    <t>as %</t>
  </si>
  <si>
    <t>Stage 2 (30-90)</t>
  </si>
  <si>
    <t>Stage 3 (&gt;90)</t>
  </si>
  <si>
    <t>Stage 2 provision as % total gross</t>
  </si>
  <si>
    <t>Stage 3 provision as % total gross</t>
  </si>
  <si>
    <t>Total 2 and 3 as %</t>
  </si>
  <si>
    <t>Credit assessment</t>
  </si>
  <si>
    <t>Charge offs</t>
  </si>
  <si>
    <t>Charge off per Q</t>
  </si>
  <si>
    <t>12m</t>
  </si>
  <si>
    <t>Underlying changes in Stage 3 (ex Charge off)</t>
  </si>
  <si>
    <t>Underlying charges in Stage 3 per Q (ex Charge off)</t>
  </si>
  <si>
    <t>Charge off plus Stage 3 formation</t>
  </si>
  <si>
    <t>Run-rate vs prior Q loan book</t>
  </si>
  <si>
    <t>as % total interchange</t>
  </si>
  <si>
    <t>Interchange fee regulation</t>
  </si>
  <si>
    <t>Previous estimates</t>
  </si>
  <si>
    <t>NU - in USD Millions</t>
  </si>
  <si>
    <t xml:space="preserve">Post SELIC </t>
  </si>
  <si>
    <t xml:space="preserve"> as % revenue</t>
  </si>
  <si>
    <t>Jan 27 chat</t>
  </si>
  <si>
    <t>Originations , delinquencies</t>
  </si>
  <si>
    <t>We would maintain pace of lending until delinquencies improve</t>
  </si>
  <si>
    <t>Early, 50-90 NPLs very slightly better for Q4…originate a little more, but not much more</t>
  </si>
  <si>
    <t>50-90 - Q4 tend to seasonally lower..as..13th salary</t>
  </si>
  <si>
    <t>pay some bills</t>
  </si>
  <si>
    <t>a lot of taxes come through in Q1</t>
  </si>
  <si>
    <t>90+ increased further</t>
  </si>
  <si>
    <t>50-90 needs to come down for 2/3 Qs before 90+ to come down</t>
  </si>
  <si>
    <t>Provisioning</t>
  </si>
  <si>
    <t>Continue to be mostly about growth</t>
  </si>
  <si>
    <t>CC portfolio</t>
  </si>
  <si>
    <t xml:space="preserve">Still growing </t>
  </si>
  <si>
    <t>CC</t>
  </si>
  <si>
    <t>hasn’t deviated much</t>
  </si>
  <si>
    <t>annualised loss for each portfolio</t>
  </si>
  <si>
    <t>Offered - family &amp; friends. Testing, App is running accordingly</t>
  </si>
  <si>
    <t>Q2 - will probably be expanded…to the whole customer base</t>
  </si>
  <si>
    <t>Maybe something in H2</t>
  </si>
  <si>
    <t>Will be very compelling as don’t have single 18% charge</t>
  </si>
  <si>
    <t>Not yet in payroll</t>
  </si>
  <si>
    <t>Less profitable…lower losses</t>
  </si>
  <si>
    <t>Ability to lend</t>
  </si>
  <si>
    <t>Loan to deposit ratio</t>
  </si>
  <si>
    <t>Q4 will see a lower cost of funding</t>
  </si>
  <si>
    <t>100% of customer base new funding in September</t>
  </si>
  <si>
    <t>Period of grace in Sept..</t>
  </si>
  <si>
    <t>Q4 everyone in for numeration scheme</t>
  </si>
  <si>
    <t>Hearing from analysts - down to 75-80% of CDI</t>
  </si>
  <si>
    <t>feasible</t>
  </si>
  <si>
    <t>Q3</t>
  </si>
  <si>
    <t>End of Sept</t>
  </si>
  <si>
    <t>91% of CFI</t>
  </si>
  <si>
    <t>ex SME</t>
  </si>
  <si>
    <t>may include SME..</t>
  </si>
  <si>
    <t>Consolidated basis…CSA termination</t>
  </si>
  <si>
    <t>CSA was still running</t>
  </si>
  <si>
    <t>BRL48m - vesting of share based comp.</t>
  </si>
  <si>
    <t>impact of BRL356m, cancellation impact</t>
  </si>
  <si>
    <t>NU formula</t>
  </si>
  <si>
    <t>Cost to serve still below &lt;$1</t>
  </si>
  <si>
    <t>ARPAC has grown marginally</t>
  </si>
  <si>
    <t>Customer growth… still onboard 1.5 per month in Brazil</t>
  </si>
  <si>
    <t>Q3 - no of money boxes 1.7m active boxes, one customer can have &gt;1 money box</t>
  </si>
  <si>
    <t>NU share price</t>
  </si>
  <si>
    <t>VCs</t>
  </si>
  <si>
    <t>90% of buyers are long only</t>
  </si>
  <si>
    <t>Adjustments to net income</t>
  </si>
  <si>
    <t xml:space="preserve">  of which on deposits</t>
  </si>
  <si>
    <t xml:space="preserve">  of which other</t>
  </si>
  <si>
    <t xml:space="preserve">  on deposits</t>
  </si>
  <si>
    <t xml:space="preserve">  on deposits as % CDI</t>
  </si>
  <si>
    <t>Reported funding cost</t>
  </si>
  <si>
    <t xml:space="preserve">Net interest income </t>
  </si>
  <si>
    <t xml:space="preserve">Gross profit </t>
  </si>
  <si>
    <t xml:space="preserve">Transactional expenses </t>
  </si>
  <si>
    <t>Deposits, USD</t>
  </si>
  <si>
    <t>Loan portfolio, USD</t>
  </si>
  <si>
    <t>Loan portfolio, BRL</t>
  </si>
  <si>
    <t>USDBRL quarter end</t>
  </si>
  <si>
    <t>BRL expansion in loans</t>
  </si>
  <si>
    <t>Stock expense/other</t>
  </si>
  <si>
    <t xml:space="preserve"> - of which stock comp</t>
  </si>
  <si>
    <t xml:space="preserve"> - other G&amp;A</t>
  </si>
  <si>
    <t>as % sales</t>
  </si>
  <si>
    <t>Prov</t>
  </si>
  <si>
    <t>FY 22 call</t>
  </si>
  <si>
    <t>Money box</t>
  </si>
  <si>
    <t>78% of CDI</t>
  </si>
  <si>
    <t>How much is seasonal…excess liquidity for customers due to 13th salary?</t>
  </si>
  <si>
    <t>Will remain at this sort of level in the coming quarters</t>
  </si>
  <si>
    <t>In Dec 22 pushed cost of funding down</t>
  </si>
  <si>
    <t>But haven't seen full impact yet…this is sustainable</t>
  </si>
  <si>
    <t>Big expansion in last 4 quarters</t>
  </si>
  <si>
    <t>Expect this to continue</t>
  </si>
  <si>
    <t>Credit portfolio will outpace deposits</t>
  </si>
  <si>
    <t>Loan to deposits to increase</t>
  </si>
  <si>
    <t>Lower cost of funding to help</t>
  </si>
  <si>
    <t>Don't need to reprice this</t>
  </si>
  <si>
    <t>Personal loans might outpace credit cards</t>
  </si>
  <si>
    <t>Personal loans should help NIM margins</t>
  </si>
  <si>
    <t>Cap on credit cards</t>
  </si>
  <si>
    <t>Lingering for over a decade in Brazil</t>
  </si>
  <si>
    <t>Product launches</t>
  </si>
  <si>
    <t>Auto insurance</t>
  </si>
  <si>
    <t>middle and upper income</t>
  </si>
  <si>
    <t>Scale money boxes</t>
  </si>
  <si>
    <t>Ultra violeta</t>
  </si>
  <si>
    <t>12m 2022</t>
  </si>
  <si>
    <t>9m 2022</t>
  </si>
  <si>
    <t>6m 2022</t>
  </si>
  <si>
    <t>3m 2022</t>
  </si>
  <si>
    <t>Capex</t>
  </si>
  <si>
    <t>as % opex</t>
  </si>
  <si>
    <t xml:space="preserve"> of which Stock compensation</t>
  </si>
  <si>
    <t xml:space="preserve"> of which one off termination</t>
  </si>
  <si>
    <t xml:space="preserve"> of which underlying</t>
  </si>
  <si>
    <t>Call with Jorg</t>
  </si>
  <si>
    <t>Q4 seasonality - how significant</t>
  </si>
  <si>
    <t>Understand how regulatory capital is shifting</t>
  </si>
  <si>
    <t>Other</t>
  </si>
  <si>
    <t>Fee / Comm income</t>
  </si>
  <si>
    <t>how going?</t>
  </si>
  <si>
    <t>numbers here? GMV, users etc</t>
  </si>
  <si>
    <t>Creditas relationship?</t>
  </si>
  <si>
    <t xml:space="preserve"> - of which credit cards</t>
  </si>
  <si>
    <t xml:space="preserve"> - of which other</t>
  </si>
  <si>
    <t>Implied interest yield credit cards</t>
  </si>
  <si>
    <t>Implied interest yield personal loans</t>
  </si>
  <si>
    <t>Active Personal loan customers</t>
  </si>
  <si>
    <t>Active Credit cards</t>
  </si>
  <si>
    <t>As % active</t>
  </si>
  <si>
    <t>Group</t>
  </si>
  <si>
    <t>as % total Personal loan book</t>
  </si>
  <si>
    <t>as % total Credit card book</t>
  </si>
  <si>
    <t>Colombian loan Portfolio (USD millions)</t>
  </si>
  <si>
    <t>Assumed % in Brazil</t>
  </si>
  <si>
    <t>Assumed % in Mexico</t>
  </si>
  <si>
    <t>Assumed % in Colombia</t>
  </si>
  <si>
    <t>Credit interchange</t>
  </si>
  <si>
    <t>Debit interchange</t>
  </si>
  <si>
    <t>Pre-paid</t>
  </si>
  <si>
    <t>Credit interchange fee (bps) - implied</t>
  </si>
  <si>
    <t>Loan Portfolio (USD millions) - net</t>
  </si>
  <si>
    <t>Loan Portfolio (USD millions) - gross</t>
  </si>
  <si>
    <t xml:space="preserve">Provisions (USD millions) </t>
  </si>
  <si>
    <t>as % gross</t>
  </si>
  <si>
    <t xml:space="preserve"> - of interchange</t>
  </si>
  <si>
    <t xml:space="preserve"> - of other</t>
  </si>
  <si>
    <t>Q1 24</t>
  </si>
  <si>
    <t>Q2 24</t>
  </si>
  <si>
    <t>Q3 24</t>
  </si>
  <si>
    <t>Q4 24</t>
  </si>
  <si>
    <t>Average Payroll/active client (BRL)</t>
  </si>
  <si>
    <t>% of active clients using payroll</t>
  </si>
  <si>
    <t># of active payroll</t>
  </si>
  <si>
    <t>Interest income – payroll</t>
  </si>
  <si>
    <t>of which, payroll</t>
  </si>
  <si>
    <t>Implied interest yield payroll</t>
  </si>
  <si>
    <t xml:space="preserve"> - of which payroll</t>
  </si>
  <si>
    <t>Originations, BRL million</t>
  </si>
  <si>
    <t>Payroll / other</t>
  </si>
  <si>
    <t>Other operating expenses</t>
  </si>
  <si>
    <t>Adds</t>
  </si>
  <si>
    <t>as $ deposits</t>
  </si>
  <si>
    <t>Equity Capital</t>
  </si>
  <si>
    <t>Financeira</t>
  </si>
  <si>
    <t>Pagamentos</t>
  </si>
  <si>
    <t>Reg Cap</t>
  </si>
  <si>
    <t>RWA</t>
  </si>
  <si>
    <t>Cap required</t>
  </si>
  <si>
    <t>Basel III Tier 1</t>
  </si>
  <si>
    <t>Capital buffer</t>
  </si>
  <si>
    <t>Ratio</t>
  </si>
  <si>
    <t>Max amount</t>
  </si>
  <si>
    <t>CURRENT</t>
  </si>
  <si>
    <t>How being phased in?</t>
  </si>
  <si>
    <t>New RWA</t>
  </si>
  <si>
    <t>Current ratio</t>
  </si>
  <si>
    <t>Reg capital (current)</t>
  </si>
  <si>
    <t>New cap req</t>
  </si>
  <si>
    <t>Extra capital needed</t>
  </si>
  <si>
    <t>What Basel Ratio targeting?</t>
  </si>
  <si>
    <t>10.5% or 14%?</t>
  </si>
  <si>
    <t>All 1 July</t>
  </si>
  <si>
    <t>Impact on ROE</t>
  </si>
  <si>
    <t>Reg changes on cash cards</t>
  </si>
  <si>
    <t>Push cash cards less, think TPV for cards will slow down?</t>
  </si>
  <si>
    <t>Where does capital come from?</t>
  </si>
  <si>
    <t>Deposits etc..post SVB</t>
  </si>
  <si>
    <t>Update on Q1</t>
  </si>
  <si>
    <t>Payroll lending..</t>
  </si>
  <si>
    <t>How much of payroll lending was retirees and covered by cap?</t>
  </si>
  <si>
    <t>Is cap now confirmed, 1.7% from 2.14%?</t>
  </si>
  <si>
    <t>Learning from SVB</t>
  </si>
  <si>
    <t>Born and raised in volatility, ALM always well maintained</t>
  </si>
  <si>
    <t>Understanding how social media, and bank runs</t>
  </si>
  <si>
    <t>PIX 24/7 relevant therefore</t>
  </si>
  <si>
    <t>important to monitor</t>
  </si>
  <si>
    <t>Through to Feb - asset quality</t>
  </si>
  <si>
    <t>Tail of 2 parts</t>
  </si>
  <si>
    <t>CC - life as usual…book navigated through cycles</t>
  </si>
  <si>
    <t>Personal - more restricitve in Q2 22. Improvements quarter after quarter, rates up, restricted credit</t>
  </si>
  <si>
    <t>Tenures are short, 5-6 months. Half of industry</t>
  </si>
  <si>
    <t>Better than expected</t>
  </si>
  <si>
    <t>Q4</t>
  </si>
  <si>
    <t>Q1</t>
  </si>
  <si>
    <t>seasonal positive</t>
  </si>
  <si>
    <t>seasonal weakness</t>
  </si>
  <si>
    <t>30-40 bps improvement on &gt;90 days. NU was 50 bps, based on personal loans</t>
  </si>
  <si>
    <t>15-90 usual up 80 bps..up to Feb, up close to this or slightly better</t>
  </si>
  <si>
    <t>Translation into growth?</t>
  </si>
  <si>
    <t>A little more agnostic on macro</t>
  </si>
  <si>
    <t>Story will be share gains, rather than pie gains</t>
  </si>
  <si>
    <t>First 2 months of the year</t>
  </si>
  <si>
    <t>BRL2 billion per month in Jan/Feb….average was BRL1.5 billion in 2022</t>
  </si>
  <si>
    <t>New cohorts behaving better</t>
  </si>
  <si>
    <t>cherry pick as other banks have retrenched</t>
  </si>
  <si>
    <t>macro somewhat unchanged</t>
  </si>
  <si>
    <t>TAM for payroll lending</t>
  </si>
  <si>
    <t>INSS/retirees</t>
  </si>
  <si>
    <t>40-45% of total payroll</t>
  </si>
  <si>
    <t>Public servants</t>
  </si>
  <si>
    <t>15-20%</t>
  </si>
  <si>
    <t>Two thirds of the market</t>
  </si>
  <si>
    <t>Credited for both but public servants only</t>
  </si>
  <si>
    <t>Gain share of wallet in the higher end of market</t>
  </si>
  <si>
    <t>Mostly good socio economic buckets</t>
  </si>
  <si>
    <t>All public payroll have caps</t>
  </si>
  <si>
    <t>INSS usually comes first</t>
  </si>
  <si>
    <t>launched</t>
  </si>
  <si>
    <t>FROM</t>
  </si>
  <si>
    <t>TO</t>
  </si>
  <si>
    <t>1.7% cap was proposed…10 biggest players inc Banco Brasil and Caixa - stopped originations</t>
  </si>
  <si>
    <t>product became unprofitable</t>
  </si>
  <si>
    <t>Last Thursday - new cap announced</t>
  </si>
  <si>
    <t>Lula had to interfere</t>
  </si>
  <si>
    <t>All caps negative…if not followed by reduction in funding cost BUT primary assumption is that originate loan broker, charges 15-18% of loan</t>
  </si>
  <si>
    <t>Public payroll</t>
  </si>
  <si>
    <t>Doing super well</t>
  </si>
  <si>
    <t>Assumed price would be most important factor..</t>
  </si>
  <si>
    <t>2 other key factors:</t>
  </si>
  <si>
    <t>cash availability…how fast disbursement comes…physical touch point needed elsewhere (3-5 days). Taking 120 seconds</t>
  </si>
  <si>
    <t>anonymity helps…$1.5 to $2.5 per month</t>
  </si>
  <si>
    <t>Last by Jan 25</t>
  </si>
  <si>
    <t>Today running &gt;20% of Basel Index</t>
  </si>
  <si>
    <t>Fully loaded 9.5-10% (i.e. when up and running)</t>
  </si>
  <si>
    <t>Cash sits in Holding company, and needs reallocating</t>
  </si>
  <si>
    <t>$2.5 billion of excess capital in Holding Co</t>
  </si>
  <si>
    <t>Capital sustainability</t>
  </si>
  <si>
    <t>When your ROE surpasses RWA growth</t>
  </si>
  <si>
    <t>By end of 2024</t>
  </si>
  <si>
    <t>No longer require extra capital</t>
  </si>
  <si>
    <t>No change to pre-paid or debit cards</t>
  </si>
  <si>
    <t>Continue to be an important entry point for clients</t>
  </si>
  <si>
    <t>Will happen when slow down net new adds</t>
  </si>
  <si>
    <t>1 to 1.5 million per month (adds)</t>
  </si>
  <si>
    <t>Purchase volume by cohort</t>
  </si>
  <si>
    <t>New cohorts x3 every 24 months</t>
  </si>
  <si>
    <t>Investments - discontinuing Eas Invest, focus on NU. Foster of cross sell</t>
  </si>
  <si>
    <t>Launching new products…pension, analysing this</t>
  </si>
  <si>
    <t>Partnerships…</t>
  </si>
  <si>
    <t>net</t>
  </si>
  <si>
    <t>=</t>
  </si>
  <si>
    <t>%</t>
  </si>
  <si>
    <t xml:space="preserve"> gross </t>
  </si>
  <si>
    <t xml:space="preserve">less </t>
  </si>
  <si>
    <t>provision</t>
  </si>
  <si>
    <t xml:space="preserve">provision </t>
  </si>
  <si>
    <t xml:space="preserve">% </t>
  </si>
  <si>
    <t>gross</t>
  </si>
  <si>
    <t>less</t>
  </si>
  <si>
    <t>Stock options/other</t>
  </si>
  <si>
    <t>P/E (adj)</t>
  </si>
  <si>
    <t>Net income (rep)</t>
  </si>
  <si>
    <t>Net income (adj) - after stock exp / other</t>
  </si>
  <si>
    <t>% adjusted margin</t>
  </si>
  <si>
    <t>Net income adj</t>
  </si>
  <si>
    <t>Total effective rate</t>
  </si>
  <si>
    <t>Net (rep)</t>
  </si>
  <si>
    <t>Net (adj)</t>
  </si>
  <si>
    <t xml:space="preserve"> - of which Brazil</t>
  </si>
  <si>
    <t>Other (Consol. Less Br)</t>
  </si>
  <si>
    <t>Non interest revenue</t>
  </si>
  <si>
    <t>Interest revenue</t>
  </si>
  <si>
    <t>Losses</t>
  </si>
  <si>
    <t>Net CC margin</t>
  </si>
  <si>
    <t>Net Payroll margin</t>
  </si>
  <si>
    <t>Net Personal loan margin</t>
  </si>
  <si>
    <t>23-25e CAGR</t>
  </si>
  <si>
    <t>Q1 23 call</t>
  </si>
  <si>
    <t>Tax forecasts?</t>
  </si>
  <si>
    <t>Loan to deposits</t>
  </si>
  <si>
    <t>Loan to deposit ratio…been going up, where to end up?</t>
  </si>
  <si>
    <t>Reported</t>
  </si>
  <si>
    <t>Adjusted</t>
  </si>
  <si>
    <t xml:space="preserve">   - as % securities</t>
  </si>
  <si>
    <t>Why securities dropped</t>
  </si>
  <si>
    <t>Share / equity issuance (vesting)</t>
  </si>
  <si>
    <t>Payroll lending in numbers ? From Q2..?</t>
  </si>
  <si>
    <t>Credit card caps</t>
  </si>
  <si>
    <t>BRL loans</t>
  </si>
  <si>
    <t>Interest bearing loans</t>
  </si>
  <si>
    <t>Interest bearing Credit card</t>
  </si>
  <si>
    <t>Non-interest bearing</t>
  </si>
  <si>
    <t>Interest bearing as % CC</t>
  </si>
  <si>
    <t>How thinking about growth in Mexico vs Brazil going forward?</t>
  </si>
  <si>
    <t>Any reg issues in Mexico as we've seen in Brazil?</t>
  </si>
  <si>
    <t>ROE of 30% on Payroll</t>
  </si>
  <si>
    <t>Walk through calc here</t>
  </si>
  <si>
    <t xml:space="preserve"> - Brazil</t>
  </si>
  <si>
    <t xml:space="preserve"> - Mexico</t>
  </si>
  <si>
    <t xml:space="preserve"> - Colombia</t>
  </si>
  <si>
    <t>Registered Adds</t>
  </si>
  <si>
    <t>Activity rate</t>
  </si>
  <si>
    <t>Subs flat in Mexico?</t>
  </si>
  <si>
    <t>What share of CC receivables from Mexico</t>
  </si>
  <si>
    <t>Are NuPay and Pix (consumer financing) part of the receivable book?</t>
  </si>
  <si>
    <t>Efficiency ratio</t>
  </si>
  <si>
    <t>NII + F&amp;C</t>
  </si>
  <si>
    <t>Costs (inc SBC)</t>
  </si>
  <si>
    <t>Mexico / Colombia / HQ</t>
  </si>
  <si>
    <t>Efficiency</t>
  </si>
  <si>
    <t>NII + F&amp;C - check Mexico contribution; strong in Q4 21…~10% today</t>
  </si>
  <si>
    <t>Makes sense running ahead of subs contribution?</t>
  </si>
  <si>
    <t>Interest bearing growing v quickly - is this driven by Mexico?</t>
  </si>
  <si>
    <t>What's a realistic target here</t>
  </si>
  <si>
    <t>What are incumbents traditionally at?</t>
  </si>
  <si>
    <t>What peers get to?</t>
  </si>
  <si>
    <t>BS (gross) - BRL</t>
  </si>
  <si>
    <t>Risk weighted assets are lower</t>
  </si>
  <si>
    <t>75% RWA</t>
  </si>
  <si>
    <t>50% RWA</t>
  </si>
  <si>
    <t>Denominator is smaller</t>
  </si>
  <si>
    <t>10.5% or 12% Basel</t>
  </si>
  <si>
    <t>Credit card business is different to Br</t>
  </si>
  <si>
    <t>Br is ~25%. Mexico is similar to US. Closer to 60%</t>
  </si>
  <si>
    <t>more WC than Br, higher ROE business</t>
  </si>
  <si>
    <t xml:space="preserve">financing tool, rather than payment tool </t>
  </si>
  <si>
    <t>Flattish QoQ subs</t>
  </si>
  <si>
    <t>Cuenta Nu launch</t>
  </si>
  <si>
    <t>Only said yes to 30% of CC requests</t>
  </si>
  <si>
    <t>Now will be able to say yes to 100%</t>
  </si>
  <si>
    <t>Opportunity to see maturation of cohorts</t>
  </si>
  <si>
    <t>Left cohorts to mature</t>
  </si>
  <si>
    <t>Now accelerate</t>
  </si>
  <si>
    <t>Improve underwriting models</t>
  </si>
  <si>
    <t>Costs</t>
  </si>
  <si>
    <t>Headcount up flattish…18 to 24 months</t>
  </si>
  <si>
    <t>Int income</t>
  </si>
  <si>
    <t>Revenue from purchasing receivables</t>
  </si>
  <si>
    <t>Other exp</t>
  </si>
  <si>
    <t>PIS / COFINS</t>
  </si>
  <si>
    <t>FX, currencies in other currencies…in USD and EUR, intercompany also</t>
  </si>
  <si>
    <t>as % revs</t>
  </si>
  <si>
    <t>Rising net income</t>
  </si>
  <si>
    <t>Mexico / Colombia / HQ as % Group</t>
  </si>
  <si>
    <t>Q&amp;A</t>
  </si>
  <si>
    <t>When can provisioning be a tailwind?</t>
  </si>
  <si>
    <t>Coverage ratio trend… 90+ stable at 213/214%</t>
  </si>
  <si>
    <t>Should delinquencies improve, could be a tailwind. Not forecasting</t>
  </si>
  <si>
    <t>Payroll launch, significant in H2?</t>
  </si>
  <si>
    <t>Lower risk</t>
  </si>
  <si>
    <t>Pricing effectively. Rates 30-40% below market</t>
  </si>
  <si>
    <t>Customers have 35% pen of this product</t>
  </si>
  <si>
    <t>Largest profit pool in financial services</t>
  </si>
  <si>
    <t>Launched ISS and portability in H2</t>
  </si>
  <si>
    <t>in a declining rate environment, this should help</t>
  </si>
  <si>
    <t>will lean into</t>
  </si>
  <si>
    <t>Don’t think payroll will move the needle in 2023, more in 2024 and beyond</t>
  </si>
  <si>
    <t>Focus on transactors not revolvers. Would like 100% of transactors</t>
  </si>
  <si>
    <t>High level of revolvers (7%) not desirable but better than market (16%)</t>
  </si>
  <si>
    <t>PIX financing</t>
  </si>
  <si>
    <t>Customers finance at low instalments at low rates</t>
  </si>
  <si>
    <t>Portfolio of longer dated lower delinquency portfolio…want to grow this</t>
  </si>
  <si>
    <t>40% of personal consumption</t>
  </si>
  <si>
    <t>20% of GDP in Brazil</t>
  </si>
  <si>
    <t>Changes to industry will have a relevant economic impact</t>
  </si>
  <si>
    <t>CCs / rate gap</t>
  </si>
  <si>
    <t>Earnings in Brazil</t>
  </si>
  <si>
    <t>Don't look just at figures to BCB… only full reg operations in Brazil, some are missing</t>
  </si>
  <si>
    <t>Profitable ops in Br, profitable at Hold Co due to $2.4 billion cash, losses in Mexico and Colombia</t>
  </si>
  <si>
    <t>Higher income</t>
  </si>
  <si>
    <t>Low and medium income v popular</t>
  </si>
  <si>
    <t>Higher income sector…is a priority for 2023/24…good amount of time looking into this. Looked around the world</t>
  </si>
  <si>
    <t>2 steps</t>
  </si>
  <si>
    <t>Customer acquisition</t>
  </si>
  <si>
    <t>Customer monetisation</t>
  </si>
  <si>
    <t>Have acquired &gt;BRL12,000 earners- have over 60% of Br being customers of Nu</t>
  </si>
  <si>
    <t>Deepen relationship, and increase share of wallet</t>
  </si>
  <si>
    <t>Nu has a similar subs break down, but share of wallet in high income is low</t>
  </si>
  <si>
    <t>17% - despite excess capital, despite losses in Mex and Col. Better than peers</t>
  </si>
  <si>
    <t>Give some back through price but likely keep some ROE</t>
  </si>
  <si>
    <t>AI</t>
  </si>
  <si>
    <t>Cost efficiency</t>
  </si>
  <si>
    <t>AML</t>
  </si>
  <si>
    <t>Consumer facing front also</t>
  </si>
  <si>
    <t>Smartphone as bank for consumers</t>
  </si>
  <si>
    <t>AI - put a bank, and a banker in back pocket</t>
  </si>
  <si>
    <t>Different credit card market…revolving is more important presumably?</t>
  </si>
  <si>
    <t xml:space="preserve">More borrowing, than transactors </t>
  </si>
  <si>
    <t>Some key differences with Brazil</t>
  </si>
  <si>
    <t>So higher interest bearing receivables</t>
  </si>
  <si>
    <t>Higher risk therefore</t>
  </si>
  <si>
    <t>Penetration of fin services much lower than in Brazil</t>
  </si>
  <si>
    <t>More of a financial inclusion play</t>
  </si>
  <si>
    <t>Pleased with traction since launch 3 years ago</t>
  </si>
  <si>
    <t>Cuenta Nu should be game changer</t>
  </si>
  <si>
    <t>Help to gather data and approve customers</t>
  </si>
  <si>
    <t>More unbanked than banked story</t>
  </si>
  <si>
    <t>Challenge as need to underwrite those who have never had credit. Assess as they go, a little stop start perhaps</t>
  </si>
  <si>
    <t>88% of pops not underwritten. 12% credit card pops</t>
  </si>
  <si>
    <t>ROEs of ~30% are still being targeted</t>
  </si>
  <si>
    <t>Holding Co</t>
  </si>
  <si>
    <t>Positive net income here - slightly better results out of Treasury</t>
  </si>
  <si>
    <t>Fairly conservative policy, investing in safe and liquid assets</t>
  </si>
  <si>
    <t>Regulation</t>
  </si>
  <si>
    <t>Resolution 200, from Q1 2022. Harmonised for payment institutions and financial instiutions</t>
  </si>
  <si>
    <t>July 23 - operating as such</t>
  </si>
  <si>
    <t>Fin</t>
  </si>
  <si>
    <t>Basel ratio &gt;20%</t>
  </si>
  <si>
    <t>Whole conglom</t>
  </si>
  <si>
    <t>Brazil would be &gt;12%</t>
  </si>
  <si>
    <t>Brazil would need to be &gt;6.5%</t>
  </si>
  <si>
    <t>Captial in Br</t>
  </si>
  <si>
    <t>Well ahead of cap needs, without mentioning the $2.4 billion in Hold Co</t>
  </si>
  <si>
    <t>Capital is $2 billion, min reg is $1.2 billion</t>
  </si>
  <si>
    <t>Br operations continue to be profitable, generating relevant earnings</t>
  </si>
  <si>
    <t>What to do with BS</t>
  </si>
  <si>
    <t>Hold Co - no plans to distribute cash</t>
  </si>
  <si>
    <t>Earnings will be used to reinvest</t>
  </si>
  <si>
    <t>Could do distros from Br to Hold Co</t>
  </si>
  <si>
    <t>Credit card limits</t>
  </si>
  <si>
    <t>Start conservative, "low and grow strategy", particularly for low/mid cohorts</t>
  </si>
  <si>
    <t>2021/22</t>
  </si>
  <si>
    <t>Strong covid recovery</t>
  </si>
  <si>
    <t>over the last 6-12 months, consumer credit has eased back which includes credit cards</t>
  </si>
  <si>
    <t>NU doing better, gaining 40-50bps share per Q, but would expect this to continue</t>
  </si>
  <si>
    <t>Broader Br credit environment</t>
  </si>
  <si>
    <t>PIX</t>
  </si>
  <si>
    <t>No impact on card volume</t>
  </si>
  <si>
    <t>Primarily cannibalising cash, some early signs of debit and pre-paid</t>
  </si>
  <si>
    <t>rather PIX, financial inclusion, and coupled with credit cards</t>
  </si>
  <si>
    <t>Similar to UPI in India</t>
  </si>
  <si>
    <t>This has helped and been a tailwind</t>
  </si>
  <si>
    <t xml:space="preserve"> as % originations</t>
  </si>
  <si>
    <t>ECL split by</t>
  </si>
  <si>
    <t xml:space="preserve"> - Personal loans</t>
  </si>
  <si>
    <t xml:space="preserve"> - Credit cards</t>
  </si>
  <si>
    <t xml:space="preserve"> as % adj. interest income</t>
  </si>
  <si>
    <t>Implied Expected credit losses (gross loan book)</t>
  </si>
  <si>
    <t>Rates</t>
  </si>
  <si>
    <t>Blended CC average</t>
  </si>
  <si>
    <t>Revolving analysis</t>
  </si>
  <si>
    <t>Nu IR catch up (Aug 31st)</t>
  </si>
  <si>
    <t>Revolving cc's</t>
  </si>
  <si>
    <t>Instalment - check this includes PIX Parcelado?</t>
  </si>
  <si>
    <t>What is take up here?</t>
  </si>
  <si>
    <t>Concur this is equivalent to debit in $ gross terms</t>
  </si>
  <si>
    <t>Per month</t>
  </si>
  <si>
    <t>Maths on ROE of payroll</t>
  </si>
  <si>
    <t>How to think about credit loss provisions</t>
  </si>
  <si>
    <t>Direction of travel on loan book</t>
  </si>
  <si>
    <t>Originations up to BRL7.3 billion on Personal loans</t>
  </si>
  <si>
    <t>Personal loans in BRLm</t>
  </si>
  <si>
    <t>Personal loans in USDm</t>
  </si>
  <si>
    <t>Sequential increase all coming from credit cards</t>
  </si>
  <si>
    <t>Personal loan component small, despite rising originations</t>
  </si>
  <si>
    <t>Implied rate booked in Q2?</t>
  </si>
  <si>
    <t>Impact if 100% cap</t>
  </si>
  <si>
    <t>Impact on issuance of cards, volumes</t>
  </si>
  <si>
    <t>How do rates compare to cc - future direction of industry with revolving caps?</t>
  </si>
  <si>
    <t>Competition, UALA, Rappi, Pago</t>
  </si>
  <si>
    <t>Subs growth ok, not super rapid</t>
  </si>
  <si>
    <t>ITR also from outside</t>
  </si>
  <si>
    <t>Acknowledge govt and regulator to relevance and product</t>
  </si>
  <si>
    <t>Don't appreciate the cap - 100%. This is the UK model, no more than principal</t>
  </si>
  <si>
    <t>Self regulation with proposed alternatives…90 days after approval of Law</t>
  </si>
  <si>
    <t>Would be negative 1st derivative…would curb growth of product</t>
  </si>
  <si>
    <t>Options</t>
  </si>
  <si>
    <t>40% of cards are multple instalments…with no interest</t>
  </si>
  <si>
    <t>higher rates, lower cost of funding (retail). Compare to Mexico. Unit economics are lower than in Mexico</t>
  </si>
  <si>
    <t>PIX financing - much lower yields, 4-6% vs &gt;10% in revolving</t>
  </si>
  <si>
    <t>PIX take up</t>
  </si>
  <si>
    <t>Was 8% a while ago….50% of this delta came from PIX financing</t>
  </si>
  <si>
    <t>Rest is other features, purchase financing</t>
  </si>
  <si>
    <t>In Brazil, after a number of days obliged to offer users in revolving an alternative with lower rates (with upfront payment)</t>
  </si>
  <si>
    <t xml:space="preserve">PIX </t>
  </si>
  <si>
    <t>More like a working capital product, wrapped in CC experience. Only can use if have a credit cards, as consumes credit card limit</t>
  </si>
  <si>
    <t>If transfer, can use credit card for transfers</t>
  </si>
  <si>
    <t>tickets are much much lower, BRL2000 for personal loans, &lt;BRL100 for PIX</t>
  </si>
  <si>
    <t>duration of 1-2 months for PIX, 6-7 for personal loans</t>
  </si>
  <si>
    <t>6.1% for persona loans, 4-6% for PIX, av closer to 6%</t>
  </si>
  <si>
    <t>losses for PIX are lower</t>
  </si>
  <si>
    <t>unit economics closer to personal</t>
  </si>
  <si>
    <t>use cases - can use in-store for P2M but also used for P2P</t>
  </si>
  <si>
    <t>pay barber p2p/p2m blend</t>
  </si>
  <si>
    <t>more regular BNPL product</t>
  </si>
  <si>
    <t>E-Comm mostly…might add to POS. Focus on adding most relevant E-Comm</t>
  </si>
  <si>
    <t>ifood, Uber also</t>
  </si>
  <si>
    <t>saving fees and boosting convergence</t>
  </si>
  <si>
    <t>(for all credit card holders)</t>
  </si>
  <si>
    <t>(need to have agreement with counterpart)</t>
  </si>
  <si>
    <t>can be a checkout solution</t>
  </si>
  <si>
    <t>tokenised</t>
  </si>
  <si>
    <t>uber/ifood 2 largest by volume</t>
  </si>
  <si>
    <t>This or next week</t>
  </si>
  <si>
    <t>NU volumes strong</t>
  </si>
  <si>
    <t>A number of VCs - selling here</t>
  </si>
  <si>
    <t>When vols increase, looks like sellers. Sequoia, kazak</t>
  </si>
  <si>
    <t>2-3 years need to return funds, notably after results also. One board member of Sequoia, can only trade in 15 days after results</t>
  </si>
  <si>
    <t>Distributions…positions transferred into Evergeen fund</t>
  </si>
  <si>
    <t>Coming back into this vehicle</t>
  </si>
  <si>
    <t>Macro</t>
  </si>
  <si>
    <t>Macro environment has not shown signs of improvement</t>
  </si>
  <si>
    <t>Inflation down, rates down…GDP accelerating</t>
  </si>
  <si>
    <t>BUT, debt service numbers have not improved…haven't seen this yet in NU numbers or BCB</t>
  </si>
  <si>
    <t>For NU</t>
  </si>
  <si>
    <t>Cohorts for PLs behave better than expected, so ability to grow in this product</t>
  </si>
  <si>
    <t>Very far from fair show</t>
  </si>
  <si>
    <t xml:space="preserve">40-45% of PLs outstanding balance in system taken by NU clients elsewhere. Just 5% share today </t>
  </si>
  <si>
    <t>Only 10% of consumers using PLs</t>
  </si>
  <si>
    <t>Growth and risk</t>
  </si>
  <si>
    <t>Risk part is improving, so reversing part of this</t>
  </si>
  <si>
    <t>Risk portion includes in-model adjustments</t>
  </si>
  <si>
    <t>This is going up</t>
  </si>
  <si>
    <t>Client mix, product mix evolving</t>
  </si>
  <si>
    <t>Add new clients into the product</t>
  </si>
  <si>
    <t>Underwriting</t>
  </si>
  <si>
    <t>Assume future worse than the past</t>
  </si>
  <si>
    <t>Effective losses might double, NPV can be positive</t>
  </si>
  <si>
    <t>Revolving in Brazil</t>
  </si>
  <si>
    <t>Yield (per Q)</t>
  </si>
  <si>
    <t>Instalment with interest</t>
  </si>
  <si>
    <t>Net tax</t>
  </si>
  <si>
    <t>Mexico - 70% yield interest, Colombia and the US/UK…compares to 25% in Brazil</t>
  </si>
  <si>
    <t>Capex / D&amp;A</t>
  </si>
  <si>
    <t>OpFCF / EBIT</t>
  </si>
  <si>
    <t>Interest</t>
  </si>
  <si>
    <t>Net income / EFCF</t>
  </si>
  <si>
    <t>Debt</t>
  </si>
  <si>
    <t>Net debt to EBITDA</t>
  </si>
  <si>
    <t>CoF</t>
  </si>
  <si>
    <t>Tax @ 34%</t>
  </si>
  <si>
    <t>EV/EBITDA</t>
  </si>
  <si>
    <t>Today</t>
  </si>
  <si>
    <t>Lever up</t>
  </si>
  <si>
    <t>Multiple to EFCF / PE</t>
  </si>
  <si>
    <t>Dividend</t>
  </si>
  <si>
    <t>Shareholders</t>
  </si>
  <si>
    <t>Instalments as % CC</t>
  </si>
  <si>
    <t>PIX as % 12m growth</t>
  </si>
  <si>
    <t>Instalments component</t>
  </si>
  <si>
    <t>Growth from PIX</t>
  </si>
  <si>
    <t>CC receivables</t>
  </si>
  <si>
    <t>Total Group</t>
  </si>
  <si>
    <t>Brazil (individuals only)</t>
  </si>
  <si>
    <t>Credit card receivables  (Brazil, individuals)</t>
  </si>
  <si>
    <t>Interest income Credit cards (Group)</t>
  </si>
  <si>
    <t>Assumed interest income for Brazil (est)</t>
  </si>
  <si>
    <t>Split of Brazil</t>
  </si>
  <si>
    <t>Interest free</t>
  </si>
  <si>
    <t>NU Q2 22</t>
  </si>
  <si>
    <t>NU Q2 23</t>
  </si>
  <si>
    <t>Industry Q2 22</t>
  </si>
  <si>
    <t>Industry Q2 23</t>
  </si>
  <si>
    <t>Instalments NU</t>
  </si>
  <si>
    <t>Revolving NU</t>
  </si>
  <si>
    <t>Instalments Industry</t>
  </si>
  <si>
    <t>Revolving Industry</t>
  </si>
  <si>
    <t>Interchange (credit cards only)</t>
  </si>
  <si>
    <t>Interest expenses</t>
  </si>
  <si>
    <t>OpEx</t>
  </si>
  <si>
    <t>Transaction costs</t>
  </si>
  <si>
    <t>Revenue less interest expenses</t>
  </si>
  <si>
    <t>Other (including interest on securities)</t>
  </si>
  <si>
    <t>Revenue, BRL million</t>
  </si>
  <si>
    <t>ECLs</t>
  </si>
  <si>
    <t>Deposits not lend out</t>
  </si>
  <si>
    <t>Not loaned</t>
  </si>
  <si>
    <t>Revenue less expenses, less ECLs</t>
  </si>
  <si>
    <t>NU interest bearing</t>
  </si>
  <si>
    <t>US/UK</t>
  </si>
  <si>
    <t>Mexico/Col</t>
  </si>
  <si>
    <t>Personal loan</t>
  </si>
  <si>
    <t>Top line</t>
  </si>
  <si>
    <t>PAGS</t>
  </si>
  <si>
    <t>STNE</t>
  </si>
  <si>
    <t>MELI</t>
  </si>
  <si>
    <t>ADYEN</t>
  </si>
  <si>
    <t xml:space="preserve">DLO </t>
  </si>
  <si>
    <t>WLN</t>
  </si>
  <si>
    <t>NEXI</t>
  </si>
  <si>
    <t>Month 1 (13.5%)</t>
  </si>
  <si>
    <t>Months 2-6 (9%)</t>
  </si>
  <si>
    <t>Revolving loan</t>
  </si>
  <si>
    <t>Cap</t>
  </si>
  <si>
    <t xml:space="preserve">Late fees </t>
  </si>
  <si>
    <t>Market share</t>
  </si>
  <si>
    <t>Q3 23E</t>
  </si>
  <si>
    <t>Chat with NU</t>
  </si>
  <si>
    <t>Instalments in general too much</t>
  </si>
  <si>
    <t>Prefer no caps</t>
  </si>
  <si>
    <t>Customers will be limited</t>
  </si>
  <si>
    <t>August stock price</t>
  </si>
  <si>
    <t>Supply imbalance…Sequoia distributing shares to LPs</t>
  </si>
  <si>
    <t>9% of total to 5%</t>
  </si>
  <si>
    <t>Evergreen</t>
  </si>
  <si>
    <t>Equities in general</t>
  </si>
  <si>
    <t>UK Cap</t>
  </si>
  <si>
    <t>Less of a hot topic</t>
  </si>
  <si>
    <t>Scaling lending</t>
  </si>
  <si>
    <t>Secured lending</t>
  </si>
  <si>
    <t>Very disruptive</t>
  </si>
  <si>
    <t>Fully digital</t>
  </si>
  <si>
    <t>Launching INSS - pensions, a lot of tractions</t>
  </si>
  <si>
    <t>Not yet launched portability…move from Bank x to NU…good once rates come down</t>
  </si>
  <si>
    <t>Break down the portfolio?</t>
  </si>
  <si>
    <t>End 2024</t>
  </si>
  <si>
    <t>Rolling somewhat slowly</t>
  </si>
  <si>
    <t>Other products</t>
  </si>
  <si>
    <t xml:space="preserve">Q3 originations </t>
  </si>
  <si>
    <t>So far, as of mid quarter</t>
  </si>
  <si>
    <t>1.7-1.9% per month</t>
  </si>
  <si>
    <t>ann &lt;3%</t>
  </si>
  <si>
    <t>funding cost - CDI</t>
  </si>
  <si>
    <t>100% funded with deposits</t>
  </si>
  <si>
    <t>Pace of growth</t>
  </si>
  <si>
    <t>Neutral</t>
  </si>
  <si>
    <t>Tier 1 Capital</t>
  </si>
  <si>
    <t>Balance sheet health</t>
  </si>
  <si>
    <t>Tier 2 Capital</t>
  </si>
  <si>
    <t>Total Reg Capital</t>
  </si>
  <si>
    <t>Operational</t>
  </si>
  <si>
    <t>Common equity</t>
  </si>
  <si>
    <t>Additional</t>
  </si>
  <si>
    <t>Min Capital</t>
  </si>
  <si>
    <t>Basel</t>
  </si>
  <si>
    <t>Excess Capital</t>
  </si>
  <si>
    <t>Adj Equity</t>
  </si>
  <si>
    <t>Capital ratio</t>
  </si>
  <si>
    <t>Reg Capital</t>
  </si>
  <si>
    <t>Min ration as Cat 4 SOFIPO</t>
  </si>
  <si>
    <t xml:space="preserve">Assets </t>
  </si>
  <si>
    <t>NU Capital ratio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</si>
</sst>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_);\(#,##0\);#,##0_);@_)"/>
    <numFmt numFmtId="165" formatCode="_(* #,##0.00_);_(* \(#,##0.00\);_(* &quot;-&quot;??_);_(@_)"/>
    <numFmt numFmtId="166" formatCode="_(* #,##0_);_(* \(#,##0\);_(* &quot;-&quot;??_);_(@_)"/>
    <numFmt numFmtId="167" formatCode="0.0%"/>
    <numFmt numFmtId="168" formatCode="0.0"/>
    <numFmt numFmtId="169" formatCode="0.000%"/>
    <numFmt numFmtId="170" formatCode="#,##0.0"/>
    <numFmt numFmtId="171" formatCode="_-&quot;R$&quot;\ * #,##0.00_-;\-&quot;R$&quot;\ * #,##0.00_-;_-&quot;R$&quot;\ * &quot;-&quot;??_-;_-@_-"/>
    <numFmt numFmtId="172" formatCode="&quot;R$&quot;#,##0.00"/>
    <numFmt numFmtId="173" formatCode="&quot;R$&quot;#,##0"/>
    <numFmt numFmtId="174" formatCode="[$$-C09]#,##0"/>
    <numFmt numFmtId="175" formatCode="[$$-C09]#,##0.00"/>
    <numFmt numFmtId="176" formatCode="[$$-C09]#,##0.0;\-[$$-C09]#,##0.0"/>
    <numFmt numFmtId="177" formatCode="#.##\x"/>
    <numFmt numFmtId="178" formatCode="#,##0.0;\(#,##0.0\)"/>
    <numFmt numFmtId="179" formatCode="#,##0;\(#,##0\)"/>
    <numFmt numFmtId="180" formatCode="#,##0.0000"/>
    <numFmt numFmtId="181" formatCode="&quot;$&quot;#,##0.0_);[Red]\(&quot;$&quot;#,##0.0\)"/>
    <numFmt numFmtId="182" formatCode="0.000"/>
    <numFmt numFmtId="183" formatCode="#,##0.000"/>
  </numFmts>
  <fonts count="147"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9"/>
      <color theme="1"/>
      <name val="Calibri"/>
      <family val="2"/>
    </font>
    <font>
      <sz val="10"/>
      <color indexed="8"/>
      <name val="Calibri"/>
      <family val="2"/>
    </font>
    <font>
      <sz val="8"/>
      <name val="Calibri"/>
      <family val="2"/>
    </font>
    <font>
      <b/>
      <sz val="18"/>
      <name val="Calibri"/>
      <family val="2"/>
    </font>
    <font>
      <sz val="9"/>
      <name val="Calibri"/>
      <family val="2"/>
    </font>
    <font>
      <sz val="10"/>
      <name val="Calibri"/>
      <family val="2"/>
    </font>
    <font>
      <b/>
      <sz val="10"/>
      <name val="Calibri"/>
      <family val="2"/>
    </font>
    <font>
      <i/>
      <sz val="10"/>
      <name val="Calibri"/>
      <family val="2"/>
    </font>
    <font>
      <b/>
      <i/>
      <sz val="9"/>
      <name val="Calibri"/>
      <family val="2"/>
    </font>
    <font>
      <sz val="9"/>
      <color theme="1"/>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0"/>
      <name val="Calibri"/>
      <family val="2"/>
      <scheme val="minor"/>
    </font>
    <font>
      <sz val="11"/>
      <name val="Calibri"/>
      <family val="2"/>
      <scheme val="minor"/>
    </font>
    <font>
      <b/>
      <sz val="11"/>
      <name val="Calibri"/>
      <family val="2"/>
      <scheme val="minor"/>
    </font>
    <font>
      <b/>
      <sz val="10"/>
      <name val="Calibri"/>
      <family val="2"/>
      <scheme val="minor"/>
    </font>
    <font>
      <b/>
      <sz val="9"/>
      <color indexed="81"/>
      <name val="Tahoma"/>
      <family val="2"/>
    </font>
    <font>
      <sz val="9"/>
      <color indexed="81"/>
      <name val="Tahoma"/>
      <family val="2"/>
    </font>
    <font>
      <sz val="10"/>
      <name val="Trebuchet MS"/>
      <family val="2"/>
    </font>
    <font>
      <b/>
      <sz val="10"/>
      <name val="Trebuchet MS"/>
      <family val="2"/>
    </font>
    <font>
      <b/>
      <sz val="10"/>
      <color theme="1"/>
      <name val="Trebuchet MS"/>
      <family val="2"/>
    </font>
    <font>
      <sz val="10"/>
      <color theme="1"/>
      <name val="Trebuchet MS"/>
      <family val="2"/>
    </font>
    <font>
      <sz val="8"/>
      <name val="Calibri"/>
      <family val="2"/>
      <scheme val="minor"/>
    </font>
    <font>
      <sz val="10"/>
      <name val="Arial"/>
      <family val="2"/>
    </font>
    <font>
      <u/>
      <sz val="12"/>
      <color theme="1"/>
      <name val="Calibri"/>
      <family val="2"/>
      <scheme val="minor"/>
    </font>
    <font>
      <u/>
      <sz val="11"/>
      <color theme="1"/>
      <name val="Calibri"/>
      <family val="2"/>
      <scheme val="minor"/>
    </font>
    <font>
      <b/>
      <sz val="11"/>
      <color indexed="9"/>
      <name val="Calibri"/>
      <family val="2"/>
    </font>
    <font>
      <b/>
      <sz val="10"/>
      <color indexed="9"/>
      <name val="Arial"/>
      <family val="2"/>
    </font>
    <font>
      <u/>
      <sz val="10"/>
      <color theme="1"/>
      <name val="Trebuchet MS"/>
      <family val="2"/>
    </font>
    <font>
      <b/>
      <u/>
      <sz val="10"/>
      <color theme="1"/>
      <name val="Trebuchet MS"/>
      <family val="2"/>
    </font>
    <font>
      <sz val="12"/>
      <color rgb="FFFF0000"/>
      <name val="Calibri"/>
      <family val="2"/>
      <scheme val="minor"/>
    </font>
    <font>
      <sz val="12"/>
      <color theme="0"/>
      <name val="Calibri"/>
      <family val="2"/>
      <scheme val="minor"/>
    </font>
    <font>
      <sz val="9"/>
      <name val="Calibri"/>
      <family val="2"/>
      <scheme val="minor"/>
    </font>
    <font>
      <sz val="10"/>
      <color rgb="FFFF0000"/>
      <name val="Trebuchet MS"/>
      <family val="2"/>
    </font>
    <font>
      <b/>
      <i/>
      <sz val="11"/>
      <color theme="1"/>
      <name val="Calibri"/>
      <family val="2"/>
      <scheme val="minor"/>
    </font>
    <font>
      <b/>
      <i/>
      <sz val="10"/>
      <name val="Calibri"/>
      <family val="2"/>
      <scheme val="minor"/>
    </font>
    <font>
      <b/>
      <u/>
      <sz val="10"/>
      <color theme="1"/>
      <name val="Calibri"/>
      <family val="2"/>
      <scheme val="minor"/>
    </font>
    <font>
      <b/>
      <u/>
      <sz val="11"/>
      <color theme="1"/>
      <name val="Calibri"/>
      <family val="2"/>
      <scheme val="minor"/>
    </font>
    <font>
      <b/>
      <i/>
      <sz val="11"/>
      <color rgb="FFFF0000"/>
      <name val="Calibri"/>
      <family val="2"/>
      <scheme val="minor"/>
    </font>
    <font>
      <b/>
      <sz val="12"/>
      <name val="Calibri"/>
      <family val="2"/>
      <scheme val="minor"/>
    </font>
    <font>
      <sz val="10"/>
      <color theme="4"/>
      <name val="Calibri"/>
      <family val="2"/>
      <scheme val="minor"/>
    </font>
    <font>
      <i/>
      <sz val="10"/>
      <name val="Calibri"/>
      <family val="2"/>
      <scheme val="minor"/>
    </font>
    <font>
      <sz val="11"/>
      <color theme="4"/>
      <name val="Calibri"/>
      <family val="2"/>
      <scheme val="minor"/>
    </font>
    <font>
      <b/>
      <u/>
      <sz val="12"/>
      <color theme="1"/>
      <name val="Calibri"/>
      <family val="2"/>
      <scheme val="minor"/>
    </font>
    <font>
      <sz val="10"/>
      <color theme="1"/>
      <name val="Calibri"/>
      <family val="2"/>
    </font>
    <font>
      <sz val="10"/>
      <color theme="1"/>
      <name val="Arial"/>
      <family val="2"/>
    </font>
    <font>
      <sz val="10"/>
      <color theme="4"/>
      <name val="Trebuchet MS"/>
      <family val="2"/>
    </font>
    <font>
      <sz val="12"/>
      <color theme="4"/>
      <name val="Calibri"/>
      <family val="2"/>
      <scheme val="minor"/>
    </font>
    <font>
      <b/>
      <sz val="9"/>
      <color theme="1"/>
      <name val="Trebuchet MS"/>
      <family val="2"/>
    </font>
    <font>
      <sz val="9"/>
      <color theme="1"/>
      <name val="Trebuchet MS"/>
      <family val="2"/>
    </font>
    <font>
      <b/>
      <sz val="9"/>
      <color theme="1"/>
      <name val="Calibri"/>
      <family val="2"/>
      <scheme val="minor"/>
    </font>
    <font>
      <b/>
      <sz val="11"/>
      <color theme="4"/>
      <name val="Calibri"/>
      <family val="2"/>
      <scheme val="minor"/>
    </font>
    <font>
      <sz val="11"/>
      <color theme="1"/>
      <name val="Roboto"/>
    </font>
    <font>
      <sz val="12"/>
      <color theme="1"/>
      <name val="Roboto"/>
    </font>
    <font>
      <b/>
      <sz val="12"/>
      <color theme="1"/>
      <name val="Roboto"/>
    </font>
    <font>
      <sz val="10"/>
      <color theme="1"/>
      <name val="Roboto"/>
    </font>
    <font>
      <b/>
      <sz val="11"/>
      <color theme="1"/>
      <name val="Roboto"/>
    </font>
    <font>
      <b/>
      <sz val="10"/>
      <color theme="1"/>
      <name val="Roboto"/>
    </font>
    <font>
      <sz val="10"/>
      <color rgb="FFFF0000"/>
      <name val="Roboto"/>
    </font>
    <font>
      <sz val="11"/>
      <color rgb="FFFF0000"/>
      <name val="Roboto"/>
    </font>
    <font>
      <sz val="10"/>
      <color indexed="8"/>
      <name val="Roboto"/>
    </font>
    <font>
      <sz val="9"/>
      <color theme="1"/>
      <name val="Roboto"/>
    </font>
    <font>
      <u/>
      <sz val="11"/>
      <color theme="1"/>
      <name val="Roboto"/>
    </font>
    <font>
      <b/>
      <u/>
      <sz val="10"/>
      <color theme="1"/>
      <name val="Roboto"/>
    </font>
    <font>
      <b/>
      <i/>
      <sz val="10"/>
      <color theme="1"/>
      <name val="Roboto"/>
    </font>
    <font>
      <i/>
      <sz val="10"/>
      <color theme="1"/>
      <name val="Roboto"/>
    </font>
    <font>
      <b/>
      <u/>
      <sz val="11"/>
      <color theme="1"/>
      <name val="Roboto"/>
    </font>
    <font>
      <sz val="10"/>
      <name val="Roboto"/>
    </font>
    <font>
      <b/>
      <sz val="10"/>
      <name val="Roboto"/>
    </font>
    <font>
      <i/>
      <sz val="12"/>
      <color theme="1"/>
      <name val="Calibri"/>
      <family val="2"/>
      <scheme val="minor"/>
    </font>
    <font>
      <sz val="11"/>
      <color rgb="FF00112C"/>
      <name val="Roboto"/>
    </font>
    <font>
      <sz val="10"/>
      <color rgb="FF9999FF"/>
      <name val="Trebuchet MS"/>
      <family val="2"/>
    </font>
    <font>
      <i/>
      <sz val="11"/>
      <color theme="1"/>
      <name val="Calibri"/>
      <family val="2"/>
      <scheme val="minor"/>
    </font>
    <font>
      <b/>
      <sz val="11"/>
      <name val="Roboto"/>
    </font>
    <font>
      <sz val="11"/>
      <name val="Roboto"/>
    </font>
    <font>
      <u/>
      <sz val="11"/>
      <name val="Roboto"/>
    </font>
    <font>
      <i/>
      <sz val="11"/>
      <color rgb="FFFF0000"/>
      <name val="Calibri"/>
      <family val="2"/>
      <scheme val="minor"/>
    </font>
    <font>
      <b/>
      <sz val="11"/>
      <color rgb="FFFF0000"/>
      <name val="Calibri"/>
      <family val="2"/>
      <scheme val="minor"/>
    </font>
    <font>
      <b/>
      <i/>
      <sz val="11"/>
      <name val="Calibri"/>
      <family val="2"/>
      <scheme val="minor"/>
    </font>
    <font>
      <i/>
      <sz val="11"/>
      <name val="Calibri"/>
      <family val="2"/>
      <scheme val="minor"/>
    </font>
    <font>
      <sz val="11"/>
      <color rgb="FF9999FF"/>
      <name val="Calibri"/>
      <family val="2"/>
      <scheme val="minor"/>
    </font>
    <font>
      <sz val="12"/>
      <color rgb="FF9999FF"/>
      <name val="Calibri"/>
      <family val="2"/>
      <scheme val="minor"/>
    </font>
    <font>
      <b/>
      <sz val="11"/>
      <color rgb="FF9999FF"/>
      <name val="Calibri"/>
      <family val="2"/>
      <scheme val="minor"/>
    </font>
    <font>
      <b/>
      <u/>
      <sz val="11"/>
      <color rgb="FF9999FF"/>
      <name val="Calibri"/>
      <family val="2"/>
      <scheme val="minor"/>
    </font>
    <font>
      <sz val="11"/>
      <color rgb="FFC00000"/>
      <name val="Calibri"/>
      <family val="2"/>
      <scheme val="minor"/>
    </font>
    <font>
      <b/>
      <sz val="10"/>
      <color theme="4"/>
      <name val="Trebuchet MS"/>
      <family val="2"/>
    </font>
    <font>
      <i/>
      <sz val="11"/>
      <color theme="1"/>
      <name val="Roboto"/>
    </font>
    <font>
      <b/>
      <i/>
      <sz val="11"/>
      <color theme="1"/>
      <name val="Roboto"/>
    </font>
  </fonts>
  <fills count="17">
    <fill>
      <patternFill patternType="none"/>
    </fill>
    <fill>
      <patternFill patternType="gray125"/>
    </fill>
    <fill>
      <patternFill patternType="solid">
        <fgColor indexed="65"/>
        <bgColor indexed="64"/>
      </patternFill>
    </fill>
    <fill>
      <patternFill patternType="solid">
        <fgColor rgb="FFFFFF00"/>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bgColor indexed="64"/>
      </patternFill>
    </fill>
    <fill>
      <patternFill patternType="solid">
        <fgColor rgb="FF4F81BD"/>
        <bgColor indexed="64"/>
      </patternFill>
    </fill>
    <fill>
      <patternFill patternType="solid">
        <fgColor rgb="FFFFFFFF"/>
        <bgColor indexed="64"/>
      </patternFill>
    </fill>
    <fill>
      <patternFill patternType="solid">
        <fgColor rgb="FFFFC000"/>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tint="-0.14999847407452621"/>
        <bgColor theme="0" tint="-0.14999847407452621"/>
      </patternFill>
    </fill>
    <fill>
      <patternFill patternType="solid">
        <fgColor theme="2" tint="-9.9978637043366805E-2"/>
        <bgColor indexed="64"/>
      </patternFill>
    </fill>
    <fill>
      <patternFill patternType="solid">
        <fgColor rgb="FF92D050"/>
        <bgColor indexed="64"/>
      </patternFill>
    </fill>
    <fill>
      <patternFill patternType="solid">
        <fgColor theme="0" tint="-0.14999847407452621"/>
        <bgColor indexed="64"/>
      </patternFill>
    </fill>
  </fills>
  <borders count="34">
    <border>
      <left/>
      <right/>
      <top/>
      <bottom/>
      <diagonal/>
    </border>
    <border>
      <left/>
      <right/>
      <top/>
      <bottom style="medium">
        <color indexed="64"/>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theme="1"/>
      </top>
      <bottom style="thin">
        <color indexed="64"/>
      </bottom>
      <diagonal/>
    </border>
    <border>
      <left/>
      <right/>
      <top style="thin">
        <color theme="1"/>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theme="1"/>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s>
  <cellStyleXfs count="29">
    <xf numFmtId="0" fontId="0" fillId="0" borderId="0"/>
    <xf numFmtId="165" fontId="66" fillId="0" borderId="0" applyFont="0" applyFill="0" applyBorder="0" applyAlignment="0" applyProtection="0"/>
    <xf numFmtId="9" fontId="66" fillId="0" borderId="0" applyFont="0" applyFill="0" applyBorder="0" applyAlignment="0" applyProtection="0"/>
    <xf numFmtId="0" fontId="56" fillId="0" borderId="0"/>
    <xf numFmtId="165" fontId="56" fillId="0" borderId="0" applyFont="0" applyFill="0" applyBorder="0" applyAlignment="0" applyProtection="0"/>
    <xf numFmtId="0" fontId="77" fillId="0" borderId="0"/>
    <xf numFmtId="0" fontId="46" fillId="0" borderId="0"/>
    <xf numFmtId="9" fontId="46" fillId="0" borderId="0" applyFont="0" applyFill="0" applyBorder="0" applyAlignment="0" applyProtection="0"/>
    <xf numFmtId="0" fontId="82" fillId="0" borderId="0"/>
    <xf numFmtId="171" fontId="46" fillId="0" borderId="0" applyFont="0" applyFill="0" applyBorder="0" applyAlignment="0" applyProtection="0"/>
    <xf numFmtId="43" fontId="46" fillId="0" borderId="0" applyFont="0" applyFill="0" applyBorder="0" applyAlignment="0" applyProtection="0"/>
    <xf numFmtId="43" fontId="82" fillId="0" borderId="0" applyFont="0" applyFill="0" applyBorder="0" applyAlignment="0" applyProtection="0"/>
    <xf numFmtId="43" fontId="56" fillId="0" borderId="0" applyFont="0" applyFill="0" applyBorder="0" applyAlignment="0" applyProtection="0"/>
    <xf numFmtId="44" fontId="66" fillId="0" borderId="0" applyFont="0" applyFill="0" applyBorder="0" applyAlignment="0" applyProtection="0"/>
    <xf numFmtId="0" fontId="85" fillId="8" borderId="0"/>
    <xf numFmtId="0" fontId="86" fillId="8" borderId="15">
      <alignment horizontal="right"/>
    </xf>
    <xf numFmtId="0" fontId="40" fillId="0" borderId="0"/>
    <xf numFmtId="0" fontId="40" fillId="0" borderId="0"/>
    <xf numFmtId="0" fontId="26" fillId="0" borderId="0"/>
    <xf numFmtId="0" fontId="103" fillId="0" borderId="0"/>
    <xf numFmtId="9" fontId="104" fillId="0" borderId="0" applyFont="0" applyFill="0" applyBorder="0" applyAlignment="0" applyProtection="0"/>
    <xf numFmtId="44" fontId="104" fillId="0" borderId="0" applyFont="0" applyFill="0" applyBorder="0" applyAlignment="0" applyProtection="0"/>
    <xf numFmtId="42" fontId="104" fillId="0" borderId="0" applyFont="0" applyFill="0" applyBorder="0" applyAlignment="0" applyProtection="0"/>
    <xf numFmtId="43" fontId="104" fillId="0" borderId="0" applyFont="0" applyFill="0" applyBorder="0" applyAlignment="0" applyProtection="0"/>
    <xf numFmtId="41" fontId="104" fillId="0" borderId="0" applyFont="0" applyFill="0" applyBorder="0" applyAlignment="0" applyProtection="0"/>
    <xf numFmtId="0" fontId="21" fillId="0" borderId="0"/>
    <xf numFmtId="9" fontId="21" fillId="0" borderId="0" applyFont="0" applyFill="0" applyBorder="0" applyAlignment="0" applyProtection="0"/>
    <xf numFmtId="43" fontId="21" fillId="0" borderId="0" applyFont="0" applyFill="0" applyBorder="0" applyAlignment="0" applyProtection="0"/>
    <xf numFmtId="0" fontId="21" fillId="0" borderId="0"/>
  </cellStyleXfs>
  <cellXfs count="1245">
    <xf numFmtId="0" fontId="0" fillId="0" borderId="0" xfId="0"/>
    <xf numFmtId="0" fontId="57" fillId="2" borderId="1" xfId="3" applyFont="1" applyFill="1" applyBorder="1"/>
    <xf numFmtId="0" fontId="58" fillId="2" borderId="1" xfId="3" applyFont="1" applyFill="1" applyBorder="1"/>
    <xf numFmtId="0" fontId="56" fillId="0" borderId="0" xfId="3"/>
    <xf numFmtId="0" fontId="58" fillId="2" borderId="0" xfId="3" applyFont="1" applyFill="1"/>
    <xf numFmtId="0" fontId="59" fillId="2" borderId="0" xfId="3" applyFont="1" applyFill="1"/>
    <xf numFmtId="14" fontId="60" fillId="2" borderId="0" xfId="3" applyNumberFormat="1" applyFont="1" applyFill="1" applyAlignment="1">
      <alignment horizontal="left"/>
    </xf>
    <xf numFmtId="0" fontId="61" fillId="2" borderId="0" xfId="3" applyFont="1" applyFill="1"/>
    <xf numFmtId="164" fontId="58" fillId="2" borderId="0" xfId="3" applyNumberFormat="1" applyFont="1" applyFill="1"/>
    <xf numFmtId="0" fontId="62" fillId="2" borderId="0" xfId="3" applyFont="1" applyFill="1"/>
    <xf numFmtId="0" fontId="56" fillId="2" borderId="0" xfId="3" applyFill="1"/>
    <xf numFmtId="0" fontId="63" fillId="2" borderId="0" xfId="3" applyFont="1" applyFill="1"/>
    <xf numFmtId="0" fontId="61" fillId="2" borderId="0" xfId="3" quotePrefix="1" applyFont="1" applyFill="1"/>
    <xf numFmtId="0" fontId="60" fillId="2" borderId="0" xfId="3" applyFont="1" applyFill="1"/>
    <xf numFmtId="0" fontId="64" fillId="2" borderId="0" xfId="3" applyFont="1" applyFill="1"/>
    <xf numFmtId="166" fontId="58" fillId="2" borderId="0" xfId="4" applyNumberFormat="1" applyFont="1" applyFill="1"/>
    <xf numFmtId="37" fontId="60" fillId="2" borderId="0" xfId="3" applyNumberFormat="1" applyFont="1" applyFill="1"/>
    <xf numFmtId="0" fontId="53" fillId="0" borderId="0" xfId="0" applyFont="1"/>
    <xf numFmtId="0" fontId="53" fillId="4" borderId="0" xfId="0" applyFont="1" applyFill="1"/>
    <xf numFmtId="0" fontId="0" fillId="0" borderId="0" xfId="0" applyAlignment="1">
      <alignment horizontal="right"/>
    </xf>
    <xf numFmtId="0" fontId="67" fillId="0" borderId="0" xfId="0" applyFont="1"/>
    <xf numFmtId="0" fontId="68" fillId="0" borderId="0" xfId="0" applyFont="1" applyAlignment="1">
      <alignment horizontal="center"/>
    </xf>
    <xf numFmtId="0" fontId="0" fillId="0" borderId="2" xfId="0" applyBorder="1"/>
    <xf numFmtId="1" fontId="55" fillId="0" borderId="0" xfId="0" applyNumberFormat="1" applyFont="1"/>
    <xf numFmtId="0" fontId="68" fillId="0" borderId="0" xfId="0" applyFont="1" applyAlignment="1">
      <alignment horizontal="left" indent="1"/>
    </xf>
    <xf numFmtId="0" fontId="53" fillId="0" borderId="0" xfId="0" applyFont="1" applyAlignment="1">
      <alignment horizontal="right"/>
    </xf>
    <xf numFmtId="0" fontId="69" fillId="0" borderId="0" xfId="0" applyFont="1"/>
    <xf numFmtId="1" fontId="68" fillId="0" borderId="3" xfId="0" applyNumberFormat="1" applyFont="1" applyBorder="1"/>
    <xf numFmtId="0" fontId="68" fillId="0" borderId="3" xfId="0" applyFont="1" applyBorder="1"/>
    <xf numFmtId="0" fontId="53" fillId="0" borderId="0" xfId="0" applyFont="1" applyAlignment="1">
      <alignment horizontal="left" indent="1"/>
    </xf>
    <xf numFmtId="1" fontId="70" fillId="0" borderId="0" xfId="0" applyNumberFormat="1" applyFont="1"/>
    <xf numFmtId="1" fontId="68" fillId="0" borderId="0" xfId="0" applyNumberFormat="1" applyFont="1"/>
    <xf numFmtId="0" fontId="68" fillId="0" borderId="0" xfId="0" applyFont="1"/>
    <xf numFmtId="0" fontId="70" fillId="0" borderId="0" xfId="0" applyFont="1"/>
    <xf numFmtId="10" fontId="68" fillId="0" borderId="0" xfId="2" applyNumberFormat="1" applyFont="1" applyBorder="1"/>
    <xf numFmtId="0" fontId="68" fillId="0" borderId="0" xfId="0" quotePrefix="1" applyFont="1"/>
    <xf numFmtId="3" fontId="68" fillId="0" borderId="0" xfId="0" applyNumberFormat="1" applyFont="1"/>
    <xf numFmtId="0" fontId="68" fillId="0" borderId="0" xfId="0" applyFont="1" applyAlignment="1">
      <alignment horizontal="left" indent="2"/>
    </xf>
    <xf numFmtId="167" fontId="71" fillId="0" borderId="0" xfId="2" applyNumberFormat="1" applyFont="1"/>
    <xf numFmtId="9" fontId="68" fillId="0" borderId="0" xfId="0" applyNumberFormat="1" applyFont="1"/>
    <xf numFmtId="0" fontId="55" fillId="0" borderId="0" xfId="0" applyFont="1"/>
    <xf numFmtId="0" fontId="53" fillId="0" borderId="3" xfId="0" applyFont="1" applyBorder="1"/>
    <xf numFmtId="3" fontId="54" fillId="0" borderId="3" xfId="0" applyNumberFormat="1" applyFont="1" applyBorder="1"/>
    <xf numFmtId="1" fontId="53" fillId="0" borderId="0" xfId="0" applyNumberFormat="1" applyFont="1"/>
    <xf numFmtId="1" fontId="71" fillId="0" borderId="0" xfId="0" applyNumberFormat="1" applyFont="1"/>
    <xf numFmtId="10" fontId="71" fillId="0" borderId="0" xfId="2" applyNumberFormat="1" applyFont="1"/>
    <xf numFmtId="0" fontId="73" fillId="0" borderId="0" xfId="0" applyFont="1"/>
    <xf numFmtId="0" fontId="74" fillId="0" borderId="0" xfId="0" applyFont="1"/>
    <xf numFmtId="3" fontId="53" fillId="0" borderId="3" xfId="0" applyNumberFormat="1" applyFont="1" applyBorder="1"/>
    <xf numFmtId="3" fontId="53" fillId="0" borderId="0" xfId="0" applyNumberFormat="1" applyFont="1"/>
    <xf numFmtId="3" fontId="54" fillId="3" borderId="0" xfId="0" applyNumberFormat="1" applyFont="1" applyFill="1"/>
    <xf numFmtId="4" fontId="53" fillId="0" borderId="0" xfId="0" applyNumberFormat="1" applyFont="1"/>
    <xf numFmtId="0" fontId="73" fillId="0" borderId="1" xfId="0" applyFont="1" applyBorder="1" applyAlignment="1">
      <alignment horizontal="left"/>
    </xf>
    <xf numFmtId="1" fontId="73" fillId="0" borderId="1" xfId="0" applyNumberFormat="1" applyFont="1" applyBorder="1"/>
    <xf numFmtId="1" fontId="55" fillId="0" borderId="1" xfId="0" applyNumberFormat="1" applyFont="1" applyBorder="1"/>
    <xf numFmtId="0" fontId="73" fillId="0" borderId="0" xfId="0" applyFont="1" applyAlignment="1">
      <alignment horizontal="left" indent="3"/>
    </xf>
    <xf numFmtId="1" fontId="73" fillId="0" borderId="0" xfId="0" applyNumberFormat="1" applyFont="1"/>
    <xf numFmtId="0" fontId="73" fillId="0" borderId="0" xfId="0" applyFont="1" applyAlignment="1">
      <alignment horizontal="left" indent="6"/>
    </xf>
    <xf numFmtId="0" fontId="72" fillId="0" borderId="0" xfId="0" applyFont="1" applyAlignment="1">
      <alignment horizontal="left" indent="7"/>
    </xf>
    <xf numFmtId="1" fontId="54" fillId="0" borderId="0" xfId="0" applyNumberFormat="1" applyFont="1"/>
    <xf numFmtId="0" fontId="73" fillId="0" borderId="0" xfId="0" applyFont="1" applyAlignment="1">
      <alignment horizontal="left" indent="9"/>
    </xf>
    <xf numFmtId="0" fontId="72" fillId="0" borderId="0" xfId="0" applyFont="1" applyAlignment="1">
      <alignment horizontal="left" indent="10"/>
    </xf>
    <xf numFmtId="0" fontId="72" fillId="0" borderId="0" xfId="0" applyFont="1" applyAlignment="1">
      <alignment horizontal="left" indent="1"/>
    </xf>
    <xf numFmtId="0" fontId="72" fillId="0" borderId="0" xfId="0" applyFont="1" applyAlignment="1">
      <alignment horizontal="left"/>
    </xf>
    <xf numFmtId="1" fontId="53" fillId="0" borderId="2" xfId="0" applyNumberFormat="1" applyFont="1" applyBorder="1"/>
    <xf numFmtId="0" fontId="55" fillId="0" borderId="1" xfId="0" applyFont="1" applyBorder="1"/>
    <xf numFmtId="0" fontId="72" fillId="0" borderId="0" xfId="0" applyFont="1" applyAlignment="1">
      <alignment horizontal="left" indent="4"/>
    </xf>
    <xf numFmtId="0" fontId="72" fillId="0" borderId="0" xfId="0" applyFont="1" applyAlignment="1">
      <alignment horizontal="left" indent="9"/>
    </xf>
    <xf numFmtId="0" fontId="73" fillId="0" borderId="1" xfId="0" applyFont="1" applyBorder="1" applyAlignment="1">
      <alignment horizontal="left" indent="3"/>
    </xf>
    <xf numFmtId="0" fontId="72" fillId="0" borderId="0" xfId="0" applyFont="1" applyAlignment="1">
      <alignment horizontal="left" indent="6"/>
    </xf>
    <xf numFmtId="0" fontId="53" fillId="4" borderId="0" xfId="0" applyFont="1" applyFill="1" applyAlignment="1">
      <alignment horizontal="right"/>
    </xf>
    <xf numFmtId="0" fontId="73" fillId="0" borderId="1" xfId="0" applyFont="1" applyBorder="1"/>
    <xf numFmtId="0" fontId="68" fillId="4" borderId="0" xfId="0" applyFont="1" applyFill="1"/>
    <xf numFmtId="14" fontId="53" fillId="0" borderId="0" xfId="0" applyNumberFormat="1" applyFont="1"/>
    <xf numFmtId="10" fontId="68" fillId="3" borderId="0" xfId="0" applyNumberFormat="1" applyFont="1" applyFill="1" applyAlignment="1">
      <alignment horizontal="right"/>
    </xf>
    <xf numFmtId="10" fontId="68" fillId="3" borderId="0" xfId="2" applyNumberFormat="1" applyFont="1" applyFill="1" applyAlignment="1">
      <alignment horizontal="right"/>
    </xf>
    <xf numFmtId="0" fontId="79" fillId="0" borderId="8" xfId="0" applyFont="1" applyBorder="1"/>
    <xf numFmtId="0" fontId="80" fillId="5" borderId="0" xfId="0" applyFont="1" applyFill="1"/>
    <xf numFmtId="3" fontId="80" fillId="5" borderId="0" xfId="0" applyNumberFormat="1" applyFont="1" applyFill="1"/>
    <xf numFmtId="0" fontId="80" fillId="0" borderId="0" xfId="0" applyFont="1"/>
    <xf numFmtId="3" fontId="80" fillId="0" borderId="0" xfId="0" applyNumberFormat="1" applyFont="1"/>
    <xf numFmtId="0" fontId="80" fillId="0" borderId="12" xfId="0" applyFont="1" applyBorder="1"/>
    <xf numFmtId="0" fontId="79" fillId="0" borderId="0" xfId="0" applyFont="1"/>
    <xf numFmtId="1" fontId="0" fillId="0" borderId="0" xfId="0" applyNumberFormat="1"/>
    <xf numFmtId="0" fontId="0" fillId="0" borderId="12" xfId="0" applyBorder="1"/>
    <xf numFmtId="168" fontId="0" fillId="0" borderId="0" xfId="0" applyNumberFormat="1"/>
    <xf numFmtId="3" fontId="0" fillId="0" borderId="0" xfId="0" applyNumberFormat="1"/>
    <xf numFmtId="0" fontId="67" fillId="0" borderId="1" xfId="0" applyFont="1" applyBorder="1"/>
    <xf numFmtId="0" fontId="69" fillId="0" borderId="1" xfId="0" applyFont="1" applyBorder="1"/>
    <xf numFmtId="0" fontId="53" fillId="0" borderId="0" xfId="0" applyFont="1" applyAlignment="1">
      <alignment horizontal="left"/>
    </xf>
    <xf numFmtId="10" fontId="68" fillId="0" borderId="0" xfId="2" applyNumberFormat="1" applyFont="1" applyFill="1" applyBorder="1"/>
    <xf numFmtId="0" fontId="53" fillId="0" borderId="0" xfId="0" applyFont="1" applyAlignment="1">
      <alignment horizontal="left" indent="2"/>
    </xf>
    <xf numFmtId="0" fontId="68" fillId="0" borderId="0" xfId="0" applyFont="1" applyAlignment="1">
      <alignment horizontal="left" indent="3"/>
    </xf>
    <xf numFmtId="9" fontId="70" fillId="0" borderId="0" xfId="0" applyNumberFormat="1" applyFont="1"/>
    <xf numFmtId="0" fontId="55" fillId="0" borderId="0" xfId="0" applyFont="1" applyAlignment="1">
      <alignment horizontal="left"/>
    </xf>
    <xf numFmtId="1" fontId="74" fillId="0" borderId="0" xfId="0" applyNumberFormat="1" applyFont="1"/>
    <xf numFmtId="0" fontId="52" fillId="0" borderId="0" xfId="0" applyFont="1"/>
    <xf numFmtId="1" fontId="72" fillId="0" borderId="0" xfId="0" applyNumberFormat="1" applyFont="1"/>
    <xf numFmtId="1" fontId="52" fillId="0" borderId="0" xfId="0" applyNumberFormat="1" applyFont="1"/>
    <xf numFmtId="0" fontId="73" fillId="0" borderId="0" xfId="0" applyFont="1" applyAlignment="1">
      <alignment horizontal="left"/>
    </xf>
    <xf numFmtId="1" fontId="68" fillId="0" borderId="1" xfId="0" applyNumberFormat="1" applyFont="1" applyBorder="1"/>
    <xf numFmtId="0" fontId="0" fillId="0" borderId="1" xfId="0" applyBorder="1"/>
    <xf numFmtId="0" fontId="55" fillId="0" borderId="1" xfId="0" applyFont="1" applyBorder="1" applyAlignment="1">
      <alignment horizontal="left"/>
    </xf>
    <xf numFmtId="0" fontId="53" fillId="0" borderId="2" xfId="0" applyFont="1" applyBorder="1" applyAlignment="1">
      <alignment horizontal="right"/>
    </xf>
    <xf numFmtId="167" fontId="65" fillId="0" borderId="0" xfId="2" applyNumberFormat="1" applyFont="1" applyBorder="1" applyAlignment="1">
      <alignment horizontal="right"/>
    </xf>
    <xf numFmtId="167" fontId="65" fillId="0" borderId="1" xfId="2" applyNumberFormat="1" applyFont="1" applyBorder="1" applyAlignment="1">
      <alignment horizontal="right"/>
    </xf>
    <xf numFmtId="0" fontId="52" fillId="0" borderId="0" xfId="0" applyFont="1" applyAlignment="1">
      <alignment horizontal="left" indent="2"/>
    </xf>
    <xf numFmtId="0" fontId="71" fillId="0" borderId="0" xfId="0" applyFont="1"/>
    <xf numFmtId="3" fontId="52" fillId="0" borderId="0" xfId="0" applyNumberFormat="1" applyFont="1"/>
    <xf numFmtId="3" fontId="55" fillId="0" borderId="1" xfId="0" applyNumberFormat="1" applyFont="1" applyBorder="1"/>
    <xf numFmtId="167" fontId="53" fillId="0" borderId="0" xfId="2" applyNumberFormat="1" applyFont="1" applyBorder="1"/>
    <xf numFmtId="167" fontId="0" fillId="0" borderId="0" xfId="2" applyNumberFormat="1" applyFont="1" applyBorder="1"/>
    <xf numFmtId="168" fontId="70" fillId="0" borderId="0" xfId="0" applyNumberFormat="1" applyFont="1"/>
    <xf numFmtId="9" fontId="70" fillId="0" borderId="0" xfId="2" applyFont="1"/>
    <xf numFmtId="1" fontId="53" fillId="6" borderId="0" xfId="0" applyNumberFormat="1" applyFont="1" applyFill="1"/>
    <xf numFmtId="0" fontId="51" fillId="0" borderId="0" xfId="0" applyFont="1" applyAlignment="1">
      <alignment horizontal="left" indent="2"/>
    </xf>
    <xf numFmtId="0" fontId="51" fillId="0" borderId="0" xfId="0" applyFont="1" applyAlignment="1">
      <alignment horizontal="left" indent="3"/>
    </xf>
    <xf numFmtId="167" fontId="68" fillId="0" borderId="0" xfId="2" applyNumberFormat="1" applyFont="1"/>
    <xf numFmtId="0" fontId="50" fillId="0" borderId="0" xfId="0" applyFont="1"/>
    <xf numFmtId="3" fontId="54" fillId="0" borderId="0" xfId="0" applyNumberFormat="1" applyFont="1"/>
    <xf numFmtId="0" fontId="50" fillId="0" borderId="0" xfId="0" applyFont="1" applyAlignment="1">
      <alignment horizontal="right"/>
    </xf>
    <xf numFmtId="168" fontId="55" fillId="0" borderId="1" xfId="0" applyNumberFormat="1" applyFont="1" applyBorder="1"/>
    <xf numFmtId="168" fontId="55" fillId="0" borderId="5" xfId="0" applyNumberFormat="1" applyFont="1" applyBorder="1"/>
    <xf numFmtId="168" fontId="0" fillId="0" borderId="1" xfId="0" applyNumberFormat="1" applyBorder="1"/>
    <xf numFmtId="1" fontId="50" fillId="0" borderId="0" xfId="0" applyNumberFormat="1" applyFont="1"/>
    <xf numFmtId="1" fontId="50" fillId="0" borderId="2" xfId="0" applyNumberFormat="1" applyFont="1" applyBorder="1"/>
    <xf numFmtId="3" fontId="55" fillId="0" borderId="0" xfId="0" applyNumberFormat="1" applyFont="1"/>
    <xf numFmtId="0" fontId="50" fillId="0" borderId="0" xfId="0" applyFont="1" applyAlignment="1">
      <alignment horizontal="left"/>
    </xf>
    <xf numFmtId="0" fontId="79" fillId="0" borderId="12" xfId="0" applyFont="1" applyBorder="1"/>
    <xf numFmtId="0" fontId="79" fillId="0" borderId="12" xfId="0" applyFont="1" applyBorder="1" applyAlignment="1">
      <alignment horizontal="right"/>
    </xf>
    <xf numFmtId="170" fontId="80" fillId="5" borderId="0" xfId="0" applyNumberFormat="1" applyFont="1" applyFill="1"/>
    <xf numFmtId="3" fontId="80" fillId="5" borderId="0" xfId="0" applyNumberFormat="1" applyFont="1" applyFill="1" applyAlignment="1">
      <alignment horizontal="right"/>
    </xf>
    <xf numFmtId="3" fontId="80" fillId="0" borderId="0" xfId="0" applyNumberFormat="1" applyFont="1" applyAlignment="1">
      <alignment horizontal="right"/>
    </xf>
    <xf numFmtId="0" fontId="80" fillId="5" borderId="1" xfId="0" applyFont="1" applyFill="1" applyBorder="1"/>
    <xf numFmtId="10" fontId="80" fillId="5" borderId="1" xfId="2" applyNumberFormat="1" applyFont="1" applyFill="1" applyBorder="1"/>
    <xf numFmtId="0" fontId="80" fillId="0" borderId="1" xfId="0" applyFont="1" applyBorder="1"/>
    <xf numFmtId="0" fontId="50" fillId="0" borderId="0" xfId="0" applyFont="1" applyAlignment="1">
      <alignment horizontal="left" indent="1"/>
    </xf>
    <xf numFmtId="9" fontId="80" fillId="5" borderId="0" xfId="2" applyFont="1" applyFill="1" applyBorder="1"/>
    <xf numFmtId="9" fontId="80" fillId="0" borderId="0" xfId="2" applyFont="1" applyBorder="1"/>
    <xf numFmtId="168" fontId="80" fillId="0" borderId="1" xfId="0" applyNumberFormat="1" applyFont="1" applyBorder="1"/>
    <xf numFmtId="10" fontId="68" fillId="0" borderId="0" xfId="2" applyNumberFormat="1" applyFont="1"/>
    <xf numFmtId="1" fontId="80" fillId="5" borderId="0" xfId="0" applyNumberFormat="1" applyFont="1" applyFill="1"/>
    <xf numFmtId="0" fontId="49" fillId="0" borderId="0" xfId="0" applyFont="1" applyAlignment="1">
      <alignment horizontal="left" indent="2"/>
    </xf>
    <xf numFmtId="1" fontId="80" fillId="0" borderId="0" xfId="0" applyNumberFormat="1" applyFont="1"/>
    <xf numFmtId="9" fontId="68" fillId="0" borderId="0" xfId="2" applyFont="1"/>
    <xf numFmtId="9" fontId="68" fillId="0" borderId="2" xfId="2" applyFont="1" applyBorder="1"/>
    <xf numFmtId="0" fontId="53" fillId="0" borderId="1" xfId="0" applyFont="1" applyBorder="1" applyAlignment="1">
      <alignment horizontal="left" indent="1"/>
    </xf>
    <xf numFmtId="1" fontId="71" fillId="0" borderId="1" xfId="0" applyNumberFormat="1" applyFont="1" applyBorder="1"/>
    <xf numFmtId="0" fontId="71" fillId="0" borderId="1" xfId="0" applyFont="1" applyBorder="1"/>
    <xf numFmtId="0" fontId="54" fillId="0" borderId="0" xfId="0" applyFont="1"/>
    <xf numFmtId="9" fontId="71" fillId="0" borderId="0" xfId="2" applyFont="1"/>
    <xf numFmtId="1" fontId="70" fillId="3" borderId="0" xfId="0" applyNumberFormat="1" applyFont="1" applyFill="1"/>
    <xf numFmtId="168" fontId="70" fillId="3" borderId="0" xfId="0" applyNumberFormat="1" applyFont="1" applyFill="1"/>
    <xf numFmtId="9" fontId="80" fillId="0" borderId="0" xfId="2" applyFont="1" applyFill="1" applyBorder="1"/>
    <xf numFmtId="170" fontId="80" fillId="0" borderId="0" xfId="0" applyNumberFormat="1" applyFont="1"/>
    <xf numFmtId="168" fontId="80" fillId="0" borderId="0" xfId="0" applyNumberFormat="1" applyFont="1"/>
    <xf numFmtId="9" fontId="68" fillId="0" borderId="0" xfId="2" applyFont="1" applyBorder="1"/>
    <xf numFmtId="9" fontId="70" fillId="3" borderId="0" xfId="2" applyFont="1" applyFill="1"/>
    <xf numFmtId="9" fontId="68" fillId="0" borderId="0" xfId="2" applyFont="1" applyFill="1"/>
    <xf numFmtId="9" fontId="71" fillId="0" borderId="0" xfId="2" applyFont="1" applyFill="1"/>
    <xf numFmtId="168" fontId="71" fillId="0" borderId="0" xfId="0" applyNumberFormat="1" applyFont="1"/>
    <xf numFmtId="9" fontId="68" fillId="0" borderId="0" xfId="2" applyFont="1" applyFill="1" applyBorder="1"/>
    <xf numFmtId="10" fontId="68" fillId="0" borderId="0" xfId="2" applyNumberFormat="1" applyFont="1" applyFill="1"/>
    <xf numFmtId="9" fontId="70" fillId="7" borderId="0" xfId="0" applyNumberFormat="1" applyFont="1" applyFill="1"/>
    <xf numFmtId="9" fontId="68" fillId="0" borderId="4" xfId="2" applyFont="1" applyBorder="1"/>
    <xf numFmtId="168" fontId="71" fillId="7" borderId="0" xfId="0" applyNumberFormat="1" applyFont="1" applyFill="1"/>
    <xf numFmtId="1" fontId="47" fillId="0" borderId="0" xfId="0" applyNumberFormat="1" applyFont="1"/>
    <xf numFmtId="0" fontId="0" fillId="0" borderId="0" xfId="0" applyAlignment="1">
      <alignment horizontal="left" indent="1"/>
    </xf>
    <xf numFmtId="0" fontId="55" fillId="0" borderId="0" xfId="0" applyFont="1" applyAlignment="1">
      <alignment horizontal="left" indent="1"/>
    </xf>
    <xf numFmtId="4" fontId="54" fillId="7" borderId="0" xfId="0" applyNumberFormat="1" applyFont="1" applyFill="1"/>
    <xf numFmtId="170" fontId="54" fillId="3" borderId="0" xfId="0" applyNumberFormat="1" applyFont="1" applyFill="1"/>
    <xf numFmtId="167" fontId="68" fillId="0" borderId="0" xfId="2" applyNumberFormat="1" applyFont="1" applyBorder="1"/>
    <xf numFmtId="0" fontId="54" fillId="3" borderId="0" xfId="0" applyFont="1" applyFill="1"/>
    <xf numFmtId="1" fontId="54" fillId="3" borderId="0" xfId="0" applyNumberFormat="1" applyFont="1" applyFill="1"/>
    <xf numFmtId="167" fontId="71" fillId="0" borderId="0" xfId="0" applyNumberFormat="1" applyFont="1"/>
    <xf numFmtId="0" fontId="46" fillId="0" borderId="0" xfId="0" applyFont="1" applyAlignment="1">
      <alignment horizontal="left" indent="2"/>
    </xf>
    <xf numFmtId="167" fontId="68" fillId="0" borderId="0" xfId="2" applyNumberFormat="1" applyFont="1" applyFill="1"/>
    <xf numFmtId="9" fontId="71" fillId="0" borderId="0" xfId="2" applyFont="1" applyFill="1" applyBorder="1"/>
    <xf numFmtId="0" fontId="72" fillId="0" borderId="0" xfId="0" applyFont="1"/>
    <xf numFmtId="10" fontId="71" fillId="0" borderId="0" xfId="2" applyNumberFormat="1" applyFont="1" applyFill="1"/>
    <xf numFmtId="167" fontId="70" fillId="0" borderId="0" xfId="2" applyNumberFormat="1" applyFont="1" applyFill="1"/>
    <xf numFmtId="169" fontId="72" fillId="0" borderId="0" xfId="2" applyNumberFormat="1" applyFont="1"/>
    <xf numFmtId="10" fontId="70" fillId="0" borderId="0" xfId="2" applyNumberFormat="1" applyFont="1" applyFill="1"/>
    <xf numFmtId="1" fontId="68" fillId="0" borderId="0" xfId="0" applyNumberFormat="1" applyFont="1" applyAlignment="1">
      <alignment horizontal="left" indent="1"/>
    </xf>
    <xf numFmtId="167" fontId="68" fillId="0" borderId="0" xfId="0" applyNumberFormat="1" applyFont="1"/>
    <xf numFmtId="167" fontId="70" fillId="0" borderId="0" xfId="0" applyNumberFormat="1" applyFont="1"/>
    <xf numFmtId="10" fontId="0" fillId="0" borderId="0" xfId="2" applyNumberFormat="1" applyFont="1"/>
    <xf numFmtId="10" fontId="80" fillId="5" borderId="0" xfId="2" applyNumberFormat="1" applyFont="1" applyFill="1" applyBorder="1"/>
    <xf numFmtId="170" fontId="80" fillId="5" borderId="0" xfId="0" applyNumberFormat="1" applyFont="1" applyFill="1" applyAlignment="1">
      <alignment horizontal="right"/>
    </xf>
    <xf numFmtId="4" fontId="80" fillId="5" borderId="0" xfId="0" applyNumberFormat="1" applyFont="1" applyFill="1" applyAlignment="1">
      <alignment horizontal="right"/>
    </xf>
    <xf numFmtId="167" fontId="80" fillId="0" borderId="1" xfId="2" applyNumberFormat="1" applyFont="1" applyBorder="1"/>
    <xf numFmtId="0" fontId="79" fillId="0" borderId="12" xfId="0" applyFont="1" applyBorder="1" applyAlignment="1">
      <alignment horizontal="center"/>
    </xf>
    <xf numFmtId="167" fontId="80" fillId="5" borderId="0" xfId="2" applyNumberFormat="1" applyFont="1" applyFill="1" applyBorder="1"/>
    <xf numFmtId="9" fontId="0" fillId="0" borderId="0" xfId="2" applyFont="1"/>
    <xf numFmtId="167" fontId="0" fillId="0" borderId="0" xfId="2" applyNumberFormat="1" applyFont="1"/>
    <xf numFmtId="167" fontId="53" fillId="0" borderId="0" xfId="2" applyNumberFormat="1" applyFont="1"/>
    <xf numFmtId="0" fontId="68" fillId="0" borderId="1" xfId="0" applyFont="1" applyBorder="1" applyAlignment="1">
      <alignment horizontal="left" indent="3"/>
    </xf>
    <xf numFmtId="169" fontId="72" fillId="0" borderId="1" xfId="2" applyNumberFormat="1" applyFont="1" applyBorder="1"/>
    <xf numFmtId="0" fontId="67" fillId="0" borderId="1" xfId="0" applyFont="1" applyBorder="1" applyAlignment="1">
      <alignment horizontal="left" indent="1"/>
    </xf>
    <xf numFmtId="0" fontId="67" fillId="0" borderId="0" xfId="0" applyFont="1" applyAlignment="1">
      <alignment horizontal="left" indent="1"/>
    </xf>
    <xf numFmtId="0" fontId="0" fillId="0" borderId="0" xfId="0" applyAlignment="1">
      <alignment horizontal="left" indent="2"/>
    </xf>
    <xf numFmtId="0" fontId="0" fillId="0" borderId="0" xfId="0" applyAlignment="1">
      <alignment horizontal="left" indent="3"/>
    </xf>
    <xf numFmtId="2" fontId="68" fillId="0" borderId="0" xfId="0" applyNumberFormat="1" applyFont="1" applyAlignment="1">
      <alignment horizontal="left" indent="3"/>
    </xf>
    <xf numFmtId="168" fontId="68" fillId="0" borderId="0" xfId="0" applyNumberFormat="1" applyFont="1" applyAlignment="1">
      <alignment horizontal="left" indent="3"/>
    </xf>
    <xf numFmtId="168" fontId="72" fillId="0" borderId="0" xfId="2" applyNumberFormat="1" applyFont="1"/>
    <xf numFmtId="4" fontId="72" fillId="0" borderId="0" xfId="2" applyNumberFormat="1" applyFont="1"/>
    <xf numFmtId="0" fontId="68" fillId="0" borderId="0" xfId="0" applyFont="1" applyAlignment="1">
      <alignment horizontal="left" indent="4"/>
    </xf>
    <xf numFmtId="168" fontId="72" fillId="0" borderId="0" xfId="2" applyNumberFormat="1" applyFont="1" applyBorder="1"/>
    <xf numFmtId="4" fontId="54" fillId="3" borderId="0" xfId="2" applyNumberFormat="1" applyFont="1" applyFill="1"/>
    <xf numFmtId="173" fontId="70" fillId="0" borderId="0" xfId="1" applyNumberFormat="1" applyFont="1" applyFill="1" applyBorder="1" applyAlignment="1">
      <alignment horizontal="right" wrapText="1"/>
    </xf>
    <xf numFmtId="173" fontId="68" fillId="0" borderId="0" xfId="1" applyNumberFormat="1" applyFont="1" applyFill="1" applyBorder="1" applyAlignment="1">
      <alignment horizontal="right" wrapText="1"/>
    </xf>
    <xf numFmtId="168" fontId="72" fillId="0" borderId="0" xfId="0" applyNumberFormat="1" applyFont="1"/>
    <xf numFmtId="172" fontId="68" fillId="0" borderId="0" xfId="1" applyNumberFormat="1" applyFont="1" applyFill="1" applyBorder="1" applyAlignment="1">
      <alignment horizontal="right" wrapText="1"/>
    </xf>
    <xf numFmtId="172" fontId="70" fillId="3" borderId="0" xfId="1" applyNumberFormat="1" applyFont="1" applyFill="1" applyBorder="1" applyAlignment="1">
      <alignment horizontal="right" wrapText="1"/>
    </xf>
    <xf numFmtId="9" fontId="80" fillId="5" borderId="0" xfId="2" applyFont="1" applyFill="1"/>
    <xf numFmtId="9" fontId="80" fillId="0" borderId="0" xfId="2" applyFont="1"/>
    <xf numFmtId="168" fontId="45" fillId="0" borderId="0" xfId="0" applyNumberFormat="1" applyFont="1"/>
    <xf numFmtId="0" fontId="44" fillId="0" borderId="0" xfId="0" applyFont="1"/>
    <xf numFmtId="9" fontId="70" fillId="0" borderId="0" xfId="2" applyFont="1" applyFill="1"/>
    <xf numFmtId="167" fontId="71" fillId="0" borderId="0" xfId="2" applyNumberFormat="1" applyFont="1" applyBorder="1"/>
    <xf numFmtId="9" fontId="71" fillId="0" borderId="0" xfId="2" applyFont="1" applyBorder="1"/>
    <xf numFmtId="10" fontId="70" fillId="3" borderId="0" xfId="2" applyNumberFormat="1" applyFont="1" applyFill="1" applyBorder="1"/>
    <xf numFmtId="0" fontId="48" fillId="4" borderId="0" xfId="0" applyFont="1" applyFill="1" applyAlignment="1">
      <alignment horizontal="right"/>
    </xf>
    <xf numFmtId="9" fontId="70" fillId="0" borderId="0" xfId="2" applyFont="1" applyFill="1" applyBorder="1"/>
    <xf numFmtId="10" fontId="70" fillId="0" borderId="0" xfId="2" applyNumberFormat="1" applyFont="1" applyFill="1" applyBorder="1"/>
    <xf numFmtId="10" fontId="71" fillId="0" borderId="0" xfId="2" applyNumberFormat="1" applyFont="1" applyFill="1" applyBorder="1"/>
    <xf numFmtId="169" fontId="72" fillId="0" borderId="0" xfId="2" applyNumberFormat="1" applyFont="1" applyBorder="1"/>
    <xf numFmtId="0" fontId="70" fillId="3" borderId="0" xfId="0" applyFont="1" applyFill="1"/>
    <xf numFmtId="4" fontId="72" fillId="0" borderId="0" xfId="2" applyNumberFormat="1" applyFont="1" applyBorder="1"/>
    <xf numFmtId="4" fontId="54" fillId="3" borderId="0" xfId="2" applyNumberFormat="1" applyFont="1" applyFill="1" applyBorder="1"/>
    <xf numFmtId="167" fontId="70" fillId="0" borderId="0" xfId="2" applyNumberFormat="1" applyFont="1" applyBorder="1"/>
    <xf numFmtId="167" fontId="70" fillId="0" borderId="0" xfId="2" applyNumberFormat="1" applyFont="1" applyFill="1" applyBorder="1"/>
    <xf numFmtId="0" fontId="79" fillId="0" borderId="0" xfId="0" applyFont="1" applyAlignment="1">
      <alignment horizontal="right"/>
    </xf>
    <xf numFmtId="9" fontId="0" fillId="0" borderId="0" xfId="2" applyFont="1" applyBorder="1"/>
    <xf numFmtId="9" fontId="0" fillId="0" borderId="0" xfId="0" applyNumberFormat="1"/>
    <xf numFmtId="0" fontId="67" fillId="0" borderId="12" xfId="0" applyFont="1" applyBorder="1"/>
    <xf numFmtId="9" fontId="0" fillId="0" borderId="12" xfId="0" applyNumberFormat="1" applyBorder="1"/>
    <xf numFmtId="0" fontId="0" fillId="0" borderId="0" xfId="0" quotePrefix="1"/>
    <xf numFmtId="0" fontId="43" fillId="0" borderId="0" xfId="0" applyFont="1"/>
    <xf numFmtId="1" fontId="43" fillId="0" borderId="0" xfId="0" applyNumberFormat="1" applyFont="1"/>
    <xf numFmtId="0" fontId="43" fillId="0" borderId="0" xfId="0" applyFont="1" applyAlignment="1">
      <alignment horizontal="left" indent="1"/>
    </xf>
    <xf numFmtId="168" fontId="43" fillId="0" borderId="0" xfId="0" applyNumberFormat="1" applyFont="1"/>
    <xf numFmtId="167" fontId="71" fillId="0" borderId="0" xfId="2" applyNumberFormat="1" applyFont="1" applyFill="1"/>
    <xf numFmtId="1" fontId="72" fillId="0" borderId="0" xfId="2" applyNumberFormat="1" applyFont="1" applyBorder="1"/>
    <xf numFmtId="1" fontId="72" fillId="0" borderId="0" xfId="2" applyNumberFormat="1" applyFont="1"/>
    <xf numFmtId="167" fontId="54" fillId="0" borderId="0" xfId="2" applyNumberFormat="1" applyFont="1"/>
    <xf numFmtId="174" fontId="68" fillId="0" borderId="0" xfId="1" applyNumberFormat="1" applyFont="1" applyFill="1" applyBorder="1" applyAlignment="1">
      <alignment horizontal="right" wrapText="1"/>
    </xf>
    <xf numFmtId="174" fontId="70" fillId="0" borderId="0" xfId="13" applyNumberFormat="1" applyFont="1" applyFill="1" applyBorder="1" applyAlignment="1">
      <alignment horizontal="right" wrapText="1"/>
    </xf>
    <xf numFmtId="174" fontId="71" fillId="0" borderId="0" xfId="13" applyNumberFormat="1" applyFont="1" applyFill="1" applyBorder="1" applyAlignment="1">
      <alignment horizontal="right" wrapText="1"/>
    </xf>
    <xf numFmtId="175" fontId="68" fillId="0" borderId="0" xfId="1" applyNumberFormat="1" applyFont="1" applyFill="1" applyBorder="1" applyAlignment="1">
      <alignment horizontal="right" wrapText="1"/>
    </xf>
    <xf numFmtId="175" fontId="70" fillId="0" borderId="0" xfId="13" applyNumberFormat="1" applyFont="1" applyFill="1" applyBorder="1" applyAlignment="1">
      <alignment horizontal="right" wrapText="1"/>
    </xf>
    <xf numFmtId="175" fontId="71" fillId="0" borderId="0" xfId="13" applyNumberFormat="1" applyFont="1" applyFill="1" applyBorder="1" applyAlignment="1">
      <alignment horizontal="right" wrapText="1"/>
    </xf>
    <xf numFmtId="0" fontId="0" fillId="0" borderId="12" xfId="0" quotePrefix="1" applyBorder="1"/>
    <xf numFmtId="0" fontId="43" fillId="0" borderId="0" xfId="0" applyFont="1" applyAlignment="1">
      <alignment horizontal="right"/>
    </xf>
    <xf numFmtId="0" fontId="43" fillId="4" borderId="12" xfId="0" applyFont="1" applyFill="1" applyBorder="1" applyAlignment="1">
      <alignment horizontal="right"/>
    </xf>
    <xf numFmtId="0" fontId="43" fillId="0" borderId="14" xfId="0" applyFont="1" applyBorder="1" applyAlignment="1">
      <alignment horizontal="right"/>
    </xf>
    <xf numFmtId="9" fontId="43" fillId="0" borderId="1" xfId="2" applyFont="1" applyBorder="1" applyAlignment="1">
      <alignment horizontal="right"/>
    </xf>
    <xf numFmtId="9" fontId="43" fillId="0" borderId="0" xfId="2" applyFont="1" applyBorder="1" applyAlignment="1">
      <alignment horizontal="right"/>
    </xf>
    <xf numFmtId="9" fontId="43" fillId="0" borderId="0" xfId="0" applyNumberFormat="1" applyFont="1" applyAlignment="1">
      <alignment horizontal="right"/>
    </xf>
    <xf numFmtId="9" fontId="43" fillId="0" borderId="0" xfId="0" applyNumberFormat="1" applyFont="1"/>
    <xf numFmtId="9" fontId="43" fillId="6" borderId="0" xfId="2" applyFont="1" applyFill="1" applyBorder="1" applyAlignment="1">
      <alignment horizontal="right"/>
    </xf>
    <xf numFmtId="9" fontId="55" fillId="0" borderId="1" xfId="2" applyFont="1" applyBorder="1" applyAlignment="1">
      <alignment horizontal="right"/>
    </xf>
    <xf numFmtId="0" fontId="42" fillId="0" borderId="0" xfId="0" applyFont="1"/>
    <xf numFmtId="1" fontId="71" fillId="0" borderId="0" xfId="2" applyNumberFormat="1" applyFont="1" applyFill="1"/>
    <xf numFmtId="9" fontId="74" fillId="0" borderId="0" xfId="0" applyNumberFormat="1" applyFont="1"/>
    <xf numFmtId="176" fontId="54" fillId="0" borderId="0" xfId="13" applyNumberFormat="1" applyFont="1" applyBorder="1"/>
    <xf numFmtId="176" fontId="43" fillId="0" borderId="0" xfId="13" applyNumberFormat="1" applyFont="1"/>
    <xf numFmtId="0" fontId="84" fillId="0" borderId="0" xfId="0" applyFont="1"/>
    <xf numFmtId="167" fontId="72" fillId="0" borderId="0" xfId="2" applyNumberFormat="1" applyFont="1" applyBorder="1"/>
    <xf numFmtId="167" fontId="72" fillId="0" borderId="0" xfId="2" applyNumberFormat="1" applyFont="1"/>
    <xf numFmtId="4" fontId="54" fillId="0" borderId="0" xfId="0" applyNumberFormat="1" applyFont="1"/>
    <xf numFmtId="167" fontId="55" fillId="0" borderId="0" xfId="0" applyNumberFormat="1" applyFont="1"/>
    <xf numFmtId="9" fontId="72" fillId="0" borderId="0" xfId="2" applyFont="1"/>
    <xf numFmtId="167" fontId="74" fillId="0" borderId="0" xfId="0" applyNumberFormat="1" applyFont="1"/>
    <xf numFmtId="9" fontId="54" fillId="0" borderId="0" xfId="0" applyNumberFormat="1" applyFont="1"/>
    <xf numFmtId="170" fontId="41" fillId="0" borderId="0" xfId="0" applyNumberFormat="1" applyFont="1"/>
    <xf numFmtId="170" fontId="54" fillId="0" borderId="0" xfId="0" applyNumberFormat="1" applyFont="1"/>
    <xf numFmtId="168" fontId="53" fillId="0" borderId="0" xfId="0" applyNumberFormat="1" applyFont="1"/>
    <xf numFmtId="168" fontId="40" fillId="0" borderId="0" xfId="0" applyNumberFormat="1" applyFont="1" applyAlignment="1">
      <alignment horizontal="left" indent="3"/>
    </xf>
    <xf numFmtId="10" fontId="72" fillId="0" borderId="0" xfId="2" applyNumberFormat="1" applyFont="1" applyFill="1"/>
    <xf numFmtId="10" fontId="0" fillId="0" borderId="0" xfId="0" applyNumberFormat="1"/>
    <xf numFmtId="9" fontId="53" fillId="0" borderId="0" xfId="2" applyFont="1" applyBorder="1"/>
    <xf numFmtId="0" fontId="40" fillId="0" borderId="0" xfId="17"/>
    <xf numFmtId="0" fontId="65" fillId="0" borderId="0" xfId="0" applyFont="1"/>
    <xf numFmtId="2" fontId="70" fillId="0" borderId="0" xfId="2" applyNumberFormat="1" applyFont="1" applyFill="1"/>
    <xf numFmtId="2" fontId="71" fillId="0" borderId="0" xfId="2" applyNumberFormat="1" applyFont="1" applyFill="1"/>
    <xf numFmtId="4" fontId="54" fillId="0" borderId="0" xfId="2" applyNumberFormat="1" applyFont="1" applyFill="1"/>
    <xf numFmtId="4" fontId="54" fillId="0" borderId="0" xfId="2" applyNumberFormat="1" applyFont="1" applyFill="1" applyBorder="1"/>
    <xf numFmtId="4" fontId="72" fillId="3" borderId="0" xfId="2" applyNumberFormat="1" applyFont="1" applyFill="1"/>
    <xf numFmtId="4" fontId="72" fillId="3" borderId="0" xfId="2" applyNumberFormat="1" applyFont="1" applyFill="1" applyBorder="1"/>
    <xf numFmtId="2" fontId="54" fillId="3" borderId="0" xfId="0" applyNumberFormat="1" applyFont="1" applyFill="1"/>
    <xf numFmtId="10" fontId="89" fillId="0" borderId="0" xfId="0" applyNumberFormat="1" applyFont="1"/>
    <xf numFmtId="9" fontId="90" fillId="0" borderId="0" xfId="0" applyNumberFormat="1" applyFont="1"/>
    <xf numFmtId="10" fontId="67" fillId="0" borderId="0" xfId="0" applyNumberFormat="1" applyFont="1"/>
    <xf numFmtId="10" fontId="67" fillId="0" borderId="2" xfId="0" applyNumberFormat="1" applyFont="1" applyBorder="1"/>
    <xf numFmtId="167" fontId="0" fillId="0" borderId="2" xfId="2" applyNumberFormat="1" applyFont="1" applyBorder="1"/>
    <xf numFmtId="167" fontId="0" fillId="0" borderId="1" xfId="2" applyNumberFormat="1" applyFont="1" applyBorder="1"/>
    <xf numFmtId="167" fontId="0" fillId="0" borderId="5" xfId="2" applyNumberFormat="1" applyFont="1" applyBorder="1"/>
    <xf numFmtId="10" fontId="67" fillId="0" borderId="20" xfId="0" applyNumberFormat="1" applyFont="1" applyBorder="1"/>
    <xf numFmtId="167" fontId="0" fillId="0" borderId="20" xfId="2" applyNumberFormat="1" applyFont="1" applyBorder="1"/>
    <xf numFmtId="167" fontId="0" fillId="0" borderId="21" xfId="2" applyNumberFormat="1" applyFont="1" applyBorder="1"/>
    <xf numFmtId="0" fontId="53" fillId="0" borderId="12" xfId="0" applyFont="1" applyBorder="1"/>
    <xf numFmtId="0" fontId="79" fillId="0" borderId="17" xfId="0" applyFont="1" applyBorder="1"/>
    <xf numFmtId="0" fontId="39" fillId="0" borderId="0" xfId="0" applyFont="1" applyAlignment="1">
      <alignment horizontal="left" indent="1"/>
    </xf>
    <xf numFmtId="2" fontId="39" fillId="0" borderId="0" xfId="0" applyNumberFormat="1" applyFont="1"/>
    <xf numFmtId="3" fontId="54" fillId="3" borderId="0" xfId="2" applyNumberFormat="1" applyFont="1" applyFill="1" applyBorder="1"/>
    <xf numFmtId="1" fontId="72" fillId="3" borderId="0" xfId="2" applyNumberFormat="1" applyFont="1" applyFill="1" applyBorder="1"/>
    <xf numFmtId="1" fontId="54" fillId="0" borderId="0" xfId="2" applyNumberFormat="1" applyFont="1" applyBorder="1"/>
    <xf numFmtId="172" fontId="70" fillId="0" borderId="0" xfId="1" applyNumberFormat="1" applyFont="1" applyFill="1" applyBorder="1" applyAlignment="1">
      <alignment horizontal="right" wrapText="1"/>
    </xf>
    <xf numFmtId="3" fontId="0" fillId="5" borderId="0" xfId="0" applyNumberFormat="1" applyFill="1"/>
    <xf numFmtId="9" fontId="80" fillId="0" borderId="0" xfId="0" applyNumberFormat="1" applyFont="1"/>
    <xf numFmtId="3" fontId="80" fillId="0" borderId="12" xfId="0" applyNumberFormat="1" applyFont="1" applyBorder="1"/>
    <xf numFmtId="9" fontId="80" fillId="0" borderId="12" xfId="0" applyNumberFormat="1" applyFont="1" applyBorder="1"/>
    <xf numFmtId="0" fontId="38" fillId="0" borderId="0" xfId="0" applyFont="1" applyAlignment="1">
      <alignment horizontal="left" indent="1"/>
    </xf>
    <xf numFmtId="167" fontId="54" fillId="7" borderId="0" xfId="2" applyNumberFormat="1" applyFont="1" applyFill="1"/>
    <xf numFmtId="177" fontId="54" fillId="5" borderId="0" xfId="0" applyNumberFormat="1" applyFont="1" applyFill="1"/>
    <xf numFmtId="167" fontId="54" fillId="0" borderId="0" xfId="2" applyNumberFormat="1" applyFont="1" applyFill="1"/>
    <xf numFmtId="167" fontId="37" fillId="7" borderId="0" xfId="2" applyNumberFormat="1" applyFont="1" applyFill="1"/>
    <xf numFmtId="177" fontId="37" fillId="5" borderId="0" xfId="0" applyNumberFormat="1" applyFont="1" applyFill="1"/>
    <xf numFmtId="167" fontId="37" fillId="0" borderId="0" xfId="2" applyNumberFormat="1" applyFont="1" applyFill="1"/>
    <xf numFmtId="10" fontId="91" fillId="0" borderId="0" xfId="2" applyNumberFormat="1" applyFont="1"/>
    <xf numFmtId="0" fontId="69" fillId="0" borderId="12" xfId="17" applyFont="1" applyBorder="1"/>
    <xf numFmtId="0" fontId="69" fillId="0" borderId="12" xfId="17" applyFont="1" applyBorder="1" applyAlignment="1">
      <alignment horizontal="right"/>
    </xf>
    <xf numFmtId="0" fontId="68" fillId="5" borderId="0" xfId="17" applyFont="1" applyFill="1"/>
    <xf numFmtId="167" fontId="68" fillId="5" borderId="0" xfId="2" applyNumberFormat="1" applyFont="1" applyFill="1"/>
    <xf numFmtId="0" fontId="68" fillId="7" borderId="0" xfId="17" applyFont="1" applyFill="1"/>
    <xf numFmtId="0" fontId="68" fillId="0" borderId="0" xfId="17" applyFont="1"/>
    <xf numFmtId="9" fontId="37" fillId="5" borderId="0" xfId="2" applyFont="1" applyFill="1"/>
    <xf numFmtId="9" fontId="37" fillId="0" borderId="0" xfId="2" applyFont="1"/>
    <xf numFmtId="0" fontId="37" fillId="0" borderId="0" xfId="0" applyFont="1"/>
    <xf numFmtId="0" fontId="65" fillId="0" borderId="0" xfId="0" applyFont="1" applyAlignment="1">
      <alignment horizontal="left" indent="1"/>
    </xf>
    <xf numFmtId="3" fontId="37" fillId="0" borderId="0" xfId="0" applyNumberFormat="1" applyFont="1"/>
    <xf numFmtId="9" fontId="54" fillId="5" borderId="0" xfId="2" applyFont="1" applyFill="1"/>
    <xf numFmtId="10" fontId="37" fillId="0" borderId="0" xfId="2" applyNumberFormat="1" applyFont="1"/>
    <xf numFmtId="0" fontId="67" fillId="0" borderId="0" xfId="0" applyFont="1" applyAlignment="1">
      <alignment horizontal="right"/>
    </xf>
    <xf numFmtId="0" fontId="67" fillId="0" borderId="12" xfId="0" applyFont="1" applyBorder="1" applyAlignment="1">
      <alignment horizontal="right"/>
    </xf>
    <xf numFmtId="9" fontId="53" fillId="0" borderId="0" xfId="0" applyNumberFormat="1" applyFont="1"/>
    <xf numFmtId="0" fontId="80" fillId="0" borderId="0" xfId="0" applyFont="1" applyAlignment="1">
      <alignment vertical="center" wrapText="1"/>
    </xf>
    <xf numFmtId="0" fontId="79" fillId="0" borderId="0" xfId="0" applyFont="1" applyAlignment="1">
      <alignment vertical="center" wrapText="1"/>
    </xf>
    <xf numFmtId="3" fontId="79" fillId="0" borderId="0" xfId="0" applyNumberFormat="1" applyFont="1" applyAlignment="1">
      <alignment wrapText="1"/>
    </xf>
    <xf numFmtId="3" fontId="80" fillId="0" borderId="0" xfId="0" applyNumberFormat="1" applyFont="1" applyAlignment="1">
      <alignment wrapText="1"/>
    </xf>
    <xf numFmtId="0" fontId="79" fillId="0" borderId="12" xfId="0" applyFont="1" applyBorder="1" applyAlignment="1">
      <alignment vertical="center" wrapText="1"/>
    </xf>
    <xf numFmtId="3" fontId="79" fillId="0" borderId="12" xfId="0" applyNumberFormat="1" applyFont="1" applyBorder="1" applyAlignment="1">
      <alignment wrapText="1"/>
    </xf>
    <xf numFmtId="0" fontId="80" fillId="0" borderId="12" xfId="0" applyFont="1" applyBorder="1" applyAlignment="1">
      <alignment vertical="center" wrapText="1"/>
    </xf>
    <xf numFmtId="1" fontId="53" fillId="0" borderId="12" xfId="0" applyNumberFormat="1" applyFont="1" applyBorder="1"/>
    <xf numFmtId="167" fontId="53" fillId="0" borderId="0" xfId="0" applyNumberFormat="1" applyFont="1"/>
    <xf numFmtId="1" fontId="36" fillId="0" borderId="0" xfId="0" applyNumberFormat="1" applyFont="1"/>
    <xf numFmtId="1" fontId="69" fillId="0" borderId="0" xfId="0" applyNumberFormat="1" applyFont="1" applyAlignment="1">
      <alignment horizontal="left" indent="1"/>
    </xf>
    <xf numFmtId="167" fontId="55" fillId="3" borderId="0" xfId="0" applyNumberFormat="1" applyFont="1" applyFill="1"/>
    <xf numFmtId="2" fontId="0" fillId="0" borderId="0" xfId="0" applyNumberFormat="1"/>
    <xf numFmtId="0" fontId="67" fillId="3" borderId="12" xfId="0" applyFont="1" applyFill="1" applyBorder="1"/>
    <xf numFmtId="168" fontId="0" fillId="3" borderId="0" xfId="0" applyNumberFormat="1" applyFill="1"/>
    <xf numFmtId="168" fontId="0" fillId="3" borderId="12" xfId="0" applyNumberFormat="1" applyFill="1" applyBorder="1"/>
    <xf numFmtId="9" fontId="0" fillId="3" borderId="0" xfId="0" applyNumberFormat="1" applyFill="1"/>
    <xf numFmtId="0" fontId="0" fillId="3" borderId="0" xfId="0" applyFill="1"/>
    <xf numFmtId="9" fontId="0" fillId="3" borderId="12" xfId="0" applyNumberFormat="1" applyFill="1" applyBorder="1"/>
    <xf numFmtId="1" fontId="0" fillId="3" borderId="0" xfId="0" applyNumberFormat="1" applyFill="1"/>
    <xf numFmtId="2" fontId="0" fillId="3" borderId="0" xfId="0" applyNumberFormat="1" applyFill="1"/>
    <xf numFmtId="3" fontId="0" fillId="3" borderId="0" xfId="0" applyNumberFormat="1" applyFill="1"/>
    <xf numFmtId="3" fontId="0" fillId="3" borderId="12" xfId="0" applyNumberFormat="1" applyFill="1" applyBorder="1"/>
    <xf numFmtId="0" fontId="67" fillId="3" borderId="0" xfId="0" applyFont="1" applyFill="1"/>
    <xf numFmtId="3" fontId="67" fillId="3" borderId="0" xfId="0" applyNumberFormat="1" applyFont="1" applyFill="1"/>
    <xf numFmtId="167" fontId="0" fillId="0" borderId="0" xfId="0" applyNumberFormat="1"/>
    <xf numFmtId="167" fontId="36" fillId="0" borderId="0" xfId="2" applyNumberFormat="1" applyFont="1" applyBorder="1"/>
    <xf numFmtId="0" fontId="0" fillId="0" borderId="8" xfId="0" applyBorder="1"/>
    <xf numFmtId="1" fontId="53" fillId="0" borderId="8" xfId="0" applyNumberFormat="1" applyFont="1" applyBorder="1"/>
    <xf numFmtId="3" fontId="53" fillId="0" borderId="8" xfId="0" applyNumberFormat="1" applyFont="1" applyBorder="1"/>
    <xf numFmtId="3" fontId="53" fillId="6" borderId="8" xfId="0" applyNumberFormat="1" applyFont="1" applyFill="1" applyBorder="1"/>
    <xf numFmtId="167" fontId="67" fillId="0" borderId="0" xfId="0" applyNumberFormat="1" applyFont="1"/>
    <xf numFmtId="167" fontId="53" fillId="0" borderId="12" xfId="0" applyNumberFormat="1" applyFont="1" applyBorder="1"/>
    <xf numFmtId="0" fontId="79" fillId="0" borderId="22" xfId="0" applyFont="1" applyBorder="1"/>
    <xf numFmtId="0" fontId="35" fillId="0" borderId="0" xfId="0" applyFont="1" applyAlignment="1">
      <alignment horizontal="left" indent="1"/>
    </xf>
    <xf numFmtId="0" fontId="79" fillId="5" borderId="0" xfId="0" applyFont="1" applyFill="1"/>
    <xf numFmtId="167" fontId="80" fillId="0" borderId="0" xfId="0" applyNumberFormat="1" applyFont="1"/>
    <xf numFmtId="9" fontId="80" fillId="5" borderId="0" xfId="0" applyNumberFormat="1" applyFont="1" applyFill="1"/>
    <xf numFmtId="0" fontId="80" fillId="5" borderId="12" xfId="0" applyFont="1" applyFill="1" applyBorder="1"/>
    <xf numFmtId="0" fontId="79" fillId="0" borderId="12" xfId="0" applyFont="1" applyBorder="1" applyAlignment="1">
      <alignment horizontal="left"/>
    </xf>
    <xf numFmtId="9" fontId="68" fillId="0" borderId="0" xfId="0" applyNumberFormat="1" applyFont="1" applyAlignment="1">
      <alignment horizontal="left" indent="3"/>
    </xf>
    <xf numFmtId="9" fontId="72" fillId="0" borderId="0" xfId="2" applyFont="1" applyBorder="1"/>
    <xf numFmtId="0" fontId="79" fillId="5" borderId="12" xfId="0" applyFont="1" applyFill="1" applyBorder="1"/>
    <xf numFmtId="0" fontId="60" fillId="0" borderId="0" xfId="3" applyFont="1" applyAlignment="1">
      <alignment horizontal="right"/>
    </xf>
    <xf numFmtId="0" fontId="93" fillId="0" borderId="0" xfId="0" applyFont="1" applyAlignment="1">
      <alignment horizontal="left"/>
    </xf>
    <xf numFmtId="1" fontId="94" fillId="0" borderId="0" xfId="0" applyNumberFormat="1" applyFont="1"/>
    <xf numFmtId="3" fontId="67" fillId="0" borderId="12" xfId="0" applyNumberFormat="1" applyFont="1" applyBorder="1"/>
    <xf numFmtId="1" fontId="67" fillId="0" borderId="12" xfId="0" applyNumberFormat="1" applyFont="1" applyBorder="1"/>
    <xf numFmtId="3" fontId="0" fillId="5" borderId="0" xfId="0" applyNumberFormat="1" applyFill="1" applyAlignment="1">
      <alignment vertical="center"/>
    </xf>
    <xf numFmtId="3" fontId="0" fillId="0" borderId="0" xfId="0" applyNumberFormat="1" applyAlignment="1">
      <alignment vertical="center"/>
    </xf>
    <xf numFmtId="9" fontId="77" fillId="5" borderId="0" xfId="2" applyFont="1" applyFill="1"/>
    <xf numFmtId="0" fontId="88" fillId="0" borderId="0" xfId="0" applyFont="1"/>
    <xf numFmtId="3" fontId="79" fillId="5" borderId="0" xfId="0" applyNumberFormat="1" applyFont="1" applyFill="1"/>
    <xf numFmtId="0" fontId="80" fillId="5" borderId="0" xfId="0" quotePrefix="1" applyFont="1" applyFill="1"/>
    <xf numFmtId="0" fontId="80" fillId="0" borderId="0" xfId="0" quotePrefix="1" applyFont="1"/>
    <xf numFmtId="0" fontId="80" fillId="0" borderId="0" xfId="0" quotePrefix="1" applyFont="1" applyAlignment="1">
      <alignment horizontal="left" indent="1"/>
    </xf>
    <xf numFmtId="9" fontId="80" fillId="0" borderId="0" xfId="2" applyFont="1" applyFill="1"/>
    <xf numFmtId="9" fontId="80" fillId="5" borderId="12" xfId="2" applyFont="1" applyFill="1" applyBorder="1"/>
    <xf numFmtId="167" fontId="80" fillId="0" borderId="0" xfId="2" applyNumberFormat="1" applyFont="1" applyFill="1"/>
    <xf numFmtId="9" fontId="69" fillId="0" borderId="0" xfId="0" applyNumberFormat="1" applyFont="1"/>
    <xf numFmtId="0" fontId="34" fillId="0" borderId="0" xfId="0" applyFont="1" applyAlignment="1">
      <alignment horizontal="right"/>
    </xf>
    <xf numFmtId="167" fontId="80" fillId="0" borderId="0" xfId="2" applyNumberFormat="1" applyFont="1" applyBorder="1"/>
    <xf numFmtId="9" fontId="80" fillId="0" borderId="0" xfId="2" applyFont="1" applyBorder="1" applyAlignment="1">
      <alignment horizontal="right"/>
    </xf>
    <xf numFmtId="167" fontId="80" fillId="0" borderId="0" xfId="2" applyNumberFormat="1" applyFont="1" applyBorder="1" applyAlignment="1">
      <alignment horizontal="right"/>
    </xf>
    <xf numFmtId="0" fontId="80" fillId="5" borderId="0" xfId="0" applyFont="1" applyFill="1" applyAlignment="1">
      <alignment horizontal="left" indent="1"/>
    </xf>
    <xf numFmtId="0" fontId="80" fillId="0" borderId="0" xfId="2" applyNumberFormat="1" applyFont="1" applyBorder="1"/>
    <xf numFmtId="0" fontId="80" fillId="0" borderId="0" xfId="2" applyNumberFormat="1" applyFont="1" applyBorder="1" applyAlignment="1">
      <alignment horizontal="right"/>
    </xf>
    <xf numFmtId="0" fontId="0" fillId="0" borderId="0" xfId="2" applyNumberFormat="1" applyFont="1" applyBorder="1"/>
    <xf numFmtId="0" fontId="77" fillId="0" borderId="0" xfId="6" applyFont="1"/>
    <xf numFmtId="179" fontId="77" fillId="0" borderId="0" xfId="6" applyNumberFormat="1" applyFont="1"/>
    <xf numFmtId="168" fontId="54" fillId="0" borderId="0" xfId="0" applyNumberFormat="1" applyFont="1"/>
    <xf numFmtId="167" fontId="80" fillId="0" borderId="0" xfId="2" applyNumberFormat="1" applyFont="1"/>
    <xf numFmtId="0" fontId="80" fillId="5" borderId="12" xfId="0" quotePrefix="1" applyFont="1" applyFill="1" applyBorder="1"/>
    <xf numFmtId="9" fontId="70" fillId="3" borderId="0" xfId="2" applyFont="1" applyFill="1" applyBorder="1"/>
    <xf numFmtId="1" fontId="0" fillId="0" borderId="12" xfId="0" applyNumberFormat="1" applyBorder="1"/>
    <xf numFmtId="0" fontId="83" fillId="0" borderId="0" xfId="0" applyFont="1"/>
    <xf numFmtId="1" fontId="0" fillId="0" borderId="0" xfId="0" applyNumberFormat="1" applyAlignment="1">
      <alignment horizontal="right"/>
    </xf>
    <xf numFmtId="0" fontId="68" fillId="0" borderId="12" xfId="0" applyFont="1" applyBorder="1"/>
    <xf numFmtId="0" fontId="37" fillId="0" borderId="12" xfId="0" applyFont="1" applyBorder="1"/>
    <xf numFmtId="0" fontId="33" fillId="0" borderId="0" xfId="0" applyFont="1"/>
    <xf numFmtId="0" fontId="33" fillId="0" borderId="0" xfId="0" applyFont="1" applyAlignment="1">
      <alignment horizontal="right"/>
    </xf>
    <xf numFmtId="9" fontId="37" fillId="0" borderId="0" xfId="0" applyNumberFormat="1" applyFont="1"/>
    <xf numFmtId="9" fontId="37" fillId="0" borderId="12" xfId="0" applyNumberFormat="1" applyFont="1" applyBorder="1"/>
    <xf numFmtId="167" fontId="37" fillId="0" borderId="0" xfId="0" applyNumberFormat="1" applyFont="1"/>
    <xf numFmtId="0" fontId="95" fillId="0" borderId="0" xfId="0" applyFont="1"/>
    <xf numFmtId="0" fontId="0" fillId="7" borderId="0" xfId="0" applyFill="1"/>
    <xf numFmtId="0" fontId="0" fillId="6" borderId="0" xfId="0" applyFill="1"/>
    <xf numFmtId="3" fontId="79" fillId="0" borderId="0" xfId="0" applyNumberFormat="1" applyFont="1"/>
    <xf numFmtId="14" fontId="0" fillId="0" borderId="0" xfId="0" applyNumberFormat="1"/>
    <xf numFmtId="0" fontId="93" fillId="0" borderId="0" xfId="0" applyFont="1"/>
    <xf numFmtId="9" fontId="93" fillId="0" borderId="0" xfId="0" applyNumberFormat="1" applyFont="1"/>
    <xf numFmtId="9" fontId="97" fillId="0" borderId="0" xfId="0" applyNumberFormat="1" applyFont="1"/>
    <xf numFmtId="167" fontId="94" fillId="0" borderId="0" xfId="2" applyNumberFormat="1" applyFont="1"/>
    <xf numFmtId="168" fontId="80" fillId="5" borderId="0" xfId="0" applyNumberFormat="1" applyFont="1" applyFill="1"/>
    <xf numFmtId="168" fontId="80" fillId="0" borderId="12" xfId="0" applyNumberFormat="1" applyFont="1" applyBorder="1"/>
    <xf numFmtId="2" fontId="80" fillId="5" borderId="0" xfId="0" applyNumberFormat="1" applyFont="1" applyFill="1"/>
    <xf numFmtId="0" fontId="87" fillId="5" borderId="0" xfId="0" applyFont="1" applyFill="1"/>
    <xf numFmtId="0" fontId="80" fillId="0" borderId="12" xfId="0" quotePrefix="1" applyFont="1" applyBorder="1"/>
    <xf numFmtId="0" fontId="80" fillId="5" borderId="0" xfId="0" quotePrefix="1" applyFont="1" applyFill="1" applyAlignment="1">
      <alignment horizontal="left" indent="2"/>
    </xf>
    <xf numFmtId="0" fontId="80" fillId="5" borderId="12" xfId="0" quotePrefix="1" applyFont="1" applyFill="1" applyBorder="1" applyAlignment="1">
      <alignment horizontal="left" indent="2"/>
    </xf>
    <xf numFmtId="3" fontId="80" fillId="5" borderId="12" xfId="0" applyNumberFormat="1" applyFont="1" applyFill="1" applyBorder="1"/>
    <xf numFmtId="0" fontId="87" fillId="5" borderId="0" xfId="0" applyFont="1" applyFill="1" applyAlignment="1">
      <alignment horizontal="left" indent="1"/>
    </xf>
    <xf numFmtId="0" fontId="87" fillId="0" borderId="0" xfId="0" applyFont="1"/>
    <xf numFmtId="0" fontId="80" fillId="0" borderId="0" xfId="0" applyFont="1" applyAlignment="1">
      <alignment horizontal="left" indent="1"/>
    </xf>
    <xf numFmtId="0" fontId="87" fillId="0" borderId="0" xfId="0" applyFont="1" applyAlignment="1">
      <alignment horizontal="left" indent="1"/>
    </xf>
    <xf numFmtId="0" fontId="80" fillId="5" borderId="0" xfId="0" quotePrefix="1" applyFont="1" applyFill="1" applyAlignment="1">
      <alignment horizontal="left" indent="1"/>
    </xf>
    <xf numFmtId="0" fontId="80" fillId="7" borderId="0" xfId="0" applyFont="1" applyFill="1"/>
    <xf numFmtId="168" fontId="80" fillId="7" borderId="0" xfId="0" applyNumberFormat="1" applyFont="1" applyFill="1"/>
    <xf numFmtId="3" fontId="80" fillId="5" borderId="0" xfId="2" applyNumberFormat="1" applyFont="1" applyFill="1"/>
    <xf numFmtId="0" fontId="80" fillId="0" borderId="12" xfId="0" applyFont="1" applyBorder="1" applyAlignment="1">
      <alignment horizontal="left"/>
    </xf>
    <xf numFmtId="0" fontId="80" fillId="5" borderId="0" xfId="0" quotePrefix="1" applyFont="1" applyFill="1" applyAlignment="1">
      <alignment horizontal="left"/>
    </xf>
    <xf numFmtId="0" fontId="80" fillId="0" borderId="0" xfId="0" quotePrefix="1" applyFont="1" applyAlignment="1">
      <alignment horizontal="left"/>
    </xf>
    <xf numFmtId="3" fontId="80" fillId="0" borderId="0" xfId="2" applyNumberFormat="1" applyFont="1" applyFill="1"/>
    <xf numFmtId="3" fontId="80" fillId="0" borderId="22" xfId="0" applyNumberFormat="1" applyFont="1" applyBorder="1"/>
    <xf numFmtId="3" fontId="80" fillId="0" borderId="18" xfId="0" applyNumberFormat="1" applyFont="1" applyBorder="1"/>
    <xf numFmtId="0" fontId="68" fillId="0" borderId="0" xfId="0" applyFont="1" applyAlignment="1">
      <alignment horizontal="left" indent="5"/>
    </xf>
    <xf numFmtId="0" fontId="98" fillId="0" borderId="0" xfId="0" applyFont="1"/>
    <xf numFmtId="0" fontId="93" fillId="0" borderId="0" xfId="0" applyFont="1" applyAlignment="1">
      <alignment horizontal="left" indent="1"/>
    </xf>
    <xf numFmtId="0" fontId="32" fillId="0" borderId="0" xfId="0" quotePrefix="1" applyFont="1" applyAlignment="1">
      <alignment horizontal="left" indent="2"/>
    </xf>
    <xf numFmtId="0" fontId="80" fillId="0" borderId="0" xfId="0" applyFont="1" applyAlignment="1">
      <alignment horizontal="left"/>
    </xf>
    <xf numFmtId="1" fontId="80" fillId="0" borderId="0" xfId="2" applyNumberFormat="1" applyFont="1" applyFill="1"/>
    <xf numFmtId="0" fontId="80" fillId="5" borderId="12" xfId="0" quotePrefix="1" applyFont="1" applyFill="1" applyBorder="1" applyAlignment="1">
      <alignment horizontal="left" indent="1"/>
    </xf>
    <xf numFmtId="1" fontId="80" fillId="5" borderId="12" xfId="0" applyNumberFormat="1" applyFont="1" applyFill="1" applyBorder="1"/>
    <xf numFmtId="0" fontId="79" fillId="7" borderId="0" xfId="0" applyFont="1" applyFill="1"/>
    <xf numFmtId="3" fontId="80" fillId="5" borderId="12" xfId="2" applyNumberFormat="1" applyFont="1" applyFill="1" applyBorder="1"/>
    <xf numFmtId="3" fontId="79" fillId="0" borderId="8" xfId="0" applyNumberFormat="1" applyFont="1" applyBorder="1"/>
    <xf numFmtId="3" fontId="80" fillId="5" borderId="21" xfId="0" applyNumberFormat="1" applyFont="1" applyFill="1" applyBorder="1"/>
    <xf numFmtId="3" fontId="80" fillId="5" borderId="5" xfId="0" applyNumberFormat="1" applyFont="1" applyFill="1" applyBorder="1"/>
    <xf numFmtId="9" fontId="80" fillId="0" borderId="19" xfId="2" applyFont="1" applyFill="1" applyBorder="1"/>
    <xf numFmtId="9" fontId="80" fillId="0" borderId="4" xfId="2" applyFont="1" applyFill="1" applyBorder="1"/>
    <xf numFmtId="3" fontId="79" fillId="0" borderId="24" xfId="0" applyNumberFormat="1" applyFont="1" applyBorder="1"/>
    <xf numFmtId="0" fontId="0" fillId="5" borderId="0" xfId="0" applyFill="1"/>
    <xf numFmtId="0" fontId="79" fillId="5" borderId="8" xfId="0" applyFont="1" applyFill="1" applyBorder="1"/>
    <xf numFmtId="3" fontId="79" fillId="5" borderId="8" xfId="0" applyNumberFormat="1" applyFont="1" applyFill="1" applyBorder="1"/>
    <xf numFmtId="1" fontId="79" fillId="5" borderId="0" xfId="0" applyNumberFormat="1" applyFont="1" applyFill="1"/>
    <xf numFmtId="0" fontId="79" fillId="5" borderId="22" xfId="0" applyFont="1" applyFill="1" applyBorder="1"/>
    <xf numFmtId="0" fontId="79" fillId="5" borderId="17" xfId="0" applyFont="1" applyFill="1" applyBorder="1"/>
    <xf numFmtId="3" fontId="79" fillId="5" borderId="18" xfId="0" applyNumberFormat="1" applyFont="1" applyFill="1" applyBorder="1"/>
    <xf numFmtId="1" fontId="79" fillId="0" borderId="18" xfId="0" applyNumberFormat="1" applyFont="1" applyBorder="1"/>
    <xf numFmtId="4" fontId="31" fillId="0" borderId="0" xfId="0" applyNumberFormat="1" applyFont="1"/>
    <xf numFmtId="0" fontId="68" fillId="0" borderId="12" xfId="0" applyFont="1" applyBorder="1" applyAlignment="1">
      <alignment horizontal="left" indent="3"/>
    </xf>
    <xf numFmtId="0" fontId="54" fillId="0" borderId="12" xfId="0" applyFont="1" applyBorder="1"/>
    <xf numFmtId="9" fontId="68" fillId="0" borderId="12" xfId="2" applyFont="1" applyFill="1" applyBorder="1"/>
    <xf numFmtId="167" fontId="70" fillId="0" borderId="12" xfId="2" applyNumberFormat="1" applyFont="1" applyFill="1" applyBorder="1"/>
    <xf numFmtId="10" fontId="68" fillId="0" borderId="12" xfId="2" applyNumberFormat="1" applyFont="1" applyFill="1" applyBorder="1"/>
    <xf numFmtId="0" fontId="53" fillId="4" borderId="12" xfId="0" applyFont="1" applyFill="1" applyBorder="1"/>
    <xf numFmtId="2" fontId="55" fillId="0" borderId="0" xfId="0" applyNumberFormat="1" applyFont="1"/>
    <xf numFmtId="1" fontId="30" fillId="0" borderId="0" xfId="0" applyNumberFormat="1" applyFont="1"/>
    <xf numFmtId="0" fontId="96" fillId="0" borderId="0" xfId="0" applyFont="1"/>
    <xf numFmtId="9" fontId="43" fillId="0" borderId="0" xfId="2" applyFont="1" applyFill="1" applyBorder="1" applyAlignment="1">
      <alignment horizontal="right"/>
    </xf>
    <xf numFmtId="167" fontId="100" fillId="0" borderId="0" xfId="2" applyNumberFormat="1" applyFont="1"/>
    <xf numFmtId="2" fontId="54" fillId="0" borderId="0" xfId="0" applyNumberFormat="1" applyFont="1"/>
    <xf numFmtId="0" fontId="29" fillId="0" borderId="0" xfId="0" applyFont="1" applyAlignment="1">
      <alignment horizontal="right"/>
    </xf>
    <xf numFmtId="3" fontId="54" fillId="6" borderId="8" xfId="0" applyNumberFormat="1" applyFont="1" applyFill="1" applyBorder="1"/>
    <xf numFmtId="3" fontId="92" fillId="0" borderId="0" xfId="0" applyNumberFormat="1" applyFont="1"/>
    <xf numFmtId="3" fontId="92" fillId="0" borderId="12" xfId="0" applyNumberFormat="1" applyFont="1" applyBorder="1"/>
    <xf numFmtId="168" fontId="92" fillId="0" borderId="0" xfId="0" applyNumberFormat="1" applyFont="1"/>
    <xf numFmtId="167" fontId="54" fillId="0" borderId="0" xfId="0" applyNumberFormat="1" applyFont="1"/>
    <xf numFmtId="167" fontId="101" fillId="0" borderId="0" xfId="0" applyNumberFormat="1" applyFont="1"/>
    <xf numFmtId="1" fontId="101" fillId="0" borderId="0" xfId="0" applyNumberFormat="1" applyFont="1"/>
    <xf numFmtId="170" fontId="77" fillId="0" borderId="0" xfId="2" applyNumberFormat="1" applyFont="1" applyBorder="1"/>
    <xf numFmtId="0" fontId="77" fillId="0" borderId="0" xfId="2" applyNumberFormat="1" applyFont="1" applyBorder="1"/>
    <xf numFmtId="167" fontId="77" fillId="0" borderId="0" xfId="0" applyNumberFormat="1" applyFont="1"/>
    <xf numFmtId="167" fontId="77" fillId="0" borderId="0" xfId="2" applyNumberFormat="1" applyFont="1" applyFill="1" applyBorder="1"/>
    <xf numFmtId="9" fontId="77" fillId="0" borderId="0" xfId="0" applyNumberFormat="1" applyFont="1"/>
    <xf numFmtId="0" fontId="102" fillId="0" borderId="0" xfId="0" applyFont="1"/>
    <xf numFmtId="167" fontId="28" fillId="0" borderId="0" xfId="0" applyNumberFormat="1" applyFont="1"/>
    <xf numFmtId="167" fontId="0" fillId="0" borderId="0" xfId="0" applyNumberFormat="1" applyAlignment="1">
      <alignment horizontal="left"/>
    </xf>
    <xf numFmtId="9" fontId="0" fillId="0" borderId="0" xfId="0" applyNumberFormat="1" applyAlignment="1">
      <alignment horizontal="left"/>
    </xf>
    <xf numFmtId="0" fontId="0" fillId="0" borderId="0" xfId="0" applyAlignment="1">
      <alignment horizontal="left"/>
    </xf>
    <xf numFmtId="9" fontId="0" fillId="0" borderId="0" xfId="0" applyNumberFormat="1" applyAlignment="1">
      <alignment horizontal="right"/>
    </xf>
    <xf numFmtId="0" fontId="27" fillId="0" borderId="0" xfId="0" applyFont="1" applyAlignment="1">
      <alignment horizontal="left" indent="2"/>
    </xf>
    <xf numFmtId="3" fontId="72" fillId="0" borderId="0" xfId="0" applyNumberFormat="1" applyFont="1"/>
    <xf numFmtId="167" fontId="43" fillId="0" borderId="0" xfId="2" applyNumberFormat="1" applyFont="1" applyBorder="1" applyAlignment="1">
      <alignment horizontal="right"/>
    </xf>
    <xf numFmtId="0" fontId="43" fillId="0" borderId="1" xfId="0" applyFont="1" applyBorder="1" applyAlignment="1">
      <alignment horizontal="right"/>
    </xf>
    <xf numFmtId="0" fontId="43" fillId="0" borderId="1" xfId="0" applyFont="1" applyBorder="1"/>
    <xf numFmtId="167" fontId="43" fillId="0" borderId="1" xfId="2" applyNumberFormat="1" applyFont="1" applyBorder="1" applyAlignment="1">
      <alignment horizontal="right"/>
    </xf>
    <xf numFmtId="1" fontId="53" fillId="3" borderId="0" xfId="0" applyNumberFormat="1" applyFont="1" applyFill="1"/>
    <xf numFmtId="10" fontId="53" fillId="0" borderId="0" xfId="2" applyNumberFormat="1" applyFont="1" applyFill="1" applyBorder="1"/>
    <xf numFmtId="9" fontId="53" fillId="0" borderId="0" xfId="2" applyFont="1" applyFill="1" applyBorder="1"/>
    <xf numFmtId="9" fontId="101" fillId="0" borderId="0" xfId="2" applyFont="1" applyFill="1" applyBorder="1"/>
    <xf numFmtId="168" fontId="77" fillId="0" borderId="0" xfId="0" applyNumberFormat="1" applyFont="1"/>
    <xf numFmtId="167" fontId="105" fillId="0" borderId="0" xfId="2" applyNumberFormat="1" applyFont="1" applyBorder="1"/>
    <xf numFmtId="10" fontId="77" fillId="0" borderId="0" xfId="2" applyNumberFormat="1" applyFont="1" applyBorder="1"/>
    <xf numFmtId="10" fontId="53" fillId="0" borderId="0" xfId="2" applyNumberFormat="1" applyFont="1" applyBorder="1"/>
    <xf numFmtId="9" fontId="106" fillId="0" borderId="0" xfId="2" applyFont="1" applyBorder="1"/>
    <xf numFmtId="167" fontId="53" fillId="3" borderId="0" xfId="0" applyNumberFormat="1" applyFont="1" applyFill="1"/>
    <xf numFmtId="167" fontId="77" fillId="0" borderId="0" xfId="2" applyNumberFormat="1" applyFont="1" applyBorder="1"/>
    <xf numFmtId="3" fontId="92" fillId="12" borderId="0" xfId="0" applyNumberFormat="1" applyFont="1" applyFill="1"/>
    <xf numFmtId="3" fontId="80" fillId="12" borderId="0" xfId="0" applyNumberFormat="1" applyFont="1" applyFill="1"/>
    <xf numFmtId="3" fontId="77" fillId="0" borderId="12" xfId="0" applyNumberFormat="1" applyFont="1" applyBorder="1"/>
    <xf numFmtId="3" fontId="80" fillId="0" borderId="12" xfId="0" applyNumberFormat="1" applyFont="1" applyBorder="1" applyAlignment="1">
      <alignment wrapText="1"/>
    </xf>
    <xf numFmtId="167" fontId="65" fillId="0" borderId="12" xfId="2" applyNumberFormat="1" applyFont="1" applyBorder="1" applyAlignment="1">
      <alignment horizontal="right"/>
    </xf>
    <xf numFmtId="3" fontId="105" fillId="0" borderId="0" xfId="0" applyNumberFormat="1" applyFont="1" applyAlignment="1">
      <alignment wrapText="1"/>
    </xf>
    <xf numFmtId="3" fontId="105" fillId="0" borderId="12" xfId="0" applyNumberFormat="1" applyFont="1" applyBorder="1" applyAlignment="1">
      <alignment wrapText="1"/>
    </xf>
    <xf numFmtId="3" fontId="77" fillId="0" borderId="0" xfId="0" applyNumberFormat="1" applyFont="1"/>
    <xf numFmtId="167" fontId="97" fillId="0" borderId="0" xfId="2" applyNumberFormat="1" applyFont="1" applyBorder="1"/>
    <xf numFmtId="167" fontId="43" fillId="0" borderId="0" xfId="2" applyNumberFormat="1" applyFont="1" applyFill="1" applyBorder="1" applyAlignment="1">
      <alignment horizontal="right"/>
    </xf>
    <xf numFmtId="9" fontId="101" fillId="0" borderId="0" xfId="2" applyFont="1" applyBorder="1"/>
    <xf numFmtId="167" fontId="80" fillId="0" borderId="0" xfId="2" applyNumberFormat="1" applyFont="1" applyFill="1" applyAlignment="1">
      <alignment wrapText="1"/>
    </xf>
    <xf numFmtId="167" fontId="80" fillId="0" borderId="12" xfId="2" applyNumberFormat="1" applyFont="1" applyFill="1" applyBorder="1" applyAlignment="1">
      <alignment wrapText="1"/>
    </xf>
    <xf numFmtId="0" fontId="80" fillId="0" borderId="0" xfId="0" applyFont="1" applyAlignment="1">
      <alignment horizontal="left" vertical="center" wrapText="1" indent="1"/>
    </xf>
    <xf numFmtId="0" fontId="80" fillId="0" borderId="12" xfId="0" applyFont="1" applyBorder="1" applyAlignment="1">
      <alignment horizontal="left" vertical="center" wrapText="1" indent="1"/>
    </xf>
    <xf numFmtId="167" fontId="109" fillId="0" borderId="0" xfId="2" applyNumberFormat="1" applyFont="1" applyBorder="1" applyAlignment="1">
      <alignment horizontal="right"/>
    </xf>
    <xf numFmtId="170" fontId="79" fillId="0" borderId="0" xfId="0" applyNumberFormat="1" applyFont="1" applyAlignment="1">
      <alignment wrapText="1"/>
    </xf>
    <xf numFmtId="3" fontId="92" fillId="3" borderId="0" xfId="0" applyNumberFormat="1" applyFont="1" applyFill="1" applyAlignment="1">
      <alignment wrapText="1"/>
    </xf>
    <xf numFmtId="3" fontId="92" fillId="3" borderId="12" xfId="0" applyNumberFormat="1" applyFont="1" applyFill="1" applyBorder="1" applyAlignment="1">
      <alignment wrapText="1"/>
    </xf>
    <xf numFmtId="167" fontId="109" fillId="0" borderId="12" xfId="2" applyNumberFormat="1" applyFont="1" applyBorder="1" applyAlignment="1">
      <alignment horizontal="right"/>
    </xf>
    <xf numFmtId="170" fontId="79" fillId="0" borderId="12" xfId="0" applyNumberFormat="1" applyFont="1" applyBorder="1" applyAlignment="1">
      <alignment wrapText="1"/>
    </xf>
    <xf numFmtId="167" fontId="105" fillId="0" borderId="0" xfId="2" applyNumberFormat="1" applyFont="1" applyFill="1" applyAlignment="1">
      <alignment wrapText="1"/>
    </xf>
    <xf numFmtId="167" fontId="105" fillId="0" borderId="12" xfId="2" applyNumberFormat="1" applyFont="1" applyFill="1" applyBorder="1" applyAlignment="1">
      <alignment wrapText="1"/>
    </xf>
    <xf numFmtId="1" fontId="110" fillId="0" borderId="24" xfId="0" applyNumberFormat="1" applyFont="1" applyBorder="1"/>
    <xf numFmtId="0" fontId="24" fillId="4" borderId="0" xfId="0" applyFont="1" applyFill="1" applyAlignment="1">
      <alignment horizontal="right"/>
    </xf>
    <xf numFmtId="0" fontId="79" fillId="0" borderId="0" xfId="0" applyFont="1" applyAlignment="1">
      <alignment horizontal="left" vertical="center"/>
    </xf>
    <xf numFmtId="0" fontId="80" fillId="0" borderId="0" xfId="0" applyFont="1" applyAlignment="1">
      <alignment horizontal="left" vertical="center" indent="1"/>
    </xf>
    <xf numFmtId="3" fontId="80" fillId="0" borderId="0" xfId="2" applyNumberFormat="1" applyFont="1" applyFill="1" applyBorder="1" applyAlignment="1">
      <alignment horizontal="center"/>
    </xf>
    <xf numFmtId="0" fontId="80" fillId="0" borderId="0" xfId="0" applyFont="1" applyAlignment="1">
      <alignment horizontal="left" vertical="center"/>
    </xf>
    <xf numFmtId="3" fontId="79" fillId="0" borderId="0" xfId="2" applyNumberFormat="1" applyFont="1" applyFill="1" applyBorder="1" applyAlignment="1">
      <alignment horizontal="center"/>
    </xf>
    <xf numFmtId="1" fontId="80" fillId="0" borderId="0" xfId="2" applyNumberFormat="1" applyFont="1" applyFill="1" applyBorder="1" applyAlignment="1">
      <alignment horizontal="center"/>
    </xf>
    <xf numFmtId="1" fontId="80" fillId="0" borderId="0" xfId="2" applyNumberFormat="1" applyFont="1" applyFill="1" applyBorder="1" applyAlignment="1">
      <alignment horizontal="center" vertical="center"/>
    </xf>
    <xf numFmtId="0" fontId="111" fillId="0" borderId="0" xfId="0" applyFont="1"/>
    <xf numFmtId="0" fontId="111" fillId="4" borderId="0" xfId="0" applyFont="1" applyFill="1" applyAlignment="1">
      <alignment horizontal="right"/>
    </xf>
    <xf numFmtId="0" fontId="112" fillId="0" borderId="0" xfId="0" applyFont="1"/>
    <xf numFmtId="0" fontId="112" fillId="0" borderId="0" xfId="0" applyFont="1" applyAlignment="1">
      <alignment horizontal="right"/>
    </xf>
    <xf numFmtId="0" fontId="113" fillId="0" borderId="0" xfId="0" applyFont="1"/>
    <xf numFmtId="0" fontId="114" fillId="0" borderId="0" xfId="0" applyFont="1" applyAlignment="1">
      <alignment horizontal="center"/>
    </xf>
    <xf numFmtId="0" fontId="113" fillId="0" borderId="1" xfId="0" applyFont="1" applyBorder="1"/>
    <xf numFmtId="3" fontId="115" fillId="0" borderId="1" xfId="0" applyNumberFormat="1" applyFont="1" applyBorder="1"/>
    <xf numFmtId="0" fontId="116" fillId="0" borderId="1" xfId="0" applyFont="1" applyBorder="1"/>
    <xf numFmtId="0" fontId="111" fillId="0" borderId="0" xfId="0" applyFont="1" applyAlignment="1">
      <alignment horizontal="left" indent="2"/>
    </xf>
    <xf numFmtId="1" fontId="117" fillId="0" borderId="0" xfId="0" applyNumberFormat="1" applyFont="1"/>
    <xf numFmtId="0" fontId="114" fillId="0" borderId="0" xfId="0" applyFont="1"/>
    <xf numFmtId="0" fontId="114" fillId="0" borderId="0" xfId="0" quotePrefix="1" applyFont="1"/>
    <xf numFmtId="0" fontId="114" fillId="0" borderId="0" xfId="0" applyFont="1" applyAlignment="1">
      <alignment horizontal="left" indent="3"/>
    </xf>
    <xf numFmtId="9" fontId="114" fillId="0" borderId="0" xfId="2" applyFont="1"/>
    <xf numFmtId="1" fontId="111" fillId="0" borderId="0" xfId="0" applyNumberFormat="1" applyFont="1"/>
    <xf numFmtId="3" fontId="111" fillId="0" borderId="0" xfId="0" applyNumberFormat="1" applyFont="1"/>
    <xf numFmtId="0" fontId="116" fillId="0" borderId="0" xfId="0" applyFont="1"/>
    <xf numFmtId="0" fontId="111" fillId="0" borderId="0" xfId="0" applyFont="1" applyAlignment="1">
      <alignment horizontal="left" indent="1"/>
    </xf>
    <xf numFmtId="1" fontId="118" fillId="0" borderId="0" xfId="0" applyNumberFormat="1" applyFont="1"/>
    <xf numFmtId="167" fontId="111" fillId="0" borderId="0" xfId="2" applyNumberFormat="1" applyFont="1"/>
    <xf numFmtId="9" fontId="111" fillId="0" borderId="0" xfId="2" applyFont="1"/>
    <xf numFmtId="0" fontId="115" fillId="0" borderId="12" xfId="0" applyFont="1" applyBorder="1"/>
    <xf numFmtId="9" fontId="111" fillId="0" borderId="0" xfId="0" applyNumberFormat="1" applyFont="1"/>
    <xf numFmtId="0" fontId="111" fillId="3" borderId="0" xfId="0" applyFont="1" applyFill="1"/>
    <xf numFmtId="2" fontId="111" fillId="3" borderId="0" xfId="0" applyNumberFormat="1" applyFont="1" applyFill="1"/>
    <xf numFmtId="2" fontId="111" fillId="0" borderId="0" xfId="0" applyNumberFormat="1" applyFont="1"/>
    <xf numFmtId="0" fontId="115" fillId="0" borderId="12" xfId="0" applyFont="1" applyBorder="1" applyAlignment="1">
      <alignment horizontal="right"/>
    </xf>
    <xf numFmtId="168" fontId="111" fillId="0" borderId="0" xfId="0" applyNumberFormat="1" applyFont="1"/>
    <xf numFmtId="0" fontId="111" fillId="0" borderId="0" xfId="16" applyFont="1"/>
    <xf numFmtId="0" fontId="111" fillId="0" borderId="0" xfId="2" applyNumberFormat="1" applyFont="1"/>
    <xf numFmtId="9" fontId="119" fillId="9" borderId="16" xfId="2" applyFont="1" applyFill="1" applyBorder="1" applyAlignment="1" applyProtection="1">
      <alignment horizontal="right"/>
    </xf>
    <xf numFmtId="0" fontId="111" fillId="0" borderId="0" xfId="0" applyFont="1" applyAlignment="1">
      <alignment horizontal="left"/>
    </xf>
    <xf numFmtId="170" fontId="111" fillId="0" borderId="0" xfId="0" applyNumberFormat="1" applyFont="1"/>
    <xf numFmtId="17" fontId="111" fillId="0" borderId="0" xfId="0" applyNumberFormat="1" applyFont="1" applyAlignment="1">
      <alignment horizontal="right"/>
    </xf>
    <xf numFmtId="0" fontId="114" fillId="5" borderId="0" xfId="17" applyFont="1" applyFill="1"/>
    <xf numFmtId="9" fontId="114" fillId="5" borderId="0" xfId="2" applyFont="1" applyFill="1"/>
    <xf numFmtId="0" fontId="115" fillId="0" borderId="17" xfId="0" applyFont="1" applyBorder="1" applyAlignment="1">
      <alignment horizontal="center"/>
    </xf>
    <xf numFmtId="0" fontId="115" fillId="0" borderId="18" xfId="0" applyFont="1" applyBorder="1" applyAlignment="1">
      <alignment horizontal="center"/>
    </xf>
    <xf numFmtId="0" fontId="114" fillId="0" borderId="0" xfId="17" applyFont="1"/>
    <xf numFmtId="0" fontId="116" fillId="0" borderId="12" xfId="0" applyFont="1" applyBorder="1"/>
    <xf numFmtId="17" fontId="116" fillId="0" borderId="12" xfId="0" applyNumberFormat="1" applyFont="1" applyBorder="1" applyAlignment="1">
      <alignment horizontal="right"/>
    </xf>
    <xf numFmtId="9" fontId="112" fillId="0" borderId="0" xfId="0" applyNumberFormat="1" applyFont="1"/>
    <xf numFmtId="0" fontId="114" fillId="0" borderId="0" xfId="0" applyFont="1" applyAlignment="1">
      <alignment horizontal="left" indent="1"/>
    </xf>
    <xf numFmtId="0" fontId="120" fillId="0" borderId="0" xfId="0" applyFont="1"/>
    <xf numFmtId="0" fontId="114" fillId="5" borderId="0" xfId="17" applyFont="1" applyFill="1" applyAlignment="1">
      <alignment horizontal="left" indent="1"/>
    </xf>
    <xf numFmtId="0" fontId="116" fillId="5" borderId="22" xfId="17" applyFont="1" applyFill="1" applyBorder="1" applyAlignment="1">
      <alignment horizontal="left" indent="1"/>
    </xf>
    <xf numFmtId="0" fontId="116" fillId="5" borderId="17" xfId="17" applyFont="1" applyFill="1" applyBorder="1"/>
    <xf numFmtId="9" fontId="116" fillId="5" borderId="17" xfId="2" applyFont="1" applyFill="1" applyBorder="1"/>
    <xf numFmtId="9" fontId="116" fillId="5" borderId="18" xfId="2" applyFont="1" applyFill="1" applyBorder="1"/>
    <xf numFmtId="0" fontId="116" fillId="0" borderId="22" xfId="0" applyFont="1" applyBorder="1" applyAlignment="1">
      <alignment horizontal="left" indent="1"/>
    </xf>
    <xf numFmtId="0" fontId="116" fillId="0" borderId="17" xfId="0" applyFont="1" applyBorder="1"/>
    <xf numFmtId="9" fontId="116" fillId="0" borderId="17" xfId="0" applyNumberFormat="1" applyFont="1" applyBorder="1"/>
    <xf numFmtId="9" fontId="116" fillId="0" borderId="18" xfId="0" applyNumberFormat="1" applyFont="1" applyBorder="1"/>
    <xf numFmtId="1" fontId="115" fillId="0" borderId="0" xfId="0" applyNumberFormat="1" applyFont="1"/>
    <xf numFmtId="1" fontId="115" fillId="0" borderId="0" xfId="0" applyNumberFormat="1" applyFont="1" applyAlignment="1">
      <alignment horizontal="right"/>
    </xf>
    <xf numFmtId="1" fontId="111" fillId="0" borderId="12" xfId="0" applyNumberFormat="1" applyFont="1" applyBorder="1"/>
    <xf numFmtId="1" fontId="115" fillId="0" borderId="12" xfId="0" applyNumberFormat="1" applyFont="1" applyBorder="1" applyAlignment="1">
      <alignment horizontal="right"/>
    </xf>
    <xf numFmtId="1" fontId="121" fillId="0" borderId="0" xfId="0" applyNumberFormat="1" applyFont="1"/>
    <xf numFmtId="167" fontId="111" fillId="0" borderId="0" xfId="0" applyNumberFormat="1" applyFont="1"/>
    <xf numFmtId="167" fontId="111" fillId="0" borderId="12" xfId="0" applyNumberFormat="1" applyFont="1" applyBorder="1"/>
    <xf numFmtId="0" fontId="115" fillId="0" borderId="0" xfId="0" applyFont="1"/>
    <xf numFmtId="0" fontId="115" fillId="0" borderId="0" xfId="0" applyFont="1" applyAlignment="1">
      <alignment horizontal="right"/>
    </xf>
    <xf numFmtId="167" fontId="115" fillId="0" borderId="0" xfId="0" applyNumberFormat="1" applyFont="1"/>
    <xf numFmtId="1" fontId="115" fillId="0" borderId="12" xfId="0" applyNumberFormat="1" applyFont="1" applyBorder="1"/>
    <xf numFmtId="167" fontId="112" fillId="0" borderId="0" xfId="0" applyNumberFormat="1" applyFont="1"/>
    <xf numFmtId="0" fontId="111" fillId="0" borderId="12" xfId="0" applyFont="1" applyBorder="1"/>
    <xf numFmtId="0" fontId="116" fillId="0" borderId="12" xfId="0" applyFont="1" applyBorder="1" applyAlignment="1">
      <alignment horizontal="right"/>
    </xf>
    <xf numFmtId="3" fontId="116" fillId="0" borderId="12" xfId="0" applyNumberFormat="1" applyFont="1" applyBorder="1" applyAlignment="1">
      <alignment horizontal="right"/>
    </xf>
    <xf numFmtId="0" fontId="114" fillId="0" borderId="0" xfId="0" applyFont="1" applyAlignment="1">
      <alignment horizontal="right"/>
    </xf>
    <xf numFmtId="0" fontId="114" fillId="5" borderId="0" xfId="0" applyFont="1" applyFill="1"/>
    <xf numFmtId="3" fontId="114" fillId="5" borderId="0" xfId="0" applyNumberFormat="1" applyFont="1" applyFill="1"/>
    <xf numFmtId="167" fontId="114" fillId="5" borderId="0" xfId="0" applyNumberFormat="1" applyFont="1" applyFill="1"/>
    <xf numFmtId="9" fontId="114" fillId="5" borderId="0" xfId="0" applyNumberFormat="1" applyFont="1" applyFill="1"/>
    <xf numFmtId="0" fontId="114" fillId="0" borderId="12" xfId="0" applyFont="1" applyBorder="1"/>
    <xf numFmtId="3" fontId="114" fillId="0" borderId="12" xfId="0" applyNumberFormat="1" applyFont="1" applyBorder="1"/>
    <xf numFmtId="167" fontId="114" fillId="0" borderId="12" xfId="0" applyNumberFormat="1" applyFont="1" applyBorder="1"/>
    <xf numFmtId="9" fontId="114" fillId="0" borderId="12" xfId="0" applyNumberFormat="1" applyFont="1" applyBorder="1"/>
    <xf numFmtId="3" fontId="114" fillId="0" borderId="0" xfId="0" applyNumberFormat="1" applyFont="1"/>
    <xf numFmtId="167" fontId="114" fillId="0" borderId="0" xfId="0" applyNumberFormat="1" applyFont="1"/>
    <xf numFmtId="1" fontId="115" fillId="5" borderId="0" xfId="0" applyNumberFormat="1" applyFont="1" applyFill="1"/>
    <xf numFmtId="167" fontId="111" fillId="5" borderId="0" xfId="0" applyNumberFormat="1" applyFont="1" applyFill="1"/>
    <xf numFmtId="1" fontId="111" fillId="5" borderId="0" xfId="0" applyNumberFormat="1" applyFont="1" applyFill="1"/>
    <xf numFmtId="0" fontId="111" fillId="5" borderId="0" xfId="0" applyFont="1" applyFill="1"/>
    <xf numFmtId="1" fontId="115" fillId="5" borderId="22" xfId="0" applyNumberFormat="1" applyFont="1" applyFill="1" applyBorder="1"/>
    <xf numFmtId="3" fontId="116" fillId="5" borderId="17" xfId="0" applyNumberFormat="1" applyFont="1" applyFill="1" applyBorder="1"/>
    <xf numFmtId="167" fontId="116" fillId="5" borderId="17" xfId="0" applyNumberFormat="1" applyFont="1" applyFill="1" applyBorder="1"/>
    <xf numFmtId="0" fontId="115" fillId="5" borderId="17" xfId="0" applyFont="1" applyFill="1" applyBorder="1"/>
    <xf numFmtId="167" fontId="116" fillId="5" borderId="18" xfId="0" applyNumberFormat="1" applyFont="1" applyFill="1" applyBorder="1"/>
    <xf numFmtId="0" fontId="114" fillId="0" borderId="0" xfId="0" applyFont="1" applyAlignment="1">
      <alignment vertical="center" wrapText="1"/>
    </xf>
    <xf numFmtId="0" fontId="116" fillId="0" borderId="0" xfId="0" applyFont="1" applyAlignment="1">
      <alignment vertical="center" wrapText="1"/>
    </xf>
    <xf numFmtId="3" fontId="116" fillId="0" borderId="0" xfId="0" applyNumberFormat="1" applyFont="1" applyAlignment="1">
      <alignment wrapText="1"/>
    </xf>
    <xf numFmtId="3" fontId="116" fillId="10" borderId="0" xfId="0" applyNumberFormat="1" applyFont="1" applyFill="1" applyAlignment="1">
      <alignment wrapText="1"/>
    </xf>
    <xf numFmtId="0" fontId="116" fillId="0" borderId="12" xfId="0" applyFont="1" applyBorder="1" applyAlignment="1">
      <alignment vertical="center" wrapText="1"/>
    </xf>
    <xf numFmtId="3" fontId="116" fillId="0" borderId="12" xfId="0" applyNumberFormat="1" applyFont="1" applyBorder="1" applyAlignment="1">
      <alignment wrapText="1"/>
    </xf>
    <xf numFmtId="3" fontId="116" fillId="3" borderId="0" xfId="0" applyNumberFormat="1" applyFont="1" applyFill="1" applyAlignment="1">
      <alignment wrapText="1"/>
    </xf>
    <xf numFmtId="0" fontId="114" fillId="0" borderId="12" xfId="0" applyFont="1" applyBorder="1" applyAlignment="1">
      <alignment vertical="center" wrapText="1"/>
    </xf>
    <xf numFmtId="3" fontId="114" fillId="0" borderId="0" xfId="0" applyNumberFormat="1" applyFont="1" applyAlignment="1">
      <alignment wrapText="1"/>
    </xf>
    <xf numFmtId="9" fontId="114" fillId="0" borderId="0" xfId="0" applyNumberFormat="1" applyFont="1"/>
    <xf numFmtId="1" fontId="114" fillId="0" borderId="0" xfId="0" applyNumberFormat="1" applyFont="1"/>
    <xf numFmtId="0" fontId="122" fillId="5" borderId="0" xfId="0" applyFont="1" applyFill="1" applyAlignment="1">
      <alignment vertical="center" wrapText="1"/>
    </xf>
    <xf numFmtId="0" fontId="116" fillId="5" borderId="0" xfId="0" applyFont="1" applyFill="1" applyAlignment="1">
      <alignment horizontal="right"/>
    </xf>
    <xf numFmtId="0" fontId="114" fillId="5" borderId="0" xfId="0" applyFont="1" applyFill="1" applyAlignment="1">
      <alignment vertical="center" wrapText="1"/>
    </xf>
    <xf numFmtId="0" fontId="116" fillId="0" borderId="22" xfId="0" applyFont="1" applyBorder="1" applyAlignment="1">
      <alignment vertical="center" wrapText="1"/>
    </xf>
    <xf numFmtId="3" fontId="116" fillId="0" borderId="17" xfId="0" applyNumberFormat="1" applyFont="1" applyBorder="1"/>
    <xf numFmtId="3" fontId="116" fillId="0" borderId="18" xfId="0" applyNumberFormat="1" applyFont="1" applyBorder="1"/>
    <xf numFmtId="0" fontId="122" fillId="0" borderId="0" xfId="0" applyFont="1" applyAlignment="1">
      <alignment vertical="center" wrapText="1"/>
    </xf>
    <xf numFmtId="0" fontId="116" fillId="0" borderId="22" xfId="0" applyFont="1" applyBorder="1"/>
    <xf numFmtId="0" fontId="114" fillId="5" borderId="23" xfId="0" applyFont="1" applyFill="1" applyBorder="1"/>
    <xf numFmtId="3" fontId="114" fillId="5" borderId="23" xfId="0" applyNumberFormat="1" applyFont="1" applyFill="1" applyBorder="1"/>
    <xf numFmtId="0" fontId="123" fillId="0" borderId="12" xfId="0" applyFont="1" applyBorder="1" applyAlignment="1">
      <alignment horizontal="right"/>
    </xf>
    <xf numFmtId="0" fontId="122" fillId="5" borderId="0" xfId="0" applyFont="1" applyFill="1"/>
    <xf numFmtId="0" fontId="116" fillId="11" borderId="0" xfId="0" applyFont="1" applyFill="1" applyAlignment="1">
      <alignment horizontal="right"/>
    </xf>
    <xf numFmtId="1" fontId="124" fillId="0" borderId="0" xfId="0" applyNumberFormat="1" applyFont="1"/>
    <xf numFmtId="1" fontId="114" fillId="5" borderId="0" xfId="0" applyNumberFormat="1" applyFont="1" applyFill="1"/>
    <xf numFmtId="1" fontId="124" fillId="12" borderId="0" xfId="0" applyNumberFormat="1" applyFont="1" applyFill="1"/>
    <xf numFmtId="1" fontId="116" fillId="0" borderId="17" xfId="0" applyNumberFormat="1" applyFont="1" applyBorder="1"/>
    <xf numFmtId="1" fontId="123" fillId="0" borderId="17" xfId="0" applyNumberFormat="1" applyFont="1" applyBorder="1"/>
    <xf numFmtId="1" fontId="123" fillId="0" borderId="18" xfId="0" applyNumberFormat="1" applyFont="1" applyBorder="1"/>
    <xf numFmtId="0" fontId="116" fillId="5" borderId="0" xfId="0" applyFont="1" applyFill="1"/>
    <xf numFmtId="9" fontId="116" fillId="5" borderId="0" xfId="0" applyNumberFormat="1" applyFont="1" applyFill="1"/>
    <xf numFmtId="9" fontId="123" fillId="12" borderId="0" xfId="0" applyNumberFormat="1" applyFont="1" applyFill="1"/>
    <xf numFmtId="1" fontId="116" fillId="0" borderId="0" xfId="0" applyNumberFormat="1" applyFont="1"/>
    <xf numFmtId="1" fontId="123" fillId="0" borderId="0" xfId="0" applyNumberFormat="1" applyFont="1"/>
    <xf numFmtId="0" fontId="116" fillId="5" borderId="12" xfId="0" applyFont="1" applyFill="1" applyBorder="1"/>
    <xf numFmtId="0" fontId="116" fillId="5" borderId="12" xfId="0" applyFont="1" applyFill="1" applyBorder="1" applyAlignment="1">
      <alignment horizontal="right"/>
    </xf>
    <xf numFmtId="0" fontId="123" fillId="12" borderId="12" xfId="0" applyFont="1" applyFill="1" applyBorder="1" applyAlignment="1">
      <alignment horizontal="right"/>
    </xf>
    <xf numFmtId="0" fontId="122" fillId="0" borderId="0" xfId="0" applyFont="1"/>
    <xf numFmtId="0" fontId="116" fillId="0" borderId="0" xfId="0" applyFont="1" applyAlignment="1">
      <alignment horizontal="right"/>
    </xf>
    <xf numFmtId="0" fontId="123" fillId="0" borderId="0" xfId="0" applyFont="1" applyAlignment="1">
      <alignment horizontal="right"/>
    </xf>
    <xf numFmtId="1" fontId="114" fillId="0" borderId="0" xfId="0" applyNumberFormat="1" applyFont="1" applyAlignment="1">
      <alignment horizontal="center"/>
    </xf>
    <xf numFmtId="1" fontId="111" fillId="0" borderId="0" xfId="0" applyNumberFormat="1" applyFont="1" applyAlignment="1">
      <alignment horizontal="center"/>
    </xf>
    <xf numFmtId="0" fontId="116" fillId="0" borderId="12" xfId="0" applyFont="1" applyBorder="1" applyAlignment="1">
      <alignment horizontal="center" vertical="center"/>
    </xf>
    <xf numFmtId="0" fontId="116" fillId="0" borderId="12" xfId="0" applyFont="1" applyBorder="1" applyAlignment="1">
      <alignment horizontal="center" vertical="center" wrapText="1"/>
    </xf>
    <xf numFmtId="0" fontId="113" fillId="0" borderId="12" xfId="0" applyFont="1" applyBorder="1" applyAlignment="1">
      <alignment horizontal="center" vertical="center" wrapText="1"/>
    </xf>
    <xf numFmtId="0" fontId="112" fillId="0" borderId="0" xfId="0" applyFont="1" applyAlignment="1">
      <alignment horizontal="center" vertical="center" wrapText="1"/>
    </xf>
    <xf numFmtId="9" fontId="112" fillId="5" borderId="0" xfId="0" applyNumberFormat="1" applyFont="1" applyFill="1"/>
    <xf numFmtId="1" fontId="115" fillId="0" borderId="7" xfId="0" applyNumberFormat="1" applyFont="1" applyBorder="1"/>
    <xf numFmtId="1" fontId="115" fillId="0" borderId="8" xfId="0" applyNumberFormat="1" applyFont="1" applyBorder="1"/>
    <xf numFmtId="9" fontId="113" fillId="0" borderId="9" xfId="2" applyFont="1" applyBorder="1"/>
    <xf numFmtId="9" fontId="117" fillId="0" borderId="0" xfId="0" applyNumberFormat="1" applyFont="1"/>
    <xf numFmtId="0" fontId="117" fillId="0" borderId="0" xfId="0" applyFont="1"/>
    <xf numFmtId="10" fontId="117" fillId="0" borderId="0" xfId="0" applyNumberFormat="1" applyFont="1"/>
    <xf numFmtId="168" fontId="114" fillId="0" borderId="0" xfId="0" applyNumberFormat="1" applyFont="1"/>
    <xf numFmtId="0" fontId="118" fillId="0" borderId="0" xfId="0" applyFont="1"/>
    <xf numFmtId="168" fontId="118" fillId="0" borderId="0" xfId="0" applyNumberFormat="1" applyFont="1"/>
    <xf numFmtId="9" fontId="118" fillId="0" borderId="0" xfId="0" applyNumberFormat="1" applyFont="1"/>
    <xf numFmtId="10" fontId="111" fillId="0" borderId="0" xfId="0" applyNumberFormat="1" applyFont="1"/>
    <xf numFmtId="0" fontId="114" fillId="0" borderId="0" xfId="0" applyFont="1" applyAlignment="1">
      <alignment horizontal="left"/>
    </xf>
    <xf numFmtId="167" fontId="114" fillId="0" borderId="0" xfId="2" applyNumberFormat="1" applyFont="1"/>
    <xf numFmtId="0" fontId="125" fillId="0" borderId="0" xfId="0" applyFont="1"/>
    <xf numFmtId="167" fontId="111" fillId="0" borderId="0" xfId="2" applyNumberFormat="1" applyFont="1" applyFill="1" applyBorder="1"/>
    <xf numFmtId="2" fontId="115" fillId="0" borderId="0" xfId="0" applyNumberFormat="1" applyFont="1"/>
    <xf numFmtId="167" fontId="115" fillId="0" borderId="0" xfId="2" applyNumberFormat="1" applyFont="1" applyFill="1" applyBorder="1"/>
    <xf numFmtId="16" fontId="116" fillId="0" borderId="25" xfId="0" applyNumberFormat="1" applyFont="1" applyBorder="1"/>
    <xf numFmtId="0" fontId="114" fillId="13" borderId="14" xfId="0" applyFont="1" applyFill="1" applyBorder="1" applyAlignment="1">
      <alignment horizontal="left" vertical="center"/>
    </xf>
    <xf numFmtId="0" fontId="116" fillId="13" borderId="14" xfId="0" applyFont="1" applyFill="1" applyBorder="1" applyAlignment="1">
      <alignment horizontal="center"/>
    </xf>
    <xf numFmtId="0" fontId="116" fillId="13" borderId="0" xfId="0" applyFont="1" applyFill="1" applyAlignment="1">
      <alignment horizontal="center"/>
    </xf>
    <xf numFmtId="0" fontId="114" fillId="0" borderId="0" xfId="0" applyFont="1" applyAlignment="1">
      <alignment horizontal="left" vertical="center"/>
    </xf>
    <xf numFmtId="9" fontId="114" fillId="0" borderId="0" xfId="2" applyFont="1" applyBorder="1" applyAlignment="1">
      <alignment horizontal="center"/>
    </xf>
    <xf numFmtId="167" fontId="114" fillId="0" borderId="0" xfId="2" applyNumberFormat="1" applyFont="1" applyBorder="1" applyAlignment="1">
      <alignment horizontal="center"/>
    </xf>
    <xf numFmtId="0" fontId="114" fillId="13" borderId="0" xfId="0" applyFont="1" applyFill="1" applyAlignment="1">
      <alignment horizontal="left" vertical="center"/>
    </xf>
    <xf numFmtId="167" fontId="114" fillId="13" borderId="0" xfId="2" applyNumberFormat="1" applyFont="1" applyFill="1" applyBorder="1" applyAlignment="1">
      <alignment horizontal="center"/>
    </xf>
    <xf numFmtId="9" fontId="114" fillId="13" borderId="0" xfId="2" applyFont="1" applyFill="1" applyBorder="1" applyAlignment="1">
      <alignment horizontal="center"/>
    </xf>
    <xf numFmtId="3" fontId="114" fillId="0" borderId="0" xfId="2" applyNumberFormat="1" applyFont="1" applyBorder="1" applyAlignment="1">
      <alignment horizontal="center"/>
    </xf>
    <xf numFmtId="3" fontId="114" fillId="13" borderId="0" xfId="2" applyNumberFormat="1" applyFont="1" applyFill="1" applyBorder="1" applyAlignment="1">
      <alignment horizontal="center"/>
    </xf>
    <xf numFmtId="0" fontId="114" fillId="0" borderId="12" xfId="0" applyFont="1" applyBorder="1" applyAlignment="1">
      <alignment horizontal="left" vertical="center"/>
    </xf>
    <xf numFmtId="3" fontId="114" fillId="0" borderId="12" xfId="2" applyNumberFormat="1" applyFont="1" applyBorder="1" applyAlignment="1">
      <alignment horizontal="center"/>
    </xf>
    <xf numFmtId="167" fontId="114" fillId="0" borderId="12" xfId="2" applyNumberFormat="1" applyFont="1" applyBorder="1" applyAlignment="1">
      <alignment horizontal="center"/>
    </xf>
    <xf numFmtId="9" fontId="114" fillId="0" borderId="12" xfId="2" applyFont="1" applyBorder="1" applyAlignment="1">
      <alignment horizontal="center"/>
    </xf>
    <xf numFmtId="16" fontId="116" fillId="0" borderId="8" xfId="0" applyNumberFormat="1" applyFont="1" applyBorder="1"/>
    <xf numFmtId="16" fontId="116" fillId="0" borderId="12" xfId="0" applyNumberFormat="1" applyFont="1" applyBorder="1"/>
    <xf numFmtId="0" fontId="111" fillId="0" borderId="13" xfId="0" applyFont="1" applyBorder="1"/>
    <xf numFmtId="1" fontId="115" fillId="0" borderId="0" xfId="2" applyNumberFormat="1" applyFont="1" applyFill="1" applyBorder="1"/>
    <xf numFmtId="9" fontId="111" fillId="0" borderId="12" xfId="0" applyNumberFormat="1" applyFont="1" applyBorder="1"/>
    <xf numFmtId="0" fontId="115" fillId="0" borderId="12" xfId="0" applyFont="1" applyBorder="1" applyAlignment="1">
      <alignment horizontal="left"/>
    </xf>
    <xf numFmtId="9" fontId="115" fillId="0" borderId="12" xfId="0" applyNumberFormat="1" applyFont="1" applyBorder="1"/>
    <xf numFmtId="9" fontId="111" fillId="0" borderId="0" xfId="0" applyNumberFormat="1" applyFont="1" applyAlignment="1">
      <alignment horizontal="left"/>
    </xf>
    <xf numFmtId="9" fontId="115" fillId="0" borderId="22" xfId="0" applyNumberFormat="1" applyFont="1" applyBorder="1" applyAlignment="1">
      <alignment horizontal="left"/>
    </xf>
    <xf numFmtId="168" fontId="115" fillId="0" borderId="18" xfId="0" applyNumberFormat="1" applyFont="1" applyBorder="1"/>
    <xf numFmtId="9" fontId="111" fillId="14" borderId="0" xfId="0" applyNumberFormat="1" applyFont="1" applyFill="1" applyAlignment="1">
      <alignment horizontal="left"/>
    </xf>
    <xf numFmtId="168" fontId="111" fillId="14" borderId="0" xfId="0" applyNumberFormat="1" applyFont="1" applyFill="1"/>
    <xf numFmtId="1" fontId="67" fillId="0" borderId="0" xfId="0" applyNumberFormat="1" applyFont="1"/>
    <xf numFmtId="9" fontId="67" fillId="0" borderId="0" xfId="0" applyNumberFormat="1" applyFont="1"/>
    <xf numFmtId="14" fontId="67" fillId="0" borderId="0" xfId="0" applyNumberFormat="1" applyFont="1"/>
    <xf numFmtId="0" fontId="128" fillId="0" borderId="0" xfId="0" applyFont="1"/>
    <xf numFmtId="1" fontId="128" fillId="0" borderId="0" xfId="0" applyNumberFormat="1" applyFont="1"/>
    <xf numFmtId="10" fontId="53" fillId="3" borderId="0" xfId="0" applyNumberFormat="1" applyFont="1" applyFill="1"/>
    <xf numFmtId="0" fontId="67" fillId="12" borderId="0" xfId="0" applyFont="1" applyFill="1" applyAlignment="1">
      <alignment horizontal="right"/>
    </xf>
    <xf numFmtId="0" fontId="67" fillId="12" borderId="12" xfId="0" applyFont="1" applyFill="1" applyBorder="1"/>
    <xf numFmtId="1" fontId="0" fillId="12" borderId="0" xfId="0" applyNumberFormat="1" applyFill="1"/>
    <xf numFmtId="1" fontId="0" fillId="12" borderId="12" xfId="0" applyNumberFormat="1" applyFill="1" applyBorder="1"/>
    <xf numFmtId="1" fontId="67" fillId="12" borderId="0" xfId="0" applyNumberFormat="1" applyFont="1" applyFill="1"/>
    <xf numFmtId="0" fontId="0" fillId="12" borderId="0" xfId="0" applyFill="1"/>
    <xf numFmtId="1" fontId="128" fillId="12" borderId="0" xfId="0" applyNumberFormat="1" applyFont="1" applyFill="1"/>
    <xf numFmtId="0" fontId="67" fillId="12" borderId="0" xfId="0" applyFont="1" applyFill="1"/>
    <xf numFmtId="167" fontId="67" fillId="12" borderId="0" xfId="0" applyNumberFormat="1" applyFont="1" applyFill="1"/>
    <xf numFmtId="9" fontId="53" fillId="0" borderId="0" xfId="2" applyFont="1"/>
    <xf numFmtId="3" fontId="53" fillId="0" borderId="12" xfId="0" applyNumberFormat="1" applyFont="1" applyBorder="1"/>
    <xf numFmtId="3" fontId="101" fillId="0" borderId="12" xfId="0" applyNumberFormat="1" applyFont="1" applyBorder="1"/>
    <xf numFmtId="167" fontId="77" fillId="0" borderId="0" xfId="2" applyNumberFormat="1" applyFont="1" applyFill="1" applyAlignment="1">
      <alignment wrapText="1"/>
    </xf>
    <xf numFmtId="167" fontId="77" fillId="0" borderId="12" xfId="2" applyNumberFormat="1" applyFont="1" applyFill="1" applyBorder="1" applyAlignment="1">
      <alignment wrapText="1"/>
    </xf>
    <xf numFmtId="170" fontId="78" fillId="0" borderId="0" xfId="0" applyNumberFormat="1" applyFont="1" applyAlignment="1">
      <alignment wrapText="1"/>
    </xf>
    <xf numFmtId="9" fontId="68" fillId="5" borderId="0" xfId="2" applyFont="1" applyFill="1"/>
    <xf numFmtId="167" fontId="99" fillId="0" borderId="0" xfId="0" applyNumberFormat="1" applyFont="1"/>
    <xf numFmtId="1" fontId="116" fillId="0" borderId="25" xfId="0" applyNumberFormat="1" applyFont="1" applyBorder="1"/>
    <xf numFmtId="0" fontId="114" fillId="0" borderId="0" xfId="17" applyFont="1" applyAlignment="1">
      <alignment horizontal="right"/>
    </xf>
    <xf numFmtId="170" fontId="114" fillId="13" borderId="14" xfId="0" applyNumberFormat="1" applyFont="1" applyFill="1" applyBorder="1" applyAlignment="1">
      <alignment horizontal="right" vertical="center"/>
    </xf>
    <xf numFmtId="3" fontId="114" fillId="13" borderId="14" xfId="0" applyNumberFormat="1" applyFont="1" applyFill="1" applyBorder="1" applyAlignment="1">
      <alignment horizontal="right" vertical="center"/>
    </xf>
    <xf numFmtId="0" fontId="114" fillId="13" borderId="14" xfId="0" applyFont="1" applyFill="1" applyBorder="1" applyAlignment="1">
      <alignment horizontal="right" vertical="center"/>
    </xf>
    <xf numFmtId="3" fontId="114" fillId="0" borderId="0" xfId="0" applyNumberFormat="1" applyFont="1" applyAlignment="1">
      <alignment horizontal="right" vertical="center"/>
    </xf>
    <xf numFmtId="0" fontId="114" fillId="0" borderId="0" xfId="0" applyFont="1" applyAlignment="1">
      <alignment horizontal="right" vertical="center"/>
    </xf>
    <xf numFmtId="170" fontId="114" fillId="0" borderId="0" xfId="0" applyNumberFormat="1" applyFont="1" applyAlignment="1">
      <alignment horizontal="right" vertical="center"/>
    </xf>
    <xf numFmtId="3" fontId="114" fillId="13" borderId="0" xfId="0" applyNumberFormat="1" applyFont="1" applyFill="1" applyAlignment="1">
      <alignment horizontal="right" vertical="center"/>
    </xf>
    <xf numFmtId="0" fontId="114" fillId="13" borderId="0" xfId="0" applyFont="1" applyFill="1" applyAlignment="1">
      <alignment horizontal="right" vertical="center"/>
    </xf>
    <xf numFmtId="170" fontId="114" fillId="13" borderId="0" xfId="0" applyNumberFormat="1" applyFont="1" applyFill="1" applyAlignment="1">
      <alignment horizontal="right" vertical="center"/>
    </xf>
    <xf numFmtId="0" fontId="114" fillId="13" borderId="12" xfId="0" applyFont="1" applyFill="1" applyBorder="1" applyAlignment="1">
      <alignment horizontal="left" vertical="center"/>
    </xf>
    <xf numFmtId="3" fontId="114" fillId="13" borderId="12" xfId="0" applyNumberFormat="1" applyFont="1" applyFill="1" applyBorder="1" applyAlignment="1">
      <alignment horizontal="right" vertical="center"/>
    </xf>
    <xf numFmtId="0" fontId="114" fillId="13" borderId="12" xfId="0" applyFont="1" applyFill="1" applyBorder="1" applyAlignment="1">
      <alignment horizontal="right" vertical="center"/>
    </xf>
    <xf numFmtId="0" fontId="122" fillId="13" borderId="0" xfId="0" applyFont="1" applyFill="1" applyAlignment="1">
      <alignment horizontal="left" vertical="center"/>
    </xf>
    <xf numFmtId="9" fontId="114" fillId="0" borderId="0" xfId="2" applyFont="1" applyBorder="1" applyAlignment="1">
      <alignment horizontal="right" vertical="center"/>
    </xf>
    <xf numFmtId="9" fontId="114" fillId="13" borderId="0" xfId="2" applyFont="1" applyFill="1" applyBorder="1" applyAlignment="1">
      <alignment horizontal="right" vertical="center"/>
    </xf>
    <xf numFmtId="167" fontId="114" fillId="0" borderId="0" xfId="17" applyNumberFormat="1" applyFont="1"/>
    <xf numFmtId="168" fontId="114" fillId="0" borderId="0" xfId="0" applyNumberFormat="1" applyFont="1" applyAlignment="1">
      <alignment horizontal="right" vertical="center"/>
    </xf>
    <xf numFmtId="4" fontId="114" fillId="13" borderId="0" xfId="0" applyNumberFormat="1" applyFont="1" applyFill="1" applyAlignment="1">
      <alignment horizontal="right" vertical="center"/>
    </xf>
    <xf numFmtId="4" fontId="114" fillId="0" borderId="0" xfId="0" applyNumberFormat="1" applyFont="1" applyAlignment="1">
      <alignment horizontal="right" vertical="center"/>
    </xf>
    <xf numFmtId="167" fontId="111" fillId="3" borderId="0" xfId="0" applyNumberFormat="1" applyFont="1" applyFill="1"/>
    <xf numFmtId="9" fontId="74" fillId="0" borderId="0" xfId="2" applyFont="1"/>
    <xf numFmtId="0" fontId="127" fillId="0" borderId="7" xfId="5" applyFont="1" applyBorder="1"/>
    <xf numFmtId="0" fontId="116" fillId="0" borderId="8" xfId="0" applyFont="1" applyBorder="1" applyAlignment="1">
      <alignment horizontal="left"/>
    </xf>
    <xf numFmtId="0" fontId="116" fillId="0" borderId="8" xfId="0" applyFont="1" applyBorder="1" applyAlignment="1">
      <alignment horizontal="right"/>
    </xf>
    <xf numFmtId="0" fontId="116" fillId="0" borderId="8" xfId="0" applyFont="1" applyBorder="1"/>
    <xf numFmtId="0" fontId="116" fillId="0" borderId="9" xfId="0" applyFont="1" applyBorder="1" applyAlignment="1">
      <alignment horizontal="right"/>
    </xf>
    <xf numFmtId="0" fontId="114" fillId="0" borderId="10" xfId="0" applyFont="1" applyBorder="1"/>
    <xf numFmtId="9" fontId="114" fillId="0" borderId="6" xfId="0" applyNumberFormat="1" applyFont="1" applyBorder="1"/>
    <xf numFmtId="0" fontId="114" fillId="0" borderId="6" xfId="0" applyFont="1" applyBorder="1"/>
    <xf numFmtId="2" fontId="114" fillId="0" borderId="0" xfId="0" applyNumberFormat="1" applyFont="1"/>
    <xf numFmtId="170" fontId="126" fillId="0" borderId="0" xfId="1" applyNumberFormat="1" applyFont="1" applyFill="1" applyBorder="1"/>
    <xf numFmtId="170" fontId="114" fillId="0" borderId="0" xfId="0" applyNumberFormat="1" applyFont="1"/>
    <xf numFmtId="9" fontId="127" fillId="0" borderId="0" xfId="1" applyNumberFormat="1" applyFont="1" applyFill="1" applyBorder="1"/>
    <xf numFmtId="0" fontId="114" fillId="3" borderId="0" xfId="0" applyFont="1" applyFill="1" applyAlignment="1">
      <alignment horizontal="left"/>
    </xf>
    <xf numFmtId="4" fontId="114" fillId="0" borderId="0" xfId="0" applyNumberFormat="1" applyFont="1"/>
    <xf numFmtId="0" fontId="114" fillId="0" borderId="14" xfId="0" applyFont="1" applyBorder="1"/>
    <xf numFmtId="3" fontId="114" fillId="0" borderId="14" xfId="0" applyNumberFormat="1" applyFont="1" applyBorder="1"/>
    <xf numFmtId="168" fontId="112" fillId="0" borderId="0" xfId="0" applyNumberFormat="1" applyFont="1"/>
    <xf numFmtId="167" fontId="114" fillId="3" borderId="0" xfId="0" applyNumberFormat="1" applyFont="1" applyFill="1"/>
    <xf numFmtId="170" fontId="0" fillId="0" borderId="0" xfId="0" applyNumberFormat="1"/>
    <xf numFmtId="4" fontId="0" fillId="0" borderId="0" xfId="0" applyNumberFormat="1"/>
    <xf numFmtId="167" fontId="0" fillId="3" borderId="0" xfId="0" applyNumberFormat="1" applyFill="1"/>
    <xf numFmtId="167" fontId="0" fillId="3" borderId="0" xfId="2" applyNumberFormat="1" applyFont="1" applyFill="1"/>
    <xf numFmtId="0" fontId="80" fillId="0" borderId="0" xfId="0" applyFont="1" applyAlignment="1">
      <alignment horizontal="right"/>
    </xf>
    <xf numFmtId="16" fontId="107" fillId="0" borderId="25" xfId="0" applyNumberFormat="1" applyFont="1" applyBorder="1" applyAlignment="1">
      <alignment horizontal="center"/>
    </xf>
    <xf numFmtId="0" fontId="88" fillId="0" borderId="12" xfId="0" applyFont="1" applyBorder="1"/>
    <xf numFmtId="167" fontId="80" fillId="0" borderId="0" xfId="2" applyNumberFormat="1" applyFont="1" applyFill="1" applyBorder="1"/>
    <xf numFmtId="4" fontId="80" fillId="0" borderId="0" xfId="0" applyNumberFormat="1" applyFont="1"/>
    <xf numFmtId="4" fontId="80" fillId="0" borderId="12" xfId="0" applyNumberFormat="1" applyFont="1" applyBorder="1"/>
    <xf numFmtId="9" fontId="80" fillId="0" borderId="12" xfId="2" applyFont="1" applyFill="1" applyBorder="1"/>
    <xf numFmtId="2" fontId="79" fillId="0" borderId="25" xfId="0" applyNumberFormat="1" applyFont="1" applyBorder="1" applyAlignment="1">
      <alignment horizontal="center" vertical="center"/>
    </xf>
    <xf numFmtId="167" fontId="80" fillId="0" borderId="0" xfId="2" applyNumberFormat="1" applyFont="1" applyFill="1" applyAlignment="1">
      <alignment horizontal="center"/>
    </xf>
    <xf numFmtId="9" fontId="80" fillId="0" borderId="0" xfId="2" applyFont="1" applyFill="1" applyAlignment="1">
      <alignment horizontal="center"/>
    </xf>
    <xf numFmtId="3" fontId="80" fillId="0" borderId="0" xfId="2" applyNumberFormat="1" applyFont="1" applyFill="1" applyAlignment="1">
      <alignment horizontal="center"/>
    </xf>
    <xf numFmtId="0" fontId="80" fillId="0" borderId="12" xfId="0" applyFont="1" applyBorder="1" applyAlignment="1">
      <alignment horizontal="left" vertical="center"/>
    </xf>
    <xf numFmtId="9" fontId="80" fillId="0" borderId="12" xfId="2" applyFont="1" applyFill="1" applyBorder="1" applyAlignment="1">
      <alignment horizontal="center"/>
    </xf>
    <xf numFmtId="3" fontId="80" fillId="0" borderId="12" xfId="2" applyNumberFormat="1" applyFont="1" applyFill="1" applyBorder="1" applyAlignment="1">
      <alignment horizontal="center"/>
    </xf>
    <xf numFmtId="3" fontId="79" fillId="0" borderId="0" xfId="2" applyNumberFormat="1" applyFont="1" applyFill="1" applyAlignment="1">
      <alignment horizontal="center"/>
    </xf>
    <xf numFmtId="167" fontId="79" fillId="0" borderId="0" xfId="2" applyNumberFormat="1" applyFont="1" applyFill="1" applyAlignment="1">
      <alignment horizontal="center"/>
    </xf>
    <xf numFmtId="0" fontId="79" fillId="0" borderId="12" xfId="0" applyFont="1" applyBorder="1" applyAlignment="1">
      <alignment horizontal="left" vertical="center"/>
    </xf>
    <xf numFmtId="167" fontId="79" fillId="0" borderId="12" xfId="2" applyNumberFormat="1" applyFont="1" applyFill="1" applyBorder="1" applyAlignment="1">
      <alignment horizontal="center"/>
    </xf>
    <xf numFmtId="0" fontId="25" fillId="0" borderId="0" xfId="0" applyFont="1"/>
    <xf numFmtId="0" fontId="25" fillId="0" borderId="12" xfId="0" applyFont="1" applyBorder="1"/>
    <xf numFmtId="9" fontId="79" fillId="0" borderId="0" xfId="2" applyFont="1" applyFill="1"/>
    <xf numFmtId="2" fontId="80" fillId="0" borderId="0" xfId="0" applyNumberFormat="1" applyFont="1"/>
    <xf numFmtId="3" fontId="108" fillId="0" borderId="0" xfId="2" applyNumberFormat="1" applyFont="1" applyFill="1" applyAlignment="1">
      <alignment horizontal="center"/>
    </xf>
    <xf numFmtId="3" fontId="108" fillId="0" borderId="12" xfId="2" applyNumberFormat="1" applyFont="1" applyFill="1" applyBorder="1" applyAlignment="1">
      <alignment horizontal="center"/>
    </xf>
    <xf numFmtId="167" fontId="108" fillId="0" borderId="0" xfId="2" applyNumberFormat="1" applyFont="1" applyFill="1" applyAlignment="1">
      <alignment horizontal="center"/>
    </xf>
    <xf numFmtId="167" fontId="108" fillId="0" borderId="12" xfId="2" applyNumberFormat="1" applyFont="1" applyFill="1" applyBorder="1" applyAlignment="1">
      <alignment horizontal="center"/>
    </xf>
    <xf numFmtId="1" fontId="80" fillId="0" borderId="12" xfId="2" applyNumberFormat="1" applyFont="1" applyFill="1" applyBorder="1"/>
    <xf numFmtId="9" fontId="80" fillId="0" borderId="0" xfId="2" applyFont="1" applyFill="1" applyBorder="1" applyAlignment="1">
      <alignment horizontal="center"/>
    </xf>
    <xf numFmtId="167" fontId="80" fillId="0" borderId="0" xfId="2" applyNumberFormat="1" applyFont="1" applyFill="1" applyBorder="1" applyAlignment="1">
      <alignment horizontal="center"/>
    </xf>
    <xf numFmtId="167" fontId="79" fillId="0" borderId="0" xfId="2" applyNumberFormat="1" applyFont="1" applyFill="1" applyBorder="1" applyAlignment="1">
      <alignment horizontal="center" vertical="center"/>
    </xf>
    <xf numFmtId="167" fontId="80" fillId="0" borderId="0" xfId="2" applyNumberFormat="1" applyFont="1" applyFill="1" applyBorder="1" applyAlignment="1">
      <alignment horizontal="center" vertical="center"/>
    </xf>
    <xf numFmtId="0" fontId="80" fillId="0" borderId="12" xfId="0" applyFont="1" applyBorder="1" applyAlignment="1">
      <alignment horizontal="left" vertical="center" indent="1"/>
    </xf>
    <xf numFmtId="167" fontId="80" fillId="0" borderId="12" xfId="2" applyNumberFormat="1" applyFont="1" applyFill="1" applyBorder="1" applyAlignment="1">
      <alignment horizontal="center" vertical="center"/>
    </xf>
    <xf numFmtId="1" fontId="79" fillId="0" borderId="0" xfId="2" applyNumberFormat="1" applyFont="1" applyFill="1" applyBorder="1" applyAlignment="1">
      <alignment horizontal="center" vertical="center"/>
    </xf>
    <xf numFmtId="167" fontId="79" fillId="0" borderId="12" xfId="2" applyNumberFormat="1" applyFont="1" applyFill="1" applyBorder="1" applyAlignment="1">
      <alignment horizontal="center" vertical="center"/>
    </xf>
    <xf numFmtId="16" fontId="107" fillId="0" borderId="25" xfId="0" applyNumberFormat="1" applyFont="1" applyBorder="1" applyAlignment="1">
      <alignment horizontal="center" vertical="center"/>
    </xf>
    <xf numFmtId="0" fontId="80" fillId="0" borderId="0" xfId="0" applyFont="1" applyAlignment="1">
      <alignment horizontal="center" vertical="center"/>
    </xf>
    <xf numFmtId="9" fontId="80" fillId="0" borderId="0" xfId="2" applyFont="1" applyFill="1" applyBorder="1" applyAlignment="1">
      <alignment horizontal="center" vertical="center"/>
    </xf>
    <xf numFmtId="0" fontId="80" fillId="0" borderId="12" xfId="0" applyFont="1" applyBorder="1" applyAlignment="1">
      <alignment horizontal="center" vertical="center"/>
    </xf>
    <xf numFmtId="9" fontId="80" fillId="0" borderId="12" xfId="2" applyFont="1" applyFill="1" applyBorder="1" applyAlignment="1">
      <alignment horizontal="center" vertical="center"/>
    </xf>
    <xf numFmtId="0" fontId="23" fillId="0" borderId="0" xfId="0" applyFont="1" applyAlignment="1">
      <alignment horizontal="right"/>
    </xf>
    <xf numFmtId="167" fontId="53" fillId="0" borderId="3" xfId="2" applyNumberFormat="1" applyFont="1" applyBorder="1"/>
    <xf numFmtId="0" fontId="88" fillId="0" borderId="0" xfId="0" applyFont="1" applyAlignment="1">
      <alignment vertical="center" wrapText="1"/>
    </xf>
    <xf numFmtId="170" fontId="80" fillId="0" borderId="0" xfId="0" applyNumberFormat="1" applyFont="1" applyAlignment="1">
      <alignment wrapText="1"/>
    </xf>
    <xf numFmtId="180" fontId="80" fillId="0" borderId="0" xfId="0" applyNumberFormat="1" applyFont="1" applyAlignment="1">
      <alignment wrapText="1"/>
    </xf>
    <xf numFmtId="0" fontId="34" fillId="0" borderId="12" xfId="0" applyFont="1" applyBorder="1" applyAlignment="1">
      <alignment horizontal="right"/>
    </xf>
    <xf numFmtId="0" fontId="29" fillId="0" borderId="12" xfId="0" applyFont="1" applyBorder="1" applyAlignment="1">
      <alignment horizontal="right"/>
    </xf>
    <xf numFmtId="0" fontId="23" fillId="0" borderId="12" xfId="0" applyFont="1" applyBorder="1" applyAlignment="1">
      <alignment horizontal="right"/>
    </xf>
    <xf numFmtId="168" fontId="111" fillId="3" borderId="0" xfId="0" applyNumberFormat="1" applyFont="1" applyFill="1"/>
    <xf numFmtId="0" fontId="111" fillId="0" borderId="0" xfId="0" quotePrefix="1" applyFont="1"/>
    <xf numFmtId="168" fontId="110" fillId="0" borderId="24" xfId="0" applyNumberFormat="1" applyFont="1" applyBorder="1"/>
    <xf numFmtId="181" fontId="65" fillId="0" borderId="0" xfId="3" applyNumberFormat="1" applyFont="1"/>
    <xf numFmtId="167" fontId="126" fillId="0" borderId="0" xfId="0" applyNumberFormat="1" applyFont="1"/>
    <xf numFmtId="167" fontId="116" fillId="0" borderId="0" xfId="0" applyNumberFormat="1" applyFont="1"/>
    <xf numFmtId="16" fontId="115" fillId="0" borderId="0" xfId="0" applyNumberFormat="1" applyFont="1"/>
    <xf numFmtId="167" fontId="111" fillId="15" borderId="0" xfId="0" applyNumberFormat="1" applyFont="1" applyFill="1"/>
    <xf numFmtId="0" fontId="129" fillId="0" borderId="0" xfId="0" applyFont="1" applyAlignment="1">
      <alignment horizontal="left" vertical="center"/>
    </xf>
    <xf numFmtId="0" fontId="129" fillId="0" borderId="0" xfId="0" applyFont="1" applyAlignment="1">
      <alignment horizontal="right" vertical="center"/>
    </xf>
    <xf numFmtId="9" fontId="129" fillId="0" borderId="0" xfId="0" applyNumberFormat="1" applyFont="1" applyAlignment="1">
      <alignment horizontal="right" vertical="center"/>
    </xf>
    <xf numFmtId="9" fontId="80" fillId="0" borderId="0" xfId="2" applyFont="1" applyAlignment="1">
      <alignment horizontal="right"/>
    </xf>
    <xf numFmtId="0" fontId="80" fillId="0" borderId="12" xfId="0" applyFont="1" applyBorder="1" applyAlignment="1">
      <alignment horizontal="right"/>
    </xf>
    <xf numFmtId="170" fontId="80" fillId="0" borderId="12" xfId="0" applyNumberFormat="1" applyFont="1" applyBorder="1" applyAlignment="1">
      <alignment horizontal="right"/>
    </xf>
    <xf numFmtId="9" fontId="80" fillId="0" borderId="12" xfId="2" applyFont="1" applyBorder="1" applyAlignment="1">
      <alignment horizontal="right"/>
    </xf>
    <xf numFmtId="0" fontId="22" fillId="0" borderId="0" xfId="0" applyFont="1" applyAlignment="1">
      <alignment horizontal="right"/>
    </xf>
    <xf numFmtId="0" fontId="116" fillId="0" borderId="0" xfId="25" applyFont="1"/>
    <xf numFmtId="0" fontId="114" fillId="0" borderId="0" xfId="25" applyFont="1"/>
    <xf numFmtId="0" fontId="116" fillId="0" borderId="0" xfId="25" applyFont="1" applyAlignment="1">
      <alignment horizontal="right"/>
    </xf>
    <xf numFmtId="0" fontId="114" fillId="13" borderId="0" xfId="25" applyFont="1" applyFill="1"/>
    <xf numFmtId="0" fontId="114" fillId="13" borderId="14" xfId="25" applyFont="1" applyFill="1" applyBorder="1"/>
    <xf numFmtId="167" fontId="114" fillId="13" borderId="14" xfId="26" applyNumberFormat="1" applyFont="1" applyFill="1" applyBorder="1"/>
    <xf numFmtId="167" fontId="114" fillId="0" borderId="0" xfId="26" applyNumberFormat="1" applyFont="1"/>
    <xf numFmtId="167" fontId="114" fillId="13" borderId="0" xfId="26" applyNumberFormat="1" applyFont="1" applyFill="1"/>
    <xf numFmtId="167" fontId="114" fillId="0" borderId="0" xfId="26" applyNumberFormat="1" applyFont="1" applyAlignment="1">
      <alignment horizontal="right"/>
    </xf>
    <xf numFmtId="9" fontId="80" fillId="0" borderId="0" xfId="0" applyNumberFormat="1" applyFont="1" applyAlignment="1">
      <alignment wrapText="1"/>
    </xf>
    <xf numFmtId="9" fontId="53" fillId="0" borderId="3" xfId="2" applyFont="1" applyBorder="1"/>
    <xf numFmtId="0" fontId="116" fillId="16" borderId="12" xfId="0" applyFont="1" applyFill="1" applyBorder="1"/>
    <xf numFmtId="0" fontId="114" fillId="16" borderId="0" xfId="0" applyFont="1" applyFill="1" applyAlignment="1">
      <alignment horizontal="left"/>
    </xf>
    <xf numFmtId="3" fontId="114" fillId="16" borderId="0" xfId="0" applyNumberFormat="1" applyFont="1" applyFill="1"/>
    <xf numFmtId="167" fontId="114" fillId="16" borderId="0" xfId="0" applyNumberFormat="1" applyFont="1" applyFill="1"/>
    <xf numFmtId="0" fontId="114" fillId="16" borderId="0" xfId="0" applyFont="1" applyFill="1"/>
    <xf numFmtId="0" fontId="116" fillId="16" borderId="0" xfId="0" applyFont="1" applyFill="1"/>
    <xf numFmtId="3" fontId="116" fillId="16" borderId="0" xfId="0" applyNumberFormat="1" applyFont="1" applyFill="1"/>
    <xf numFmtId="167" fontId="116" fillId="16" borderId="0" xfId="0" applyNumberFormat="1" applyFont="1" applyFill="1"/>
    <xf numFmtId="3" fontId="114" fillId="16" borderId="12" xfId="0" applyNumberFormat="1" applyFont="1" applyFill="1" applyBorder="1"/>
    <xf numFmtId="167" fontId="114" fillId="16" borderId="12" xfId="0" applyNumberFormat="1" applyFont="1" applyFill="1" applyBorder="1"/>
    <xf numFmtId="1" fontId="114" fillId="16" borderId="0" xfId="0" applyNumberFormat="1" applyFont="1" applyFill="1"/>
    <xf numFmtId="0" fontId="114" fillId="16" borderId="0" xfId="0" applyFont="1" applyFill="1" applyAlignment="1">
      <alignment horizontal="left" indent="1"/>
    </xf>
    <xf numFmtId="0" fontId="114" fillId="16" borderId="12" xfId="0" applyFont="1" applyFill="1" applyBorder="1"/>
    <xf numFmtId="1" fontId="114" fillId="16" borderId="12" xfId="0" applyNumberFormat="1" applyFont="1" applyFill="1" applyBorder="1"/>
    <xf numFmtId="4" fontId="116" fillId="16" borderId="12" xfId="0" applyNumberFormat="1" applyFont="1" applyFill="1" applyBorder="1"/>
    <xf numFmtId="170" fontId="116" fillId="16" borderId="12" xfId="0" applyNumberFormat="1" applyFont="1" applyFill="1" applyBorder="1"/>
    <xf numFmtId="0" fontId="116" fillId="0" borderId="0" xfId="0" applyFont="1" applyAlignment="1">
      <alignment horizontal="center"/>
    </xf>
    <xf numFmtId="3" fontId="126" fillId="0" borderId="0" xfId="0" applyNumberFormat="1" applyFont="1"/>
    <xf numFmtId="0" fontId="126" fillId="0" borderId="0" xfId="0" applyFont="1"/>
    <xf numFmtId="180" fontId="130" fillId="0" borderId="0" xfId="0" applyNumberFormat="1" applyFont="1" applyAlignment="1">
      <alignment wrapText="1"/>
    </xf>
    <xf numFmtId="3" fontId="0" fillId="0" borderId="12" xfId="0" applyNumberFormat="1" applyBorder="1"/>
    <xf numFmtId="167" fontId="0" fillId="0" borderId="12" xfId="0" applyNumberFormat="1" applyBorder="1"/>
    <xf numFmtId="3" fontId="92" fillId="0" borderId="0" xfId="0" applyNumberFormat="1" applyFont="1" applyAlignment="1">
      <alignment wrapText="1"/>
    </xf>
    <xf numFmtId="3" fontId="92" fillId="0" borderId="12" xfId="0" applyNumberFormat="1" applyFont="1" applyBorder="1" applyAlignment="1">
      <alignment wrapText="1"/>
    </xf>
    <xf numFmtId="3" fontId="67" fillId="0" borderId="3" xfId="0" applyNumberFormat="1" applyFont="1" applyBorder="1"/>
    <xf numFmtId="0" fontId="67" fillId="0" borderId="3" xfId="0" applyFont="1" applyBorder="1"/>
    <xf numFmtId="167" fontId="67" fillId="0" borderId="4" xfId="0" applyNumberFormat="1" applyFont="1" applyBorder="1"/>
    <xf numFmtId="167" fontId="67" fillId="0" borderId="5" xfId="0" applyNumberFormat="1" applyFont="1" applyBorder="1"/>
    <xf numFmtId="3" fontId="67" fillId="0" borderId="0" xfId="0" applyNumberFormat="1" applyFont="1" applyAlignment="1">
      <alignment horizontal="right"/>
    </xf>
    <xf numFmtId="0" fontId="126" fillId="16" borderId="0" xfId="0" applyFont="1" applyFill="1"/>
    <xf numFmtId="3" fontId="126" fillId="16" borderId="0" xfId="0" applyNumberFormat="1" applyFont="1" applyFill="1"/>
    <xf numFmtId="0" fontId="20" fillId="0" borderId="0" xfId="0" applyFont="1"/>
    <xf numFmtId="0" fontId="114" fillId="16" borderId="7" xfId="0" applyFont="1" applyFill="1" applyBorder="1"/>
    <xf numFmtId="0" fontId="114" fillId="16" borderId="8" xfId="0" applyFont="1" applyFill="1" applyBorder="1"/>
    <xf numFmtId="3" fontId="114" fillId="16" borderId="8" xfId="0" applyNumberFormat="1" applyFont="1" applyFill="1" applyBorder="1"/>
    <xf numFmtId="168" fontId="114" fillId="16" borderId="8" xfId="0" applyNumberFormat="1" applyFont="1" applyFill="1" applyBorder="1"/>
    <xf numFmtId="3" fontId="126" fillId="16" borderId="8" xfId="1" applyNumberFormat="1" applyFont="1" applyFill="1" applyBorder="1"/>
    <xf numFmtId="9" fontId="114" fillId="16" borderId="9" xfId="0" applyNumberFormat="1" applyFont="1" applyFill="1" applyBorder="1"/>
    <xf numFmtId="0" fontId="114" fillId="16" borderId="10" xfId="0" applyFont="1" applyFill="1" applyBorder="1"/>
    <xf numFmtId="0" fontId="114" fillId="16" borderId="6" xfId="0" applyFont="1" applyFill="1" applyBorder="1"/>
    <xf numFmtId="0" fontId="116" fillId="16" borderId="10" xfId="0" applyFont="1" applyFill="1" applyBorder="1"/>
    <xf numFmtId="170" fontId="127" fillId="16" borderId="0" xfId="1" applyNumberFormat="1" applyFont="1" applyFill="1" applyBorder="1"/>
    <xf numFmtId="0" fontId="116" fillId="16" borderId="11" xfId="0" applyFont="1" applyFill="1" applyBorder="1"/>
    <xf numFmtId="9" fontId="127" fillId="16" borderId="12" xfId="1" applyNumberFormat="1" applyFont="1" applyFill="1" applyBorder="1"/>
    <xf numFmtId="0" fontId="114" fillId="16" borderId="13" xfId="0" applyFont="1" applyFill="1" applyBorder="1"/>
    <xf numFmtId="0" fontId="19" fillId="0" borderId="0" xfId="0" quotePrefix="1" applyFont="1" applyAlignment="1">
      <alignment horizontal="left" indent="1"/>
    </xf>
    <xf numFmtId="9" fontId="72" fillId="0" borderId="0" xfId="0" applyNumberFormat="1" applyFont="1"/>
    <xf numFmtId="0" fontId="18" fillId="0" borderId="0" xfId="0" applyFont="1" applyAlignment="1">
      <alignment horizontal="right"/>
    </xf>
    <xf numFmtId="0" fontId="18" fillId="0" borderId="0" xfId="0" applyFont="1"/>
    <xf numFmtId="0" fontId="18" fillId="0" borderId="0" xfId="0" quotePrefix="1" applyFont="1" applyAlignment="1">
      <alignment horizontal="left" indent="1"/>
    </xf>
    <xf numFmtId="0" fontId="131" fillId="0" borderId="0" xfId="0" quotePrefix="1" applyFont="1" applyAlignment="1">
      <alignment horizontal="left" indent="1"/>
    </xf>
    <xf numFmtId="0" fontId="18" fillId="0" borderId="0" xfId="0" applyFont="1" applyAlignment="1">
      <alignment horizontal="left" indent="1"/>
    </xf>
    <xf numFmtId="4" fontId="80" fillId="0" borderId="0" xfId="0" applyNumberFormat="1" applyFont="1" applyAlignment="1">
      <alignment wrapText="1"/>
    </xf>
    <xf numFmtId="0" fontId="132" fillId="0" borderId="0" xfId="0" applyFont="1" applyAlignment="1">
      <alignment horizontal="right"/>
    </xf>
    <xf numFmtId="0" fontId="132" fillId="0" borderId="0" xfId="6" applyFont="1"/>
    <xf numFmtId="0" fontId="132" fillId="0" borderId="0" xfId="6" applyFont="1" applyAlignment="1">
      <alignment horizontal="right"/>
    </xf>
    <xf numFmtId="178" fontId="133" fillId="13" borderId="26" xfId="6" applyNumberFormat="1" applyFont="1" applyFill="1" applyBorder="1"/>
    <xf numFmtId="179" fontId="133" fillId="13" borderId="26" xfId="0" applyNumberFormat="1" applyFont="1" applyFill="1" applyBorder="1"/>
    <xf numFmtId="178" fontId="134" fillId="0" borderId="0" xfId="6" applyNumberFormat="1" applyFont="1"/>
    <xf numFmtId="179" fontId="133" fillId="0" borderId="0" xfId="0" applyNumberFormat="1" applyFont="1"/>
    <xf numFmtId="0" fontId="133" fillId="13" borderId="0" xfId="6" applyFont="1" applyFill="1"/>
    <xf numFmtId="179" fontId="133" fillId="13" borderId="0" xfId="0" applyNumberFormat="1" applyFont="1" applyFill="1"/>
    <xf numFmtId="0" fontId="133" fillId="0" borderId="0" xfId="6" applyFont="1"/>
    <xf numFmtId="179" fontId="133" fillId="0" borderId="0" xfId="6" applyNumberFormat="1" applyFont="1"/>
    <xf numFmtId="179" fontId="133" fillId="13" borderId="0" xfId="6" applyNumberFormat="1" applyFont="1" applyFill="1"/>
    <xf numFmtId="0" fontId="133" fillId="0" borderId="12" xfId="6" applyFont="1" applyBorder="1"/>
    <xf numFmtId="179" fontId="133" fillId="0" borderId="12" xfId="6" applyNumberFormat="1" applyFont="1" applyBorder="1"/>
    <xf numFmtId="0" fontId="132" fillId="16" borderId="0" xfId="6" applyFont="1" applyFill="1"/>
    <xf numFmtId="179" fontId="132" fillId="16" borderId="0" xfId="6" applyNumberFormat="1" applyFont="1" applyFill="1"/>
    <xf numFmtId="179" fontId="132" fillId="0" borderId="0" xfId="6" applyNumberFormat="1" applyFont="1"/>
    <xf numFmtId="179" fontId="132" fillId="16" borderId="0" xfId="0" applyNumberFormat="1" applyFont="1" applyFill="1"/>
    <xf numFmtId="9" fontId="133" fillId="0" borderId="0" xfId="2" applyFont="1" applyFill="1"/>
    <xf numFmtId="0" fontId="133" fillId="16" borderId="0" xfId="6" applyFont="1" applyFill="1"/>
    <xf numFmtId="179" fontId="133" fillId="16" borderId="0" xfId="6" applyNumberFormat="1" applyFont="1" applyFill="1"/>
    <xf numFmtId="9" fontId="133" fillId="16" borderId="0" xfId="2" applyFont="1" applyFill="1"/>
    <xf numFmtId="0" fontId="115" fillId="0" borderId="26" xfId="0" applyFont="1" applyBorder="1"/>
    <xf numFmtId="0" fontId="115" fillId="0" borderId="26" xfId="0" applyFont="1" applyBorder="1" applyAlignment="1">
      <alignment horizontal="right"/>
    </xf>
    <xf numFmtId="0" fontId="111" fillId="13" borderId="14" xfId="0" applyFont="1" applyFill="1" applyBorder="1"/>
    <xf numFmtId="168" fontId="111" fillId="13" borderId="14" xfId="0" applyNumberFormat="1" applyFont="1" applyFill="1" applyBorder="1" applyAlignment="1">
      <alignment horizontal="right"/>
    </xf>
    <xf numFmtId="168" fontId="111" fillId="0" borderId="0" xfId="0" applyNumberFormat="1" applyFont="1" applyAlignment="1">
      <alignment horizontal="right"/>
    </xf>
    <xf numFmtId="0" fontId="111" fillId="13" borderId="0" xfId="0" applyFont="1" applyFill="1"/>
    <xf numFmtId="168" fontId="111" fillId="13" borderId="0" xfId="0" applyNumberFormat="1" applyFont="1" applyFill="1" applyAlignment="1">
      <alignment horizontal="right"/>
    </xf>
    <xf numFmtId="0" fontId="125" fillId="13" borderId="0" xfId="0" applyFont="1" applyFill="1"/>
    <xf numFmtId="0" fontId="111" fillId="13" borderId="0" xfId="0" applyFont="1" applyFill="1" applyAlignment="1">
      <alignment horizontal="left" indent="1"/>
    </xf>
    <xf numFmtId="168" fontId="125" fillId="0" borderId="0" xfId="0" applyNumberFormat="1" applyFont="1" applyAlignment="1">
      <alignment horizontal="right"/>
    </xf>
    <xf numFmtId="3" fontId="111" fillId="13" borderId="0" xfId="0" applyNumberFormat="1" applyFont="1" applyFill="1"/>
    <xf numFmtId="3" fontId="111" fillId="13" borderId="0" xfId="0" applyNumberFormat="1" applyFont="1" applyFill="1" applyAlignment="1">
      <alignment horizontal="right"/>
    </xf>
    <xf numFmtId="3" fontId="111" fillId="0" borderId="0" xfId="0" applyNumberFormat="1" applyFont="1" applyAlignment="1">
      <alignment horizontal="right"/>
    </xf>
    <xf numFmtId="3" fontId="115" fillId="13" borderId="0" xfId="0" applyNumberFormat="1" applyFont="1" applyFill="1"/>
    <xf numFmtId="3" fontId="115" fillId="13" borderId="0" xfId="0" applyNumberFormat="1" applyFont="1" applyFill="1" applyAlignment="1">
      <alignment horizontal="right"/>
    </xf>
    <xf numFmtId="3" fontId="115" fillId="0" borderId="0" xfId="0" applyNumberFormat="1" applyFont="1"/>
    <xf numFmtId="3" fontId="115" fillId="0" borderId="0" xfId="0" applyNumberFormat="1" applyFont="1" applyAlignment="1">
      <alignment horizontal="right"/>
    </xf>
    <xf numFmtId="168" fontId="125" fillId="13" borderId="0" xfId="0" applyNumberFormat="1" applyFont="1" applyFill="1" applyAlignment="1">
      <alignment horizontal="right"/>
    </xf>
    <xf numFmtId="167" fontId="111" fillId="0" borderId="0" xfId="2" applyNumberFormat="1" applyFont="1" applyAlignment="1">
      <alignment horizontal="right"/>
    </xf>
    <xf numFmtId="167" fontId="111" fillId="13" borderId="0" xfId="2" applyNumberFormat="1" applyFont="1" applyFill="1" applyAlignment="1">
      <alignment horizontal="right"/>
    </xf>
    <xf numFmtId="0" fontId="125" fillId="0" borderId="0" xfId="17" applyFont="1"/>
    <xf numFmtId="168" fontId="125" fillId="0" borderId="0" xfId="17" applyNumberFormat="1" applyFont="1" applyAlignment="1">
      <alignment horizontal="right"/>
    </xf>
    <xf numFmtId="3" fontId="67" fillId="0" borderId="12" xfId="0" applyNumberFormat="1" applyFont="1" applyBorder="1" applyAlignment="1">
      <alignment horizontal="right"/>
    </xf>
    <xf numFmtId="1" fontId="67" fillId="0" borderId="12" xfId="0" applyNumberFormat="1" applyFont="1" applyBorder="1" applyAlignment="1">
      <alignment horizontal="right"/>
    </xf>
    <xf numFmtId="167" fontId="67" fillId="0" borderId="12" xfId="0" applyNumberFormat="1" applyFont="1" applyBorder="1" applyAlignment="1">
      <alignment horizontal="right"/>
    </xf>
    <xf numFmtId="0" fontId="67" fillId="0" borderId="19" xfId="0" applyFont="1" applyBorder="1"/>
    <xf numFmtId="0" fontId="67" fillId="0" borderId="3" xfId="0" applyFont="1" applyBorder="1" applyAlignment="1">
      <alignment horizontal="right"/>
    </xf>
    <xf numFmtId="0" fontId="67" fillId="0" borderId="4" xfId="0" applyFont="1" applyBorder="1" applyAlignment="1">
      <alignment horizontal="right"/>
    </xf>
    <xf numFmtId="0" fontId="0" fillId="0" borderId="20" xfId="0" applyBorder="1"/>
    <xf numFmtId="3" fontId="0" fillId="0" borderId="2" xfId="0" applyNumberFormat="1" applyBorder="1"/>
    <xf numFmtId="0" fontId="0" fillId="0" borderId="27" xfId="0" applyBorder="1"/>
    <xf numFmtId="3" fontId="0" fillId="0" borderId="28" xfId="0" applyNumberFormat="1" applyBorder="1"/>
    <xf numFmtId="0" fontId="0" fillId="0" borderId="21" xfId="0" applyBorder="1"/>
    <xf numFmtId="3" fontId="0" fillId="0" borderId="1" xfId="0" applyNumberFormat="1" applyBorder="1"/>
    <xf numFmtId="1" fontId="0" fillId="0" borderId="1" xfId="0" applyNumberFormat="1" applyBorder="1"/>
    <xf numFmtId="167" fontId="0" fillId="0" borderId="1" xfId="0" applyNumberFormat="1" applyBorder="1"/>
    <xf numFmtId="3" fontId="0" fillId="0" borderId="5" xfId="0" applyNumberFormat="1" applyBorder="1"/>
    <xf numFmtId="167" fontId="133" fillId="0" borderId="0" xfId="6" applyNumberFormat="1" applyFont="1"/>
    <xf numFmtId="167" fontId="133" fillId="16" borderId="0" xfId="6" applyNumberFormat="1" applyFont="1" applyFill="1"/>
    <xf numFmtId="0" fontId="133" fillId="16" borderId="12" xfId="6" applyFont="1" applyFill="1" applyBorder="1"/>
    <xf numFmtId="179" fontId="133" fillId="16" borderId="12" xfId="6" applyNumberFormat="1" applyFont="1" applyFill="1" applyBorder="1"/>
    <xf numFmtId="0" fontId="111" fillId="0" borderId="0" xfId="0" applyFont="1" applyAlignment="1">
      <alignment horizontal="right"/>
    </xf>
    <xf numFmtId="3" fontId="111" fillId="0" borderId="12" xfId="0" applyNumberFormat="1" applyFont="1" applyBorder="1"/>
    <xf numFmtId="0" fontId="115" fillId="0" borderId="19" xfId="0" applyFont="1" applyBorder="1"/>
    <xf numFmtId="3" fontId="115" fillId="0" borderId="3" xfId="0" applyNumberFormat="1" applyFont="1" applyBorder="1"/>
    <xf numFmtId="167" fontId="115" fillId="0" borderId="3" xfId="0" applyNumberFormat="1" applyFont="1" applyBorder="1"/>
    <xf numFmtId="0" fontId="115" fillId="0" borderId="3" xfId="0" applyFont="1" applyBorder="1"/>
    <xf numFmtId="0" fontId="115" fillId="0" borderId="21" xfId="0" applyFont="1" applyBorder="1"/>
    <xf numFmtId="0" fontId="115" fillId="0" borderId="1" xfId="0" applyFont="1" applyBorder="1"/>
    <xf numFmtId="167" fontId="115" fillId="0" borderId="1" xfId="0" applyNumberFormat="1" applyFont="1" applyBorder="1"/>
    <xf numFmtId="1" fontId="17" fillId="0" borderId="0" xfId="0" applyNumberFormat="1" applyFont="1"/>
    <xf numFmtId="0" fontId="68" fillId="0" borderId="0" xfId="0" quotePrefix="1" applyFont="1" applyAlignment="1">
      <alignment horizontal="left" indent="2"/>
    </xf>
    <xf numFmtId="0" fontId="16" fillId="0" borderId="0" xfId="0" quotePrefix="1" applyFont="1" applyAlignment="1">
      <alignment horizontal="left" indent="1"/>
    </xf>
    <xf numFmtId="167" fontId="135" fillId="0" borderId="0" xfId="2" applyNumberFormat="1" applyFont="1" applyBorder="1"/>
    <xf numFmtId="9" fontId="137" fillId="0" borderId="0" xfId="0" applyNumberFormat="1" applyFont="1"/>
    <xf numFmtId="167" fontId="137" fillId="0" borderId="0" xfId="2" applyNumberFormat="1" applyFont="1" applyBorder="1"/>
    <xf numFmtId="167" fontId="138" fillId="0" borderId="0" xfId="2" applyNumberFormat="1" applyFont="1" applyBorder="1"/>
    <xf numFmtId="0" fontId="131" fillId="0" borderId="0" xfId="0" applyFont="1"/>
    <xf numFmtId="167" fontId="72" fillId="0" borderId="0" xfId="0" applyNumberFormat="1" applyFont="1"/>
    <xf numFmtId="0" fontId="16" fillId="0" borderId="0" xfId="0" applyFont="1"/>
    <xf numFmtId="1" fontId="16" fillId="0" borderId="0" xfId="0" applyNumberFormat="1" applyFont="1"/>
    <xf numFmtId="0" fontId="16" fillId="0" borderId="0" xfId="0" applyFont="1" applyAlignment="1">
      <alignment horizontal="left" indent="2"/>
    </xf>
    <xf numFmtId="0" fontId="16" fillId="0" borderId="0" xfId="0" applyFont="1" applyAlignment="1">
      <alignment horizontal="left" indent="1"/>
    </xf>
    <xf numFmtId="170" fontId="139" fillId="0" borderId="0" xfId="0" applyNumberFormat="1" applyFont="1"/>
    <xf numFmtId="170" fontId="16" fillId="0" borderId="0" xfId="0" applyNumberFormat="1" applyFont="1"/>
    <xf numFmtId="0" fontId="16" fillId="0" borderId="0" xfId="0" applyFont="1" applyAlignment="1">
      <alignment horizontal="left"/>
    </xf>
    <xf numFmtId="0" fontId="16" fillId="0" borderId="0" xfId="0" applyFont="1" applyAlignment="1">
      <alignment horizontal="left" indent="3"/>
    </xf>
    <xf numFmtId="9" fontId="16" fillId="0" borderId="0" xfId="2" applyFont="1" applyFill="1"/>
    <xf numFmtId="9" fontId="16" fillId="0" borderId="0" xfId="2" applyFont="1" applyFill="1" applyBorder="1"/>
    <xf numFmtId="168" fontId="54" fillId="3" borderId="0" xfId="0" applyNumberFormat="1" applyFont="1" applyFill="1"/>
    <xf numFmtId="168" fontId="72" fillId="7" borderId="0" xfId="0" applyNumberFormat="1" applyFont="1" applyFill="1"/>
    <xf numFmtId="9" fontId="54" fillId="3" borderId="0" xfId="2" applyFont="1" applyFill="1"/>
    <xf numFmtId="9" fontId="54" fillId="3" borderId="0" xfId="2" applyFont="1" applyFill="1" applyBorder="1"/>
    <xf numFmtId="9" fontId="16" fillId="0" borderId="0" xfId="2" applyFont="1"/>
    <xf numFmtId="9" fontId="16" fillId="0" borderId="0" xfId="2" applyFont="1" applyBorder="1"/>
    <xf numFmtId="9" fontId="54" fillId="0" borderId="0" xfId="2" applyFont="1"/>
    <xf numFmtId="167" fontId="16" fillId="0" borderId="0" xfId="2" applyNumberFormat="1" applyFont="1"/>
    <xf numFmtId="9" fontId="139" fillId="0" borderId="0" xfId="0" applyNumberFormat="1" applyFont="1"/>
    <xf numFmtId="167" fontId="16" fillId="0" borderId="0" xfId="2" applyNumberFormat="1" applyFont="1" applyBorder="1"/>
    <xf numFmtId="3" fontId="16" fillId="0" borderId="0" xfId="0" applyNumberFormat="1" applyFont="1"/>
    <xf numFmtId="9" fontId="16" fillId="0" borderId="0" xfId="0" applyNumberFormat="1" applyFont="1"/>
    <xf numFmtId="167" fontId="16" fillId="0" borderId="0" xfId="2" applyNumberFormat="1" applyFont="1" applyFill="1"/>
    <xf numFmtId="2" fontId="16" fillId="0" borderId="0" xfId="0" applyNumberFormat="1" applyFont="1" applyAlignment="1">
      <alignment horizontal="center"/>
    </xf>
    <xf numFmtId="0" fontId="16" fillId="0" borderId="0" xfId="0" applyFont="1" applyAlignment="1">
      <alignment horizontal="center"/>
    </xf>
    <xf numFmtId="167" fontId="54" fillId="3" borderId="0" xfId="2" applyNumberFormat="1" applyFont="1" applyFill="1" applyAlignment="1"/>
    <xf numFmtId="167" fontId="72" fillId="0" borderId="0" xfId="2" applyNumberFormat="1" applyFont="1" applyFill="1" applyAlignment="1"/>
    <xf numFmtId="167" fontId="72" fillId="0" borderId="0" xfId="2" applyNumberFormat="1" applyFont="1" applyFill="1" applyBorder="1" applyAlignment="1"/>
    <xf numFmtId="167" fontId="54" fillId="0" borderId="0" xfId="2" applyNumberFormat="1" applyFont="1" applyFill="1" applyAlignment="1"/>
    <xf numFmtId="4" fontId="16" fillId="0" borderId="0" xfId="0" applyNumberFormat="1" applyFont="1"/>
    <xf numFmtId="9" fontId="54" fillId="0" borderId="0" xfId="2" applyFont="1" applyFill="1" applyBorder="1" applyAlignment="1"/>
    <xf numFmtId="9" fontId="16" fillId="0" borderId="0" xfId="0" applyNumberFormat="1" applyFont="1" applyAlignment="1">
      <alignment horizontal="right"/>
    </xf>
    <xf numFmtId="9" fontId="72" fillId="0" borderId="0" xfId="2" applyFont="1" applyFill="1" applyBorder="1" applyAlignment="1"/>
    <xf numFmtId="2" fontId="72" fillId="0" borderId="0" xfId="0" applyNumberFormat="1" applyFont="1"/>
    <xf numFmtId="9" fontId="54" fillId="0" borderId="0" xfId="2" applyFont="1" applyFill="1"/>
    <xf numFmtId="167" fontId="54" fillId="0" borderId="0" xfId="2" applyNumberFormat="1" applyFont="1" applyFill="1" applyBorder="1" applyAlignment="1"/>
    <xf numFmtId="167" fontId="16" fillId="0" borderId="0" xfId="0" applyNumberFormat="1" applyFont="1" applyAlignment="1">
      <alignment horizontal="right"/>
    </xf>
    <xf numFmtId="9" fontId="72" fillId="0" borderId="0" xfId="2" applyFont="1" applyFill="1" applyAlignment="1"/>
    <xf numFmtId="9" fontId="54" fillId="0" borderId="0" xfId="2" applyFont="1" applyFill="1" applyAlignment="1"/>
    <xf numFmtId="167" fontId="54" fillId="0" borderId="0" xfId="2" applyNumberFormat="1" applyFont="1" applyFill="1" applyBorder="1" applyAlignment="1">
      <alignment horizontal="right"/>
    </xf>
    <xf numFmtId="10" fontId="16" fillId="0" borderId="0" xfId="0" applyNumberFormat="1" applyFont="1" applyAlignment="1">
      <alignment horizontal="center"/>
    </xf>
    <xf numFmtId="167" fontId="16" fillId="0" borderId="0" xfId="2" applyNumberFormat="1" applyFont="1" applyFill="1" applyBorder="1"/>
    <xf numFmtId="10" fontId="16" fillId="0" borderId="0" xfId="2" applyNumberFormat="1" applyFont="1" applyFill="1"/>
    <xf numFmtId="10" fontId="54" fillId="0" borderId="0" xfId="2" applyNumberFormat="1" applyFont="1" applyFill="1" applyBorder="1"/>
    <xf numFmtId="167" fontId="72" fillId="7" borderId="0" xfId="2" applyNumberFormat="1" applyFont="1" applyFill="1" applyAlignment="1"/>
    <xf numFmtId="167" fontId="72" fillId="7" borderId="0" xfId="2" applyNumberFormat="1" applyFont="1" applyFill="1" applyBorder="1" applyAlignment="1"/>
    <xf numFmtId="9" fontId="54" fillId="7" borderId="0" xfId="2" applyFont="1" applyFill="1" applyBorder="1" applyAlignment="1"/>
    <xf numFmtId="9" fontId="72" fillId="7" borderId="0" xfId="2" applyFont="1" applyFill="1" applyBorder="1" applyAlignment="1"/>
    <xf numFmtId="167" fontId="73" fillId="0" borderId="0" xfId="2" applyNumberFormat="1" applyFont="1" applyFill="1" applyAlignment="1"/>
    <xf numFmtId="167" fontId="73" fillId="0" borderId="0" xfId="2" applyNumberFormat="1" applyFont="1" applyFill="1" applyBorder="1" applyAlignment="1"/>
    <xf numFmtId="170" fontId="55" fillId="0" borderId="0" xfId="0" applyNumberFormat="1" applyFont="1"/>
    <xf numFmtId="167" fontId="73" fillId="7" borderId="0" xfId="2" applyNumberFormat="1" applyFont="1" applyFill="1" applyBorder="1" applyAlignment="1"/>
    <xf numFmtId="1" fontId="16" fillId="0" borderId="0" xfId="2" applyNumberFormat="1" applyFont="1" applyFill="1"/>
    <xf numFmtId="1" fontId="16" fillId="0" borderId="0" xfId="2" applyNumberFormat="1" applyFont="1" applyFill="1" applyBorder="1"/>
    <xf numFmtId="10" fontId="16" fillId="0" borderId="0" xfId="2" applyNumberFormat="1" applyFont="1" applyFill="1" applyBorder="1"/>
    <xf numFmtId="167" fontId="54" fillId="0" borderId="0" xfId="2" applyNumberFormat="1" applyFont="1" applyFill="1" applyBorder="1"/>
    <xf numFmtId="9" fontId="54" fillId="0" borderId="0" xfId="2" applyFont="1" applyFill="1" applyBorder="1"/>
    <xf numFmtId="9" fontId="54" fillId="0" borderId="0" xfId="2" applyFont="1" applyBorder="1"/>
    <xf numFmtId="4" fontId="16" fillId="0" borderId="0" xfId="2" applyNumberFormat="1" applyFont="1" applyFill="1"/>
    <xf numFmtId="10" fontId="16" fillId="0" borderId="0" xfId="2" applyNumberFormat="1" applyFont="1" applyBorder="1"/>
    <xf numFmtId="169" fontId="16" fillId="0" borderId="0" xfId="2" applyNumberFormat="1" applyFont="1" applyBorder="1"/>
    <xf numFmtId="9" fontId="54" fillId="0" borderId="0" xfId="6" applyNumberFormat="1" applyFont="1"/>
    <xf numFmtId="9" fontId="72" fillId="0" borderId="0" xfId="2" applyFont="1" applyFill="1" applyBorder="1"/>
    <xf numFmtId="9" fontId="72" fillId="0" borderId="0" xfId="2" applyFont="1" applyFill="1"/>
    <xf numFmtId="168" fontId="72" fillId="0" borderId="0" xfId="2" applyNumberFormat="1" applyFont="1" applyFill="1" applyBorder="1"/>
    <xf numFmtId="167" fontId="73" fillId="0" borderId="0" xfId="2" applyNumberFormat="1" applyFont="1" applyFill="1"/>
    <xf numFmtId="167" fontId="73" fillId="0" borderId="0" xfId="2" applyNumberFormat="1" applyFont="1" applyFill="1" applyBorder="1"/>
    <xf numFmtId="167" fontId="136" fillId="0" borderId="0" xfId="2" applyNumberFormat="1" applyFont="1" applyFill="1" applyBorder="1"/>
    <xf numFmtId="167" fontId="136" fillId="0" borderId="0" xfId="2" applyNumberFormat="1" applyFont="1" applyFill="1"/>
    <xf numFmtId="10" fontId="73" fillId="0" borderId="0" xfId="2" applyNumberFormat="1" applyFont="1" applyFill="1"/>
    <xf numFmtId="10" fontId="73" fillId="0" borderId="0" xfId="2" applyNumberFormat="1" applyFont="1" applyFill="1" applyBorder="1"/>
    <xf numFmtId="10" fontId="72" fillId="0" borderId="0" xfId="2" applyNumberFormat="1" applyFont="1" applyFill="1" applyBorder="1"/>
    <xf numFmtId="10" fontId="54" fillId="0" borderId="0" xfId="2" applyNumberFormat="1" applyFont="1" applyFill="1"/>
    <xf numFmtId="0" fontId="54" fillId="3" borderId="0" xfId="2" applyNumberFormat="1" applyFont="1" applyFill="1" applyBorder="1"/>
    <xf numFmtId="1" fontId="54" fillId="3" borderId="0" xfId="2" applyNumberFormat="1" applyFont="1" applyFill="1" applyBorder="1"/>
    <xf numFmtId="10" fontId="72" fillId="0" borderId="0" xfId="2" applyNumberFormat="1" applyFont="1" applyBorder="1"/>
    <xf numFmtId="10" fontId="72" fillId="0" borderId="0" xfId="2" applyNumberFormat="1" applyFont="1"/>
    <xf numFmtId="1" fontId="72" fillId="0" borderId="12" xfId="0" applyNumberFormat="1" applyFont="1" applyBorder="1"/>
    <xf numFmtId="1" fontId="16" fillId="0" borderId="12" xfId="0" applyNumberFormat="1" applyFont="1" applyBorder="1"/>
    <xf numFmtId="0" fontId="16" fillId="0" borderId="12" xfId="0" applyFont="1" applyBorder="1" applyAlignment="1">
      <alignment horizontal="left" indent="1"/>
    </xf>
    <xf numFmtId="0" fontId="16" fillId="0" borderId="12" xfId="0" applyFont="1" applyBorder="1" applyAlignment="1">
      <alignment horizontal="left" indent="3"/>
    </xf>
    <xf numFmtId="2" fontId="16" fillId="0" borderId="0" xfId="0" applyNumberFormat="1" applyFont="1" applyAlignment="1">
      <alignment horizontal="right"/>
    </xf>
    <xf numFmtId="2" fontId="140" fillId="0" borderId="0" xfId="0" applyNumberFormat="1" applyFont="1"/>
    <xf numFmtId="0" fontId="15" fillId="0" borderId="0" xfId="0" quotePrefix="1" applyFont="1" applyAlignment="1">
      <alignment horizontal="left" indent="1"/>
    </xf>
    <xf numFmtId="168" fontId="139" fillId="0" borderId="0" xfId="0" applyNumberFormat="1" applyFont="1"/>
    <xf numFmtId="0" fontId="14" fillId="0" borderId="0" xfId="0" applyFont="1" applyAlignment="1">
      <alignment horizontal="left" indent="2"/>
    </xf>
    <xf numFmtId="0" fontId="14" fillId="0" borderId="0" xfId="0" applyFont="1"/>
    <xf numFmtId="0" fontId="14" fillId="0" borderId="0" xfId="0" applyFont="1" applyAlignment="1">
      <alignment horizontal="left" indent="1"/>
    </xf>
    <xf numFmtId="0" fontId="13" fillId="0" borderId="0" xfId="0" applyFont="1" applyAlignment="1">
      <alignment horizontal="left" indent="2"/>
    </xf>
    <xf numFmtId="0" fontId="13" fillId="0" borderId="0" xfId="0" quotePrefix="1" applyFont="1" applyAlignment="1">
      <alignment horizontal="left" indent="1"/>
    </xf>
    <xf numFmtId="1" fontId="101" fillId="3" borderId="0" xfId="0" applyNumberFormat="1" applyFont="1" applyFill="1"/>
    <xf numFmtId="0" fontId="12" fillId="0" borderId="1" xfId="0" applyFont="1" applyBorder="1" applyAlignment="1">
      <alignment horizontal="left" indent="1"/>
    </xf>
    <xf numFmtId="1" fontId="12" fillId="0" borderId="1" xfId="0" applyNumberFormat="1" applyFont="1" applyBorder="1"/>
    <xf numFmtId="170" fontId="101" fillId="0" borderId="0" xfId="0" applyNumberFormat="1" applyFont="1"/>
    <xf numFmtId="9" fontId="101" fillId="0" borderId="0" xfId="0" applyNumberFormat="1" applyFont="1"/>
    <xf numFmtId="17" fontId="102" fillId="0" borderId="0" xfId="0" applyNumberFormat="1" applyFont="1" applyAlignment="1">
      <alignment horizontal="left"/>
    </xf>
    <xf numFmtId="0" fontId="83" fillId="0" borderId="0" xfId="0" applyFont="1" applyAlignment="1">
      <alignment horizontal="right"/>
    </xf>
    <xf numFmtId="15" fontId="0" fillId="0" borderId="0" xfId="0" applyNumberFormat="1" applyAlignment="1">
      <alignment horizontal="left"/>
    </xf>
    <xf numFmtId="167" fontId="80" fillId="0" borderId="0" xfId="0" applyNumberFormat="1" applyFont="1" applyAlignment="1">
      <alignment wrapText="1"/>
    </xf>
    <xf numFmtId="9" fontId="130" fillId="0" borderId="0" xfId="0" applyNumberFormat="1" applyFont="1" applyAlignment="1">
      <alignment wrapText="1"/>
    </xf>
    <xf numFmtId="0" fontId="11" fillId="0" borderId="0" xfId="0" applyFont="1"/>
    <xf numFmtId="9" fontId="133" fillId="13" borderId="26" xfId="0" applyNumberFormat="1" applyFont="1" applyFill="1" applyBorder="1"/>
    <xf numFmtId="9" fontId="133" fillId="0" borderId="0" xfId="0" applyNumberFormat="1" applyFont="1"/>
    <xf numFmtId="9" fontId="133" fillId="13" borderId="0" xfId="0" applyNumberFormat="1" applyFont="1" applyFill="1"/>
    <xf numFmtId="9" fontId="133" fillId="0" borderId="0" xfId="6" applyNumberFormat="1" applyFont="1"/>
    <xf numFmtId="9" fontId="133" fillId="13" borderId="0" xfId="6" applyNumberFormat="1" applyFont="1" applyFill="1"/>
    <xf numFmtId="9" fontId="133" fillId="0" borderId="12" xfId="6" applyNumberFormat="1" applyFont="1" applyBorder="1"/>
    <xf numFmtId="9" fontId="132" fillId="16" borderId="0" xfId="6" applyNumberFormat="1" applyFont="1" applyFill="1"/>
    <xf numFmtId="9" fontId="132" fillId="0" borderId="0" xfId="6" applyNumberFormat="1" applyFont="1"/>
    <xf numFmtId="9" fontId="132" fillId="16" borderId="0" xfId="0" applyNumberFormat="1" applyFont="1" applyFill="1"/>
    <xf numFmtId="9" fontId="133" fillId="16" borderId="0" xfId="6" applyNumberFormat="1" applyFont="1" applyFill="1"/>
    <xf numFmtId="9" fontId="133" fillId="16" borderId="12" xfId="6" applyNumberFormat="1" applyFont="1" applyFill="1" applyBorder="1"/>
    <xf numFmtId="0" fontId="132" fillId="0" borderId="29" xfId="0" applyFont="1" applyBorder="1" applyAlignment="1">
      <alignment horizontal="right"/>
    </xf>
    <xf numFmtId="0" fontId="132" fillId="0" borderId="30" xfId="6" applyFont="1" applyBorder="1" applyAlignment="1">
      <alignment horizontal="right"/>
    </xf>
    <xf numFmtId="179" fontId="133" fillId="13" borderId="31" xfId="0" applyNumberFormat="1" applyFont="1" applyFill="1" applyBorder="1"/>
    <xf numFmtId="179" fontId="133" fillId="0" borderId="30" xfId="0" applyNumberFormat="1" applyFont="1" applyBorder="1"/>
    <xf numFmtId="179" fontId="133" fillId="13" borderId="30" xfId="0" applyNumberFormat="1" applyFont="1" applyFill="1" applyBorder="1"/>
    <xf numFmtId="179" fontId="133" fillId="0" borderId="30" xfId="6" applyNumberFormat="1" applyFont="1" applyBorder="1"/>
    <xf numFmtId="179" fontId="133" fillId="13" borderId="30" xfId="6" applyNumberFormat="1" applyFont="1" applyFill="1" applyBorder="1"/>
    <xf numFmtId="179" fontId="133" fillId="0" borderId="32" xfId="6" applyNumberFormat="1" applyFont="1" applyBorder="1"/>
    <xf numFmtId="179" fontId="132" fillId="16" borderId="30" xfId="6" applyNumberFormat="1" applyFont="1" applyFill="1" applyBorder="1"/>
    <xf numFmtId="179" fontId="132" fillId="0" borderId="30" xfId="6" applyNumberFormat="1" applyFont="1" applyBorder="1"/>
    <xf numFmtId="179" fontId="132" fillId="16" borderId="30" xfId="0" applyNumberFormat="1" applyFont="1" applyFill="1" applyBorder="1"/>
    <xf numFmtId="9" fontId="133" fillId="0" borderId="30" xfId="2" applyFont="1" applyFill="1" applyBorder="1"/>
    <xf numFmtId="179" fontId="111" fillId="16" borderId="30" xfId="0" applyNumberFormat="1" applyFont="1" applyFill="1" applyBorder="1"/>
    <xf numFmtId="167" fontId="133" fillId="0" borderId="30" xfId="6" applyNumberFormat="1" applyFont="1" applyBorder="1"/>
    <xf numFmtId="167" fontId="133" fillId="16" borderId="30" xfId="6" applyNumberFormat="1" applyFont="1" applyFill="1" applyBorder="1"/>
    <xf numFmtId="179" fontId="133" fillId="16" borderId="30" xfId="6" applyNumberFormat="1" applyFont="1" applyFill="1" applyBorder="1"/>
    <xf numFmtId="179" fontId="133" fillId="16" borderId="33" xfId="6" applyNumberFormat="1" applyFont="1" applyFill="1" applyBorder="1"/>
    <xf numFmtId="9" fontId="133" fillId="16" borderId="30" xfId="2" applyFont="1" applyFill="1" applyBorder="1"/>
    <xf numFmtId="1" fontId="11" fillId="6" borderId="0" xfId="0" applyNumberFormat="1" applyFont="1" applyFill="1"/>
    <xf numFmtId="0" fontId="141" fillId="0" borderId="0" xfId="0" applyFont="1"/>
    <xf numFmtId="0" fontId="142" fillId="0" borderId="0" xfId="0" applyFont="1"/>
    <xf numFmtId="1" fontId="139" fillId="0" borderId="0" xfId="0" applyNumberFormat="1" applyFont="1"/>
    <xf numFmtId="16" fontId="116" fillId="0" borderId="25" xfId="0" applyNumberFormat="1" applyFont="1" applyBorder="1" applyAlignment="1">
      <alignment horizontal="right"/>
    </xf>
    <xf numFmtId="0" fontId="10" fillId="0" borderId="0" xfId="0" applyFont="1" applyAlignment="1">
      <alignment horizontal="right"/>
    </xf>
    <xf numFmtId="1" fontId="143" fillId="0" borderId="0" xfId="0" applyNumberFormat="1" applyFont="1"/>
    <xf numFmtId="170" fontId="10" fillId="0" borderId="0" xfId="0" applyNumberFormat="1" applyFont="1"/>
    <xf numFmtId="0" fontId="9" fillId="0" borderId="0" xfId="0" applyFont="1"/>
    <xf numFmtId="0" fontId="9" fillId="0" borderId="0" xfId="0" quotePrefix="1" applyFont="1" applyAlignment="1">
      <alignment horizontal="left" indent="1"/>
    </xf>
    <xf numFmtId="167" fontId="41" fillId="0" borderId="0" xfId="0" applyNumberFormat="1" applyFont="1"/>
    <xf numFmtId="0" fontId="55" fillId="0" borderId="0" xfId="0" applyFont="1" applyAlignment="1">
      <alignment horizontal="left" indent="2"/>
    </xf>
    <xf numFmtId="1" fontId="136" fillId="0" borderId="0" xfId="0" applyNumberFormat="1" applyFont="1"/>
    <xf numFmtId="167" fontId="73" fillId="0" borderId="0" xfId="0" applyNumberFormat="1" applyFont="1"/>
    <xf numFmtId="0" fontId="8" fillId="0" borderId="0" xfId="0" applyFont="1" applyAlignment="1">
      <alignment horizontal="right"/>
    </xf>
    <xf numFmtId="0" fontId="111" fillId="13" borderId="12" xfId="0" applyFont="1" applyFill="1" applyBorder="1"/>
    <xf numFmtId="168" fontId="111" fillId="13" borderId="12" xfId="0" applyNumberFormat="1" applyFont="1" applyFill="1" applyBorder="1" applyAlignment="1">
      <alignment horizontal="right"/>
    </xf>
    <xf numFmtId="0" fontId="116" fillId="0" borderId="14" xfId="25" applyFont="1" applyBorder="1"/>
    <xf numFmtId="167" fontId="116" fillId="0" borderId="14" xfId="26" applyNumberFormat="1" applyFont="1" applyFill="1" applyBorder="1"/>
    <xf numFmtId="0" fontId="114" fillId="16" borderId="0" xfId="25" applyFont="1" applyFill="1"/>
    <xf numFmtId="167" fontId="114" fillId="16" borderId="0" xfId="26" applyNumberFormat="1" applyFont="1" applyFill="1" applyBorder="1"/>
    <xf numFmtId="167" fontId="114" fillId="16" borderId="0" xfId="26" applyNumberFormat="1" applyFont="1" applyFill="1" applyBorder="1" applyAlignment="1">
      <alignment horizontal="right"/>
    </xf>
    <xf numFmtId="0" fontId="111" fillId="16" borderId="0" xfId="0" applyFont="1" applyFill="1"/>
    <xf numFmtId="3" fontId="111" fillId="16" borderId="0" xfId="0" applyNumberFormat="1" applyFont="1" applyFill="1"/>
    <xf numFmtId="1" fontId="111" fillId="16" borderId="0" xfId="0" applyNumberFormat="1" applyFont="1" applyFill="1"/>
    <xf numFmtId="167" fontId="111" fillId="16" borderId="0" xfId="0" applyNumberFormat="1" applyFont="1" applyFill="1"/>
    <xf numFmtId="0" fontId="115" fillId="16" borderId="0" xfId="0" applyFont="1" applyFill="1"/>
    <xf numFmtId="0" fontId="115" fillId="16" borderId="0" xfId="0" applyFont="1" applyFill="1" applyAlignment="1">
      <alignment horizontal="right"/>
    </xf>
    <xf numFmtId="0" fontId="80" fillId="16" borderId="0" xfId="0" applyFont="1" applyFill="1"/>
    <xf numFmtId="167" fontId="114" fillId="13" borderId="0" xfId="26" applyNumberFormat="1" applyFont="1" applyFill="1" applyBorder="1"/>
    <xf numFmtId="0" fontId="116" fillId="0" borderId="12" xfId="25" applyFont="1" applyBorder="1" applyAlignment="1">
      <alignment horizontal="right"/>
    </xf>
    <xf numFmtId="0" fontId="7" fillId="0" borderId="0" xfId="0" applyFont="1" applyAlignment="1">
      <alignment horizontal="right"/>
    </xf>
    <xf numFmtId="0" fontId="6" fillId="0" borderId="0" xfId="0" quotePrefix="1" applyFont="1" applyAlignment="1">
      <alignment horizontal="left" indent="1"/>
    </xf>
    <xf numFmtId="1" fontId="16" fillId="3" borderId="0" xfId="0" applyNumberFormat="1" applyFont="1" applyFill="1"/>
    <xf numFmtId="1" fontId="72" fillId="3" borderId="0" xfId="0" applyNumberFormat="1" applyFont="1" applyFill="1"/>
    <xf numFmtId="0" fontId="6" fillId="0" borderId="0" xfId="0" applyFont="1" applyAlignment="1">
      <alignment horizontal="left" indent="1"/>
    </xf>
    <xf numFmtId="1" fontId="111" fillId="0" borderId="0" xfId="0" applyNumberFormat="1" applyFont="1" applyAlignment="1">
      <alignment horizontal="right"/>
    </xf>
    <xf numFmtId="9" fontId="111" fillId="3" borderId="0" xfId="0" applyNumberFormat="1" applyFont="1" applyFill="1"/>
    <xf numFmtId="0" fontId="5" fillId="0" borderId="0" xfId="0" quotePrefix="1" applyFont="1" applyAlignment="1">
      <alignment horizontal="left" indent="1"/>
    </xf>
    <xf numFmtId="0" fontId="89" fillId="0" borderId="0" xfId="0" applyFont="1"/>
    <xf numFmtId="1" fontId="110" fillId="0" borderId="0" xfId="0" applyNumberFormat="1" applyFont="1"/>
    <xf numFmtId="167" fontId="110" fillId="0" borderId="0" xfId="0" applyNumberFormat="1" applyFont="1"/>
    <xf numFmtId="3" fontId="144" fillId="0" borderId="0" xfId="0" applyNumberFormat="1" applyFont="1" applyAlignment="1">
      <alignment wrapText="1"/>
    </xf>
    <xf numFmtId="0" fontId="4" fillId="0" borderId="0" xfId="0" applyFont="1" applyAlignment="1">
      <alignment horizontal="left" indent="3"/>
    </xf>
    <xf numFmtId="1" fontId="4" fillId="0" borderId="0" xfId="0" applyNumberFormat="1" applyFont="1"/>
    <xf numFmtId="0" fontId="4" fillId="0" borderId="0" xfId="0" applyFont="1" applyAlignment="1">
      <alignment horizontal="left" indent="2"/>
    </xf>
    <xf numFmtId="1" fontId="4" fillId="6" borderId="0" xfId="0" applyNumberFormat="1" applyFont="1" applyFill="1"/>
    <xf numFmtId="0" fontId="4" fillId="0" borderId="0" xfId="0" applyFont="1"/>
    <xf numFmtId="0" fontId="4" fillId="0" borderId="0" xfId="0" applyFont="1" applyAlignment="1">
      <alignment horizontal="left" indent="1"/>
    </xf>
    <xf numFmtId="167" fontId="4" fillId="0" borderId="0" xfId="0" applyNumberFormat="1" applyFont="1"/>
    <xf numFmtId="0" fontId="4" fillId="0" borderId="0" xfId="0" quotePrefix="1" applyFont="1"/>
    <xf numFmtId="0" fontId="43" fillId="4" borderId="0" xfId="0" applyFont="1" applyFill="1" applyAlignment="1">
      <alignment horizontal="right"/>
    </xf>
    <xf numFmtId="167" fontId="144" fillId="0" borderId="0" xfId="0" applyNumberFormat="1" applyFont="1" applyAlignment="1">
      <alignment wrapText="1"/>
    </xf>
    <xf numFmtId="167" fontId="130" fillId="0" borderId="0" xfId="0" applyNumberFormat="1" applyFont="1" applyAlignment="1">
      <alignment wrapText="1"/>
    </xf>
    <xf numFmtId="0" fontId="3" fillId="0" borderId="0" xfId="0" applyFont="1"/>
    <xf numFmtId="1" fontId="67" fillId="3" borderId="0" xfId="0" applyNumberFormat="1" applyFont="1" applyFill="1"/>
    <xf numFmtId="1" fontId="0" fillId="3" borderId="12" xfId="0" applyNumberFormat="1" applyFill="1" applyBorder="1"/>
    <xf numFmtId="1" fontId="111" fillId="0" borderId="12" xfId="0" applyNumberFormat="1" applyFont="1" applyBorder="1" applyAlignment="1">
      <alignment horizontal="right"/>
    </xf>
    <xf numFmtId="0" fontId="111" fillId="0" borderId="12" xfId="0" applyFont="1" applyBorder="1" applyAlignment="1">
      <alignment horizontal="right"/>
    </xf>
    <xf numFmtId="0" fontId="111" fillId="16" borderId="12" xfId="0" applyFont="1" applyFill="1" applyBorder="1"/>
    <xf numFmtId="3" fontId="111" fillId="16" borderId="12" xfId="0" applyNumberFormat="1" applyFont="1" applyFill="1" applyBorder="1"/>
    <xf numFmtId="9" fontId="111" fillId="16" borderId="0" xfId="0" applyNumberFormat="1" applyFont="1" applyFill="1"/>
    <xf numFmtId="1" fontId="111" fillId="16" borderId="12" xfId="0" applyNumberFormat="1" applyFont="1" applyFill="1" applyBorder="1"/>
    <xf numFmtId="9" fontId="111" fillId="16" borderId="12" xfId="0" applyNumberFormat="1" applyFont="1" applyFill="1" applyBorder="1"/>
    <xf numFmtId="1" fontId="115" fillId="16" borderId="0" xfId="0" applyNumberFormat="1" applyFont="1" applyFill="1"/>
    <xf numFmtId="1" fontId="111" fillId="0" borderId="22" xfId="0" applyNumberFormat="1" applyFont="1" applyBorder="1"/>
    <xf numFmtId="0" fontId="111" fillId="0" borderId="17" xfId="0" applyFont="1" applyBorder="1"/>
    <xf numFmtId="1" fontId="111" fillId="0" borderId="18" xfId="0" applyNumberFormat="1" applyFont="1" applyBorder="1"/>
    <xf numFmtId="182" fontId="111" fillId="0" borderId="0" xfId="0" applyNumberFormat="1" applyFont="1"/>
    <xf numFmtId="1" fontId="2" fillId="0" borderId="0" xfId="0" applyNumberFormat="1" applyFont="1"/>
    <xf numFmtId="0" fontId="145" fillId="0" borderId="0" xfId="0" applyFont="1"/>
    <xf numFmtId="3" fontId="145" fillId="0" borderId="0" xfId="0" applyNumberFormat="1" applyFont="1"/>
    <xf numFmtId="9" fontId="145" fillId="0" borderId="0" xfId="0" applyNumberFormat="1" applyFont="1"/>
    <xf numFmtId="0" fontId="145" fillId="0" borderId="12" xfId="0" applyFont="1" applyBorder="1"/>
    <xf numFmtId="3" fontId="145" fillId="0" borderId="12" xfId="0" applyNumberFormat="1" applyFont="1" applyBorder="1"/>
    <xf numFmtId="9" fontId="145" fillId="0" borderId="12" xfId="0" applyNumberFormat="1" applyFont="1" applyBorder="1"/>
    <xf numFmtId="0" fontId="146" fillId="0" borderId="0" xfId="0" applyFont="1"/>
    <xf numFmtId="3" fontId="111" fillId="0" borderId="3" xfId="0" applyNumberFormat="1" applyFont="1" applyBorder="1"/>
    <xf numFmtId="0" fontId="111" fillId="0" borderId="4" xfId="0" applyFont="1" applyBorder="1"/>
    <xf numFmtId="0" fontId="111" fillId="0" borderId="20" xfId="0" applyFont="1" applyBorder="1"/>
    <xf numFmtId="9" fontId="111" fillId="0" borderId="2" xfId="0" applyNumberFormat="1" applyFont="1" applyBorder="1"/>
    <xf numFmtId="0" fontId="111" fillId="0" borderId="27" xfId="0" applyFont="1" applyBorder="1"/>
    <xf numFmtId="9" fontId="111" fillId="0" borderId="28" xfId="0" applyNumberFormat="1" applyFont="1" applyBorder="1"/>
    <xf numFmtId="0" fontId="111" fillId="0" borderId="21" xfId="0" applyFont="1" applyBorder="1"/>
    <xf numFmtId="3" fontId="111" fillId="0" borderId="1" xfId="0" applyNumberFormat="1" applyFont="1" applyBorder="1"/>
    <xf numFmtId="9" fontId="111" fillId="0" borderId="5" xfId="0" applyNumberFormat="1" applyFont="1" applyBorder="1"/>
    <xf numFmtId="9" fontId="111" fillId="16" borderId="30" xfId="0" applyNumberFormat="1" applyFont="1" applyFill="1" applyBorder="1"/>
    <xf numFmtId="183" fontId="80" fillId="0" borderId="0" xfId="0" applyNumberFormat="1" applyFont="1" applyAlignment="1">
      <alignment wrapText="1"/>
    </xf>
    <xf numFmtId="0" fontId="1" fillId="0" borderId="0" xfId="0" applyFont="1"/>
    <xf numFmtId="0" fontId="1" fillId="0" borderId="0" xfId="0" quotePrefix="1" applyFont="1"/>
    <xf numFmtId="0" fontId="1" fillId="0" borderId="12" xfId="0" quotePrefix="1" applyFont="1" applyBorder="1"/>
    <xf numFmtId="167" fontId="1" fillId="0" borderId="0" xfId="0" applyNumberFormat="1" applyFont="1"/>
    <xf numFmtId="16" fontId="116" fillId="0" borderId="25" xfId="0" applyNumberFormat="1" applyFont="1" applyBorder="1" applyAlignment="1">
      <alignment horizontal="center"/>
    </xf>
    <xf numFmtId="0" fontId="115" fillId="0" borderId="0" xfId="0" applyFont="1" applyAlignment="1">
      <alignment horizontal="center"/>
    </xf>
    <xf numFmtId="0" fontId="116" fillId="0" borderId="0" xfId="0" applyFont="1" applyAlignment="1">
      <alignment horizontal="center"/>
    </xf>
    <xf numFmtId="0" fontId="0" fillId="0" borderId="0" xfId="0" applyAlignment="1">
      <alignment horizontal="center" vertical="center"/>
    </xf>
    <xf numFmtId="0" fontId="0" fillId="0" borderId="19" xfId="0" applyBorder="1" applyAlignment="1">
      <alignment horizontal="center"/>
    </xf>
    <xf numFmtId="0" fontId="0" fillId="0" borderId="3" xfId="0" applyBorder="1" applyAlignment="1">
      <alignment horizontal="center"/>
    </xf>
    <xf numFmtId="0" fontId="0" fillId="0" borderId="4" xfId="0" applyBorder="1" applyAlignment="1">
      <alignment horizontal="center"/>
    </xf>
  </cellXfs>
  <cellStyles count="29">
    <cellStyle name="%" xfId="5" xr:uid="{033FE622-2935-4330-8FC2-342926F338F4}"/>
    <cellStyle name="blp_column_header" xfId="14" xr:uid="{01A35885-4702-4D6E-B83C-E3C12D0A246A}"/>
    <cellStyle name="Comma" xfId="1" builtinId="3"/>
    <cellStyle name="Comma [0] 2" xfId="24" xr:uid="{48EE144D-2E87-4F03-8D0E-1F20ED20D2EC}"/>
    <cellStyle name="Comma 10 2" xfId="11" xr:uid="{66304037-F027-4427-97F2-86AB4FF61E73}"/>
    <cellStyle name="Comma 2" xfId="10" xr:uid="{A86479BD-F230-46B1-A461-5BCA40A8CE89}"/>
    <cellStyle name="Comma 2 2" xfId="27" xr:uid="{4F48BA09-5867-4002-8B95-4A8DD642360C}"/>
    <cellStyle name="Comma 3" xfId="4" xr:uid="{329072B3-6E7A-4846-A8C5-D10D26C18569}"/>
    <cellStyle name="Comma 3 2" xfId="12" xr:uid="{6AAE02F8-1035-4399-B64F-8B9D71081499}"/>
    <cellStyle name="Comma 4" xfId="23" xr:uid="{7BF28DC0-A28C-4AAD-9979-138DA543D202}"/>
    <cellStyle name="Currency" xfId="13" builtinId="4"/>
    <cellStyle name="Currency [0] 2" xfId="22" xr:uid="{712FA1F9-6F64-4400-80AB-878047279A42}"/>
    <cellStyle name="Currency 2" xfId="9" xr:uid="{235DAFC9-5DC4-44BA-9320-EA5E82BDAC69}"/>
    <cellStyle name="Currency 3" xfId="21" xr:uid="{8140B806-80AD-48D2-8D99-B4347C094E01}"/>
    <cellStyle name="fa_column_header_bottom" xfId="15" xr:uid="{EA9F5926-6A27-45D8-8764-1C37047D8D28}"/>
    <cellStyle name="Normal" xfId="0" builtinId="0"/>
    <cellStyle name="Normal 2" xfId="6" xr:uid="{5D882637-AC67-41DA-8EF7-9F610061293A}"/>
    <cellStyle name="Normal 2 2 3" xfId="8" xr:uid="{8C214613-8366-4AE2-8320-2BF595A5BA67}"/>
    <cellStyle name="Normal 3" xfId="17" xr:uid="{73E60048-50E9-4B7A-9EE0-D145543B4367}"/>
    <cellStyle name="Normal 4" xfId="3" xr:uid="{DAB29660-A03D-422A-B0BD-3D5D658E5BEC}"/>
    <cellStyle name="Normal 5" xfId="18" xr:uid="{57D8D425-C52F-4F71-8771-F8379C62CE54}"/>
    <cellStyle name="Normal 6" xfId="19" xr:uid="{E24AFE8A-FCB6-470A-8E78-A4863D068A4C}"/>
    <cellStyle name="Normal 6 2" xfId="28" xr:uid="{BA00752A-EB70-4BF0-A661-6B9D9D6F2063}"/>
    <cellStyle name="Normal 7" xfId="25" xr:uid="{2309E974-BC05-438C-8938-70807A2439A2}"/>
    <cellStyle name="Normal_Analysis" xfId="16" xr:uid="{F5E683C6-C415-4E6F-8D56-96C1B37A3BF5}"/>
    <cellStyle name="Percent" xfId="2" builtinId="5"/>
    <cellStyle name="Percent 2" xfId="7" xr:uid="{D5050D10-3618-4FAC-A104-454613C79B69}"/>
    <cellStyle name="Percent 3" xfId="20" xr:uid="{79C51D5B-4782-43B0-9932-0554E2D05F8D}"/>
    <cellStyle name="Percent 4" xfId="26" xr:uid="{61564466-9B07-4E32-B26B-A0CE6D4EAADC}"/>
  </cellStyles>
  <dxfs count="2">
    <dxf>
      <fill>
        <patternFill>
          <bgColor theme="9" tint="0.79998168889431442"/>
        </patternFill>
      </fill>
    </dxf>
    <dxf>
      <fill>
        <patternFill>
          <bgColor rgb="FFFF0000"/>
        </patternFill>
      </fill>
    </dxf>
  </dxfs>
  <tableStyles count="0" defaultTableStyle="TableStyleMedium2" defaultPivotStyle="PivotStyleLight16"/>
  <colors>
    <mruColors>
      <color rgb="FF799098"/>
      <color rgb="FFF9663E"/>
      <color rgb="FF9999FF"/>
      <color rgb="FF99CCFF"/>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30685864853343"/>
          <c:y val="8.1260832705615377E-2"/>
          <c:w val="0.59359763472373084"/>
          <c:h val="0.64468781837114364"/>
        </c:manualLayout>
      </c:layout>
      <c:pieChart>
        <c:varyColors val="1"/>
        <c:ser>
          <c:idx val="0"/>
          <c:order val="0"/>
          <c:dPt>
            <c:idx val="0"/>
            <c:bubble3D val="0"/>
            <c:spPr>
              <a:pattFill prst="wdDnDiag">
                <a:fgClr>
                  <a:srgbClr val="000080"/>
                </a:fgClr>
                <a:bgClr>
                  <a:srgbClr val="000080"/>
                </a:bgClr>
              </a:pattFill>
              <a:ln w="25400">
                <a:noFill/>
              </a:ln>
              <a:effectLst/>
            </c:spPr>
            <c:extLst>
              <c:ext xmlns:c16="http://schemas.microsoft.com/office/drawing/2014/chart" uri="{C3380CC4-5D6E-409C-BE32-E72D297353CC}">
                <c16:uniqueId val="{00000002-7C0D-491F-99F9-DA574EB6418D}"/>
              </c:ext>
            </c:extLst>
          </c:dPt>
          <c:dPt>
            <c:idx val="1"/>
            <c:bubble3D val="0"/>
            <c:spPr>
              <a:pattFill prst="wdDnDiag">
                <a:fgClr>
                  <a:srgbClr val="9999FF"/>
                </a:fgClr>
                <a:bgClr>
                  <a:srgbClr val="9999FF"/>
                </a:bgClr>
              </a:pattFill>
              <a:ln w="25400">
                <a:noFill/>
              </a:ln>
              <a:effectLst/>
            </c:spPr>
            <c:extLst>
              <c:ext xmlns:c16="http://schemas.microsoft.com/office/drawing/2014/chart" uri="{C3380CC4-5D6E-409C-BE32-E72D297353CC}">
                <c16:uniqueId val="{00000003-7C0D-491F-99F9-DA574EB6418D}"/>
              </c:ext>
            </c:extLst>
          </c:dPt>
          <c:dPt>
            <c:idx val="2"/>
            <c:bubble3D val="0"/>
            <c:spPr>
              <a:pattFill prst="wdDnDiag">
                <a:fgClr>
                  <a:srgbClr val="3366FF"/>
                </a:fgClr>
                <a:bgClr>
                  <a:srgbClr val="3366FF"/>
                </a:bgClr>
              </a:pattFill>
              <a:ln w="25400">
                <a:noFill/>
              </a:ln>
              <a:effectLst/>
            </c:spPr>
            <c:extLst>
              <c:ext xmlns:c16="http://schemas.microsoft.com/office/drawing/2014/chart" uri="{C3380CC4-5D6E-409C-BE32-E72D297353CC}">
                <c16:uniqueId val="{00000004-7C0D-491F-99F9-DA574EB6418D}"/>
              </c:ext>
            </c:extLst>
          </c:dPt>
          <c:dPt>
            <c:idx val="3"/>
            <c:bubble3D val="0"/>
            <c:spPr>
              <a:pattFill prst="wdDnDiag">
                <a:fgClr>
                  <a:srgbClr val="CCCCFF"/>
                </a:fgClr>
                <a:bgClr>
                  <a:srgbClr val="CCCCFF"/>
                </a:bgClr>
              </a:pattFill>
              <a:ln w="25400">
                <a:noFill/>
              </a:ln>
              <a:effectLst/>
            </c:spPr>
            <c:extLst>
              <c:ext xmlns:c16="http://schemas.microsoft.com/office/drawing/2014/chart" uri="{C3380CC4-5D6E-409C-BE32-E72D297353CC}">
                <c16:uniqueId val="{00000005-7C0D-491F-99F9-DA574EB6418D}"/>
              </c:ext>
            </c:extLst>
          </c:dPt>
          <c:dPt>
            <c:idx val="4"/>
            <c:bubble3D val="0"/>
            <c:spPr>
              <a:pattFill prst="wdDnDiag">
                <a:fgClr>
                  <a:srgbClr val="969696"/>
                </a:fgClr>
                <a:bgClr>
                  <a:srgbClr val="969696"/>
                </a:bgClr>
              </a:pattFill>
              <a:ln w="25400">
                <a:noFill/>
              </a:ln>
              <a:effectLst/>
            </c:spPr>
            <c:extLst>
              <c:ext xmlns:c16="http://schemas.microsoft.com/office/drawing/2014/chart" uri="{C3380CC4-5D6E-409C-BE32-E72D297353CC}">
                <c16:uniqueId val="{00000009-971A-494D-B03D-4C41031A272F}"/>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Analysis!$B$5:$B$9</c:f>
              <c:strCache>
                <c:ptCount val="5"/>
                <c:pt idx="0">
                  <c:v>Interest income – credit card</c:v>
                </c:pt>
                <c:pt idx="1">
                  <c:v>Interest income – lending</c:v>
                </c:pt>
                <c:pt idx="2">
                  <c:v>Othee income on fin instr.</c:v>
                </c:pt>
                <c:pt idx="3">
                  <c:v>Interchange fees</c:v>
                </c:pt>
                <c:pt idx="4">
                  <c:v>Othe fee income</c:v>
                </c:pt>
              </c:strCache>
            </c:strRef>
          </c:cat>
          <c:val>
            <c:numRef>
              <c:f>Analysis!$F$5:$F$9</c:f>
              <c:numCache>
                <c:formatCode>0</c:formatCode>
                <c:ptCount val="5"/>
                <c:pt idx="0">
                  <c:v>245.2</c:v>
                </c:pt>
                <c:pt idx="1">
                  <c:v>161.19999999999999</c:v>
                </c:pt>
                <c:pt idx="2">
                  <c:v>200.80000000000007</c:v>
                </c:pt>
                <c:pt idx="3">
                  <c:v>321.5</c:v>
                </c:pt>
                <c:pt idx="4">
                  <c:v>133.39999999999998</c:v>
                </c:pt>
              </c:numCache>
            </c:numRef>
          </c:val>
          <c:extLst>
            <c:ext xmlns:c16="http://schemas.microsoft.com/office/drawing/2014/chart" uri="{C3380CC4-5D6E-409C-BE32-E72D297353CC}">
              <c16:uniqueId val="{00000000-7C0D-491F-99F9-DA574EB6418D}"/>
            </c:ext>
          </c:extLst>
        </c:ser>
        <c:dLbls>
          <c:showLegendKey val="0"/>
          <c:showVal val="0"/>
          <c:showCatName val="0"/>
          <c:showSerName val="0"/>
          <c:showPercent val="0"/>
          <c:showBubbleSize val="0"/>
          <c:showLeaderLines val="0"/>
        </c:dLbls>
        <c:firstSliceAng val="0"/>
      </c:pieChart>
      <c:spPr>
        <a:noFill/>
        <a:ln w="25400">
          <a:noFill/>
        </a:ln>
        <a:effectLst/>
      </c:spPr>
    </c:plotArea>
    <c:legend>
      <c:legendPos val="b"/>
      <c:layout>
        <c:manualLayout>
          <c:xMode val="edge"/>
          <c:yMode val="edge"/>
          <c:x val="3.2891346157332517E-3"/>
          <c:y val="0.81078170997686205"/>
          <c:w val="0.98906779177263493"/>
          <c:h val="0.18921829002313789"/>
        </c:manualLayout>
      </c:layout>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Analysis!$B$146</c:f>
              <c:strCache>
                <c:ptCount val="1"/>
                <c:pt idx="0">
                  <c:v>Nubank</c:v>
                </c:pt>
              </c:strCache>
            </c:strRef>
          </c:tx>
          <c:spPr>
            <a:ln w="25400" cap="rnd">
              <a:solidFill>
                <a:srgbClr val="333399"/>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Analysis!$C$145:$E$145</c:f>
              <c:strCache>
                <c:ptCount val="3"/>
                <c:pt idx="0">
                  <c:v>2019</c:v>
                </c:pt>
                <c:pt idx="1">
                  <c:v>2020</c:v>
                </c:pt>
                <c:pt idx="2">
                  <c:v>2021*</c:v>
                </c:pt>
              </c:strCache>
            </c:strRef>
          </c:cat>
          <c:val>
            <c:numRef>
              <c:f>Analysis!$C$146:$E$146</c:f>
              <c:numCache>
                <c:formatCode>General</c:formatCode>
                <c:ptCount val="3"/>
                <c:pt idx="0">
                  <c:v>12.1</c:v>
                </c:pt>
                <c:pt idx="1">
                  <c:v>21.8</c:v>
                </c:pt>
                <c:pt idx="2">
                  <c:v>35.299999999999997</c:v>
                </c:pt>
              </c:numCache>
            </c:numRef>
          </c:val>
          <c:smooth val="0"/>
          <c:extLst>
            <c:ext xmlns:c16="http://schemas.microsoft.com/office/drawing/2014/chart" uri="{C3380CC4-5D6E-409C-BE32-E72D297353CC}">
              <c16:uniqueId val="{00000000-42AD-4A53-89C4-AC022C9A40C7}"/>
            </c:ext>
          </c:extLst>
        </c:ser>
        <c:ser>
          <c:idx val="1"/>
          <c:order val="1"/>
          <c:tx>
            <c:strRef>
              <c:f>Analysis!$B$147</c:f>
              <c:strCache>
                <c:ptCount val="1"/>
                <c:pt idx="0">
                  <c:v>Banco Inter</c:v>
                </c:pt>
              </c:strCache>
            </c:strRef>
          </c:tx>
          <c:spPr>
            <a:ln w="25400" cap="rnd">
              <a:solidFill>
                <a:srgbClr val="99CCFF"/>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Analysis!$C$145:$E$145</c:f>
              <c:strCache>
                <c:ptCount val="3"/>
                <c:pt idx="0">
                  <c:v>2019</c:v>
                </c:pt>
                <c:pt idx="1">
                  <c:v>2020</c:v>
                </c:pt>
                <c:pt idx="2">
                  <c:v>2021*</c:v>
                </c:pt>
              </c:strCache>
            </c:strRef>
          </c:cat>
          <c:val>
            <c:numRef>
              <c:f>Analysis!$C$147:$E$147</c:f>
              <c:numCache>
                <c:formatCode>General</c:formatCode>
                <c:ptCount val="3"/>
                <c:pt idx="0">
                  <c:v>2.2000000000000002</c:v>
                </c:pt>
                <c:pt idx="1">
                  <c:v>4.8</c:v>
                </c:pt>
                <c:pt idx="2">
                  <c:v>7.9</c:v>
                </c:pt>
              </c:numCache>
            </c:numRef>
          </c:val>
          <c:smooth val="0"/>
          <c:extLst>
            <c:ext xmlns:c16="http://schemas.microsoft.com/office/drawing/2014/chart" uri="{C3380CC4-5D6E-409C-BE32-E72D297353CC}">
              <c16:uniqueId val="{00000001-42AD-4A53-89C4-AC022C9A40C7}"/>
            </c:ext>
          </c:extLst>
        </c:ser>
        <c:ser>
          <c:idx val="2"/>
          <c:order val="2"/>
          <c:tx>
            <c:strRef>
              <c:f>Analysis!$B$148</c:f>
              <c:strCache>
                <c:ptCount val="1"/>
                <c:pt idx="0">
                  <c:v>Picpay</c:v>
                </c:pt>
              </c:strCache>
            </c:strRef>
          </c:tx>
          <c:spPr>
            <a:ln w="25400" cap="rnd">
              <a:solidFill>
                <a:srgbClr val="333399"/>
              </a:solidFill>
              <a:prstDash val="lgDash"/>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Analysis!$C$145:$E$145</c:f>
              <c:strCache>
                <c:ptCount val="3"/>
                <c:pt idx="0">
                  <c:v>2019</c:v>
                </c:pt>
                <c:pt idx="1">
                  <c:v>2020</c:v>
                </c:pt>
                <c:pt idx="2">
                  <c:v>2021*</c:v>
                </c:pt>
              </c:strCache>
            </c:strRef>
          </c:cat>
          <c:val>
            <c:numRef>
              <c:f>Analysis!$C$148:$E$148</c:f>
              <c:numCache>
                <c:formatCode>General</c:formatCode>
                <c:ptCount val="3"/>
                <c:pt idx="0">
                  <c:v>3.1</c:v>
                </c:pt>
                <c:pt idx="1">
                  <c:v>16.2</c:v>
                </c:pt>
                <c:pt idx="2">
                  <c:v>28</c:v>
                </c:pt>
              </c:numCache>
            </c:numRef>
          </c:val>
          <c:smooth val="0"/>
          <c:extLst>
            <c:ext xmlns:c16="http://schemas.microsoft.com/office/drawing/2014/chart" uri="{C3380CC4-5D6E-409C-BE32-E72D297353CC}">
              <c16:uniqueId val="{00000002-42AD-4A53-89C4-AC022C9A40C7}"/>
            </c:ext>
          </c:extLst>
        </c:ser>
        <c:ser>
          <c:idx val="3"/>
          <c:order val="3"/>
          <c:tx>
            <c:strRef>
              <c:f>Analysis!$B$149</c:f>
              <c:strCache>
                <c:ptCount val="1"/>
                <c:pt idx="0">
                  <c:v>Mercado pago</c:v>
                </c:pt>
              </c:strCache>
            </c:strRef>
          </c:tx>
          <c:spPr>
            <a:ln w="25400" cap="rnd">
              <a:solidFill>
                <a:srgbClr val="99CCFF"/>
              </a:solidFill>
              <a:prstDash val="lgDash"/>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Analysis!$C$145:$E$145</c:f>
              <c:strCache>
                <c:ptCount val="3"/>
                <c:pt idx="0">
                  <c:v>2019</c:v>
                </c:pt>
                <c:pt idx="1">
                  <c:v>2020</c:v>
                </c:pt>
                <c:pt idx="2">
                  <c:v>2021*</c:v>
                </c:pt>
              </c:strCache>
            </c:strRef>
          </c:cat>
          <c:val>
            <c:numRef>
              <c:f>Analysis!$C$149:$E$149</c:f>
              <c:numCache>
                <c:formatCode>General</c:formatCode>
                <c:ptCount val="3"/>
                <c:pt idx="0">
                  <c:v>7.9</c:v>
                </c:pt>
                <c:pt idx="1">
                  <c:v>14.2</c:v>
                </c:pt>
                <c:pt idx="2">
                  <c:v>16.8</c:v>
                </c:pt>
              </c:numCache>
            </c:numRef>
          </c:val>
          <c:smooth val="0"/>
          <c:extLst>
            <c:ext xmlns:c16="http://schemas.microsoft.com/office/drawing/2014/chart" uri="{C3380CC4-5D6E-409C-BE32-E72D297353CC}">
              <c16:uniqueId val="{00000003-42AD-4A53-89C4-AC022C9A40C7}"/>
            </c:ext>
          </c:extLst>
        </c:ser>
        <c:ser>
          <c:idx val="4"/>
          <c:order val="4"/>
          <c:tx>
            <c:strRef>
              <c:f>Analysis!$B$150</c:f>
              <c:strCache>
                <c:ptCount val="1"/>
                <c:pt idx="0">
                  <c:v>PagBank</c:v>
                </c:pt>
              </c:strCache>
            </c:strRef>
          </c:tx>
          <c:spPr>
            <a:ln w="25400" cap="rnd">
              <a:solidFill>
                <a:srgbClr val="333399"/>
              </a:solidFill>
              <a:prstDash val="sysDash"/>
              <a:round/>
            </a:ln>
            <a:effectLst/>
          </c:spPr>
          <c:marker>
            <c:symbol val="none"/>
          </c:marker>
          <c:dLbls>
            <c:dLbl>
              <c:idx val="1"/>
              <c:layout>
                <c:manualLayout>
                  <c:x val="-5.2234795330367539E-2"/>
                  <c:y val="-1.4357566720290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2AD-4A53-89C4-AC022C9A40C7}"/>
                </c:ext>
              </c:extLst>
            </c:dLbl>
            <c:dLbl>
              <c:idx val="2"/>
              <c:layout>
                <c:manualLayout>
                  <c:x val="-6.7110837103554671E-2"/>
                  <c:y val="-2.94521608203934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2AD-4A53-89C4-AC022C9A40C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Analysis!$C$145:$E$145</c:f>
              <c:strCache>
                <c:ptCount val="3"/>
                <c:pt idx="0">
                  <c:v>2019</c:v>
                </c:pt>
                <c:pt idx="1">
                  <c:v>2020</c:v>
                </c:pt>
                <c:pt idx="2">
                  <c:v>2021*</c:v>
                </c:pt>
              </c:strCache>
            </c:strRef>
          </c:cat>
          <c:val>
            <c:numRef>
              <c:f>Analysis!$C$150:$E$150</c:f>
              <c:numCache>
                <c:formatCode>General</c:formatCode>
                <c:ptCount val="3"/>
                <c:pt idx="0">
                  <c:v>2</c:v>
                </c:pt>
                <c:pt idx="1">
                  <c:v>8</c:v>
                </c:pt>
                <c:pt idx="2">
                  <c:v>11.2</c:v>
                </c:pt>
              </c:numCache>
            </c:numRef>
          </c:val>
          <c:smooth val="0"/>
          <c:extLst>
            <c:ext xmlns:c16="http://schemas.microsoft.com/office/drawing/2014/chart" uri="{C3380CC4-5D6E-409C-BE32-E72D297353CC}">
              <c16:uniqueId val="{00000004-42AD-4A53-89C4-AC022C9A40C7}"/>
            </c:ext>
          </c:extLst>
        </c:ser>
        <c:dLbls>
          <c:showLegendKey val="0"/>
          <c:showVal val="0"/>
          <c:showCatName val="0"/>
          <c:showSerName val="0"/>
          <c:showPercent val="0"/>
          <c:showBubbleSize val="0"/>
        </c:dLbls>
        <c:smooth val="0"/>
        <c:axId val="1095104287"/>
        <c:axId val="1095111359"/>
      </c:lineChart>
      <c:catAx>
        <c:axId val="109510428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095111359"/>
        <c:crosses val="autoZero"/>
        <c:auto val="1"/>
        <c:lblAlgn val="ctr"/>
        <c:lblOffset val="100"/>
        <c:noMultiLvlLbl val="0"/>
      </c:catAx>
      <c:valAx>
        <c:axId val="1095111359"/>
        <c:scaling>
          <c:orientation val="minMax"/>
        </c:scaling>
        <c:delete val="0"/>
        <c:axPos val="l"/>
        <c:majorGridlines>
          <c:spPr>
            <a:ln w="3175" cap="flat" cmpd="sng" algn="ctr">
              <a:solidFill>
                <a:srgbClr val="C0C0C0"/>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095104287"/>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spPr>
            <a:solidFill>
              <a:srgbClr val="333399"/>
            </a:solidFill>
            <a:ln w="25400">
              <a:solidFill>
                <a:srgbClr val="333399"/>
              </a:solidFill>
              <a:prstDash val="solid"/>
            </a:ln>
            <a:effectLst/>
          </c:spPr>
          <c:invertIfNegative val="0"/>
          <c:val>
            <c:numRef>
              <c:f>Analysis!$C$214:$I$214</c:f>
              <c:numCache>
                <c:formatCode>0</c:formatCode>
                <c:ptCount val="7"/>
                <c:pt idx="0">
                  <c:v>81.099999999999994</c:v>
                </c:pt>
                <c:pt idx="1">
                  <c:v>87.2</c:v>
                </c:pt>
                <c:pt idx="2">
                  <c:v>317.42</c:v>
                </c:pt>
                <c:pt idx="3">
                  <c:v>1408</c:v>
                </c:pt>
                <c:pt idx="4">
                  <c:v>1669.5716505708156</c:v>
                </c:pt>
                <c:pt idx="5">
                  <c:v>1648.1948063999262</c:v>
                </c:pt>
                <c:pt idx="6">
                  <c:v>1679.4462352435539</c:v>
                </c:pt>
              </c:numCache>
            </c:numRef>
          </c:val>
          <c:extLst>
            <c:ext xmlns:c16="http://schemas.microsoft.com/office/drawing/2014/chart" uri="{C3380CC4-5D6E-409C-BE32-E72D297353CC}">
              <c16:uniqueId val="{00000004-DAA0-406F-857E-A123B1BC8986}"/>
            </c:ext>
          </c:extLst>
        </c:ser>
        <c:dLbls>
          <c:showLegendKey val="0"/>
          <c:showVal val="0"/>
          <c:showCatName val="0"/>
          <c:showSerName val="0"/>
          <c:showPercent val="0"/>
          <c:showBubbleSize val="0"/>
        </c:dLbls>
        <c:gapWidth val="150"/>
        <c:axId val="715204799"/>
        <c:axId val="715201471"/>
      </c:barChart>
      <c:lineChart>
        <c:grouping val="standard"/>
        <c:varyColors val="0"/>
        <c:ser>
          <c:idx val="0"/>
          <c:order val="0"/>
          <c:tx>
            <c:strRef>
              <c:f>Analysis!$B$213</c:f>
              <c:strCache>
                <c:ptCount val="1"/>
                <c:pt idx="0">
                  <c:v>Nubank</c:v>
                </c:pt>
              </c:strCache>
            </c:strRef>
          </c:tx>
          <c:spPr>
            <a:ln w="28575" cap="rnd">
              <a:solidFill>
                <a:srgbClr val="9999FF"/>
              </a:solidFill>
              <a:round/>
            </a:ln>
            <a:effectLst/>
          </c:spPr>
          <c:marker>
            <c:symbol val="none"/>
          </c:marker>
          <c:dLbls>
            <c:dLbl>
              <c:idx val="6"/>
              <c:layout>
                <c:manualLayout>
                  <c:x val="1.2038952554509513E-2"/>
                  <c:y val="6.749545369034854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A0-406F-857E-A123B1BC898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Analysis!$C$212:$I$212</c:f>
              <c:numCache>
                <c:formatCode>General</c:formatCode>
                <c:ptCount val="7"/>
                <c:pt idx="0">
                  <c:v>2019</c:v>
                </c:pt>
                <c:pt idx="1">
                  <c:v>2020</c:v>
                </c:pt>
                <c:pt idx="2">
                  <c:v>2021</c:v>
                </c:pt>
                <c:pt idx="3">
                  <c:v>2022</c:v>
                </c:pt>
                <c:pt idx="4">
                  <c:v>2023</c:v>
                </c:pt>
                <c:pt idx="5">
                  <c:v>2024</c:v>
                </c:pt>
                <c:pt idx="6">
                  <c:v>2025</c:v>
                </c:pt>
              </c:numCache>
            </c:numRef>
          </c:cat>
          <c:val>
            <c:numRef>
              <c:f>Analysis!$C$213:$I$213</c:f>
              <c:numCache>
                <c:formatCode>0%</c:formatCode>
                <c:ptCount val="7"/>
                <c:pt idx="0">
                  <c:v>0.81925299077850455</c:v>
                </c:pt>
                <c:pt idx="1">
                  <c:v>0.76056448712463331</c:v>
                </c:pt>
                <c:pt idx="2">
                  <c:v>0.95684707704500005</c:v>
                </c:pt>
                <c:pt idx="3">
                  <c:v>0.87038144188514732</c:v>
                </c:pt>
                <c:pt idx="4">
                  <c:v>0.68038144188514726</c:v>
                </c:pt>
                <c:pt idx="5">
                  <c:v>0.70038144188514728</c:v>
                </c:pt>
                <c:pt idx="6">
                  <c:v>0.70038144188514728</c:v>
                </c:pt>
              </c:numCache>
            </c:numRef>
          </c:val>
          <c:smooth val="1"/>
          <c:extLst>
            <c:ext xmlns:c16="http://schemas.microsoft.com/office/drawing/2014/chart" uri="{C3380CC4-5D6E-409C-BE32-E72D297353CC}">
              <c16:uniqueId val="{00000000-DAA0-406F-857E-A123B1BC8986}"/>
            </c:ext>
          </c:extLst>
        </c:ser>
        <c:dLbls>
          <c:showLegendKey val="0"/>
          <c:showVal val="0"/>
          <c:showCatName val="0"/>
          <c:showSerName val="0"/>
          <c:showPercent val="0"/>
          <c:showBubbleSize val="0"/>
        </c:dLbls>
        <c:marker val="1"/>
        <c:smooth val="0"/>
        <c:axId val="715196063"/>
        <c:axId val="715189823"/>
      </c:lineChart>
      <c:catAx>
        <c:axId val="715196063"/>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15189823"/>
        <c:crosses val="autoZero"/>
        <c:auto val="1"/>
        <c:lblAlgn val="ctr"/>
        <c:lblOffset val="100"/>
        <c:noMultiLvlLbl val="0"/>
      </c:catAx>
      <c:valAx>
        <c:axId val="715189823"/>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15196063"/>
        <c:crosses val="autoZero"/>
        <c:crossBetween val="between"/>
      </c:valAx>
      <c:valAx>
        <c:axId val="715201471"/>
        <c:scaling>
          <c:orientation val="minMax"/>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15204799"/>
        <c:crosses val="max"/>
        <c:crossBetween val="between"/>
      </c:valAx>
      <c:catAx>
        <c:axId val="715204799"/>
        <c:scaling>
          <c:orientation val="minMax"/>
        </c:scaling>
        <c:delete val="1"/>
        <c:axPos val="b"/>
        <c:majorTickMark val="out"/>
        <c:minorTickMark val="none"/>
        <c:tickLblPos val="nextTo"/>
        <c:crossAx val="715201471"/>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Analysis!$C$180</c:f>
              <c:strCache>
                <c:ptCount val="1"/>
                <c:pt idx="0">
                  <c:v>9m 20</c:v>
                </c:pt>
              </c:strCache>
            </c:strRef>
          </c:tx>
          <c:spPr>
            <a:solidFill>
              <a:srgbClr val="000080"/>
            </a:solidFill>
            <a:ln w="25400">
              <a:noFill/>
            </a:ln>
            <a:effectLst/>
          </c:spPr>
          <c:invertIfNegative val="0"/>
          <c:cat>
            <c:strRef>
              <c:f>Analysis!$B$181:$B$182</c:f>
              <c:strCache>
                <c:ptCount val="2"/>
                <c:pt idx="0">
                  <c:v>Nubank</c:v>
                </c:pt>
                <c:pt idx="1">
                  <c:v>Inter</c:v>
                </c:pt>
              </c:strCache>
            </c:strRef>
          </c:cat>
          <c:val>
            <c:numRef>
              <c:f>Analysis!$C$181:$C$182</c:f>
              <c:numCache>
                <c:formatCode>0.0</c:formatCode>
                <c:ptCount val="2"/>
                <c:pt idx="0">
                  <c:v>17.544</c:v>
                </c:pt>
                <c:pt idx="1">
                  <c:v>23.19</c:v>
                </c:pt>
              </c:numCache>
            </c:numRef>
          </c:val>
          <c:extLst>
            <c:ext xmlns:c16="http://schemas.microsoft.com/office/drawing/2014/chart" uri="{C3380CC4-5D6E-409C-BE32-E72D297353CC}">
              <c16:uniqueId val="{00000000-23DE-41A0-8A09-1BFAD902C243}"/>
            </c:ext>
          </c:extLst>
        </c:ser>
        <c:ser>
          <c:idx val="1"/>
          <c:order val="1"/>
          <c:tx>
            <c:strRef>
              <c:f>Analysis!$D$180</c:f>
              <c:strCache>
                <c:ptCount val="1"/>
                <c:pt idx="0">
                  <c:v>9m 21</c:v>
                </c:pt>
              </c:strCache>
            </c:strRef>
          </c:tx>
          <c:spPr>
            <a:solidFill>
              <a:srgbClr val="9999FF"/>
            </a:solidFill>
            <a:ln w="25400">
              <a:noFill/>
            </a:ln>
            <a:effectLst/>
          </c:spPr>
          <c:invertIfNegative val="0"/>
          <c:cat>
            <c:strRef>
              <c:f>Analysis!$B$181:$B$182</c:f>
              <c:strCache>
                <c:ptCount val="2"/>
                <c:pt idx="0">
                  <c:v>Nubank</c:v>
                </c:pt>
                <c:pt idx="1">
                  <c:v>Inter</c:v>
                </c:pt>
              </c:strCache>
            </c:strRef>
          </c:cat>
          <c:val>
            <c:numRef>
              <c:f>Analysis!$D$181:$D$182</c:f>
              <c:numCache>
                <c:formatCode>0.0</c:formatCode>
                <c:ptCount val="2"/>
                <c:pt idx="0">
                  <c:v>26.745000000000001</c:v>
                </c:pt>
                <c:pt idx="1">
                  <c:v>28.57</c:v>
                </c:pt>
              </c:numCache>
            </c:numRef>
          </c:val>
          <c:extLst>
            <c:ext xmlns:c16="http://schemas.microsoft.com/office/drawing/2014/chart" uri="{C3380CC4-5D6E-409C-BE32-E72D297353CC}">
              <c16:uniqueId val="{00000001-23DE-41A0-8A09-1BFAD902C243}"/>
            </c:ext>
          </c:extLst>
        </c:ser>
        <c:dLbls>
          <c:showLegendKey val="0"/>
          <c:showVal val="0"/>
          <c:showCatName val="0"/>
          <c:showSerName val="0"/>
          <c:showPercent val="0"/>
          <c:showBubbleSize val="0"/>
        </c:dLbls>
        <c:gapWidth val="219"/>
        <c:overlap val="-27"/>
        <c:axId val="1021041855"/>
        <c:axId val="1021026463"/>
      </c:barChart>
      <c:catAx>
        <c:axId val="1021041855"/>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021026463"/>
        <c:crosses val="autoZero"/>
        <c:auto val="1"/>
        <c:lblAlgn val="ctr"/>
        <c:lblOffset val="100"/>
        <c:noMultiLvlLbl val="0"/>
      </c:catAx>
      <c:valAx>
        <c:axId val="1021026463"/>
        <c:scaling>
          <c:orientation val="minMax"/>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021041855"/>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Analysis!$C$226</c:f>
              <c:strCache>
                <c:ptCount val="1"/>
                <c:pt idx="0">
                  <c:v>2019</c:v>
                </c:pt>
              </c:strCache>
            </c:strRef>
          </c:tx>
          <c:spPr>
            <a:solidFill>
              <a:srgbClr val="000080"/>
            </a:solidFill>
            <a:ln w="25400">
              <a:noFill/>
            </a:ln>
            <a:effectLst/>
          </c:spPr>
          <c:invertIfNegative val="0"/>
          <c:cat>
            <c:strRef>
              <c:f>Analysis!$B$227:$B$233</c:f>
              <c:strCache>
                <c:ptCount val="7"/>
                <c:pt idx="0">
                  <c:v>Nubank cc receivables</c:v>
                </c:pt>
                <c:pt idx="1">
                  <c:v>Nubank personal loans</c:v>
                </c:pt>
                <c:pt idx="2">
                  <c:v>Inter</c:v>
                </c:pt>
                <c:pt idx="3">
                  <c:v>MercadoLibre</c:v>
                </c:pt>
                <c:pt idx="4">
                  <c:v>Pagbank</c:v>
                </c:pt>
                <c:pt idx="5">
                  <c:v>Stone</c:v>
                </c:pt>
                <c:pt idx="6">
                  <c:v>PicPay</c:v>
                </c:pt>
              </c:strCache>
            </c:strRef>
          </c:cat>
          <c:val>
            <c:numRef>
              <c:f>Analysis!$C$227:$C$233</c:f>
              <c:numCache>
                <c:formatCode>#,##0</c:formatCode>
                <c:ptCount val="7"/>
                <c:pt idx="0">
                  <c:v>11229.595000000001</c:v>
                </c:pt>
                <c:pt idx="1">
                  <c:v>233.74</c:v>
                </c:pt>
                <c:pt idx="2">
                  <c:v>5063.3999999999996</c:v>
                </c:pt>
                <c:pt idx="3">
                  <c:v>1084.71</c:v>
                </c:pt>
                <c:pt idx="4">
                  <c:v>376</c:v>
                </c:pt>
                <c:pt idx="5">
                  <c:v>166</c:v>
                </c:pt>
              </c:numCache>
            </c:numRef>
          </c:val>
          <c:extLst>
            <c:ext xmlns:c16="http://schemas.microsoft.com/office/drawing/2014/chart" uri="{C3380CC4-5D6E-409C-BE32-E72D297353CC}">
              <c16:uniqueId val="{00000000-831E-4BAB-B1DF-8B4695107A7A}"/>
            </c:ext>
          </c:extLst>
        </c:ser>
        <c:ser>
          <c:idx val="1"/>
          <c:order val="1"/>
          <c:tx>
            <c:strRef>
              <c:f>Analysis!$D$226</c:f>
              <c:strCache>
                <c:ptCount val="1"/>
                <c:pt idx="0">
                  <c:v>2020</c:v>
                </c:pt>
              </c:strCache>
            </c:strRef>
          </c:tx>
          <c:spPr>
            <a:solidFill>
              <a:srgbClr val="9999FF"/>
            </a:solidFill>
            <a:ln w="25400">
              <a:noFill/>
            </a:ln>
            <a:effectLst/>
          </c:spPr>
          <c:invertIfNegative val="0"/>
          <c:cat>
            <c:strRef>
              <c:f>Analysis!$B$227:$B$233</c:f>
              <c:strCache>
                <c:ptCount val="7"/>
                <c:pt idx="0">
                  <c:v>Nubank cc receivables</c:v>
                </c:pt>
                <c:pt idx="1">
                  <c:v>Nubank personal loans</c:v>
                </c:pt>
                <c:pt idx="2">
                  <c:v>Inter</c:v>
                </c:pt>
                <c:pt idx="3">
                  <c:v>MercadoLibre</c:v>
                </c:pt>
                <c:pt idx="4">
                  <c:v>Pagbank</c:v>
                </c:pt>
                <c:pt idx="5">
                  <c:v>Stone</c:v>
                </c:pt>
                <c:pt idx="6">
                  <c:v>PicPay</c:v>
                </c:pt>
              </c:strCache>
            </c:strRef>
          </c:cat>
          <c:val>
            <c:numRef>
              <c:f>Analysis!$D$227:$D$233</c:f>
              <c:numCache>
                <c:formatCode>#,##0</c:formatCode>
                <c:ptCount val="7"/>
                <c:pt idx="0">
                  <c:v>15097.191000000001</c:v>
                </c:pt>
                <c:pt idx="1">
                  <c:v>906.69299999999998</c:v>
                </c:pt>
                <c:pt idx="2">
                  <c:v>9448.9</c:v>
                </c:pt>
                <c:pt idx="3">
                  <c:v>2486.0100000000002</c:v>
                </c:pt>
                <c:pt idx="4">
                  <c:v>612</c:v>
                </c:pt>
                <c:pt idx="5">
                  <c:v>1514</c:v>
                </c:pt>
              </c:numCache>
            </c:numRef>
          </c:val>
          <c:extLst>
            <c:ext xmlns:c16="http://schemas.microsoft.com/office/drawing/2014/chart" uri="{C3380CC4-5D6E-409C-BE32-E72D297353CC}">
              <c16:uniqueId val="{00000001-831E-4BAB-B1DF-8B4695107A7A}"/>
            </c:ext>
          </c:extLst>
        </c:ser>
        <c:ser>
          <c:idx val="2"/>
          <c:order val="2"/>
          <c:tx>
            <c:strRef>
              <c:f>Analysis!$E$226</c:f>
              <c:strCache>
                <c:ptCount val="1"/>
                <c:pt idx="0">
                  <c:v>9m 2021</c:v>
                </c:pt>
              </c:strCache>
            </c:strRef>
          </c:tx>
          <c:spPr>
            <a:solidFill>
              <a:srgbClr val="3366FF"/>
            </a:solidFill>
            <a:ln w="25400">
              <a:noFill/>
            </a:ln>
            <a:effectLst/>
          </c:spPr>
          <c:invertIfNegative val="0"/>
          <c:cat>
            <c:strRef>
              <c:f>Analysis!$B$227:$B$233</c:f>
              <c:strCache>
                <c:ptCount val="7"/>
                <c:pt idx="0">
                  <c:v>Nubank cc receivables</c:v>
                </c:pt>
                <c:pt idx="1">
                  <c:v>Nubank personal loans</c:v>
                </c:pt>
                <c:pt idx="2">
                  <c:v>Inter</c:v>
                </c:pt>
                <c:pt idx="3">
                  <c:v>MercadoLibre</c:v>
                </c:pt>
                <c:pt idx="4">
                  <c:v>Pagbank</c:v>
                </c:pt>
                <c:pt idx="5">
                  <c:v>Stone</c:v>
                </c:pt>
                <c:pt idx="6">
                  <c:v>PicPay</c:v>
                </c:pt>
              </c:strCache>
            </c:strRef>
          </c:cat>
          <c:val>
            <c:numRef>
              <c:f>Analysis!$E$227:$E$233</c:f>
              <c:numCache>
                <c:formatCode>#,##0</c:formatCode>
                <c:ptCount val="7"/>
                <c:pt idx="0">
                  <c:v>22097.280000000002</c:v>
                </c:pt>
                <c:pt idx="1">
                  <c:v>4313.92</c:v>
                </c:pt>
                <c:pt idx="2">
                  <c:v>15893</c:v>
                </c:pt>
                <c:pt idx="3">
                  <c:v>6130.88</c:v>
                </c:pt>
                <c:pt idx="4">
                  <c:v>1600</c:v>
                </c:pt>
                <c:pt idx="5">
                  <c:v>1591</c:v>
                </c:pt>
                <c:pt idx="6">
                  <c:v>560.9</c:v>
                </c:pt>
              </c:numCache>
            </c:numRef>
          </c:val>
          <c:extLst>
            <c:ext xmlns:c16="http://schemas.microsoft.com/office/drawing/2014/chart" uri="{C3380CC4-5D6E-409C-BE32-E72D297353CC}">
              <c16:uniqueId val="{00000002-831E-4BAB-B1DF-8B4695107A7A}"/>
            </c:ext>
          </c:extLst>
        </c:ser>
        <c:dLbls>
          <c:showLegendKey val="0"/>
          <c:showVal val="0"/>
          <c:showCatName val="0"/>
          <c:showSerName val="0"/>
          <c:showPercent val="0"/>
          <c:showBubbleSize val="0"/>
        </c:dLbls>
        <c:gapWidth val="219"/>
        <c:overlap val="-27"/>
        <c:axId val="2141586735"/>
        <c:axId val="2141587151"/>
      </c:barChart>
      <c:catAx>
        <c:axId val="2141586735"/>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2141587151"/>
        <c:crosses val="autoZero"/>
        <c:auto val="1"/>
        <c:lblAlgn val="ctr"/>
        <c:lblOffset val="100"/>
        <c:noMultiLvlLbl val="0"/>
      </c:catAx>
      <c:valAx>
        <c:axId val="2141587151"/>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2141586735"/>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Analysis!$B$269</c:f>
              <c:strCache>
                <c:ptCount val="1"/>
                <c:pt idx="0">
                  <c:v>ARPU, $</c:v>
                </c:pt>
              </c:strCache>
            </c:strRef>
          </c:tx>
          <c:spPr>
            <a:solidFill>
              <a:srgbClr val="000080"/>
            </a:solidFill>
            <a:ln w="25400">
              <a:noFill/>
            </a:ln>
            <a:effectLst/>
          </c:spPr>
          <c:invertIfNegative val="0"/>
          <c:cat>
            <c:numRef>
              <c:f>Analysis!$C$265:$J$265</c:f>
              <c:numCache>
                <c:formatCode>General</c:formatCode>
                <c:ptCount val="8"/>
                <c:pt idx="0">
                  <c:v>2021</c:v>
                </c:pt>
                <c:pt idx="1">
                  <c:v>2022</c:v>
                </c:pt>
                <c:pt idx="2">
                  <c:v>2023</c:v>
                </c:pt>
                <c:pt idx="3">
                  <c:v>2024</c:v>
                </c:pt>
                <c:pt idx="4">
                  <c:v>2025</c:v>
                </c:pt>
                <c:pt idx="5">
                  <c:v>2026</c:v>
                </c:pt>
                <c:pt idx="6">
                  <c:v>2027</c:v>
                </c:pt>
                <c:pt idx="7">
                  <c:v>2028</c:v>
                </c:pt>
              </c:numCache>
            </c:numRef>
          </c:cat>
          <c:val>
            <c:numRef>
              <c:f>Analysis!$C$269:$J$269</c:f>
              <c:numCache>
                <c:formatCode>General</c:formatCode>
                <c:ptCount val="8"/>
                <c:pt idx="0">
                  <c:v>0</c:v>
                </c:pt>
                <c:pt idx="1">
                  <c:v>6</c:v>
                </c:pt>
                <c:pt idx="2">
                  <c:v>7</c:v>
                </c:pt>
                <c:pt idx="3">
                  <c:v>8</c:v>
                </c:pt>
                <c:pt idx="4">
                  <c:v>9</c:v>
                </c:pt>
                <c:pt idx="5">
                  <c:v>10</c:v>
                </c:pt>
                <c:pt idx="6">
                  <c:v>11</c:v>
                </c:pt>
                <c:pt idx="7">
                  <c:v>12</c:v>
                </c:pt>
              </c:numCache>
            </c:numRef>
          </c:val>
          <c:extLst>
            <c:ext xmlns:c16="http://schemas.microsoft.com/office/drawing/2014/chart" uri="{C3380CC4-5D6E-409C-BE32-E72D297353CC}">
              <c16:uniqueId val="{00000001-DA6C-43CA-A06C-57E7A39DBDC4}"/>
            </c:ext>
          </c:extLst>
        </c:ser>
        <c:dLbls>
          <c:showLegendKey val="0"/>
          <c:showVal val="0"/>
          <c:showCatName val="0"/>
          <c:showSerName val="0"/>
          <c:showPercent val="0"/>
          <c:showBubbleSize val="0"/>
        </c:dLbls>
        <c:gapWidth val="150"/>
        <c:axId val="1208283920"/>
        <c:axId val="1208290160"/>
      </c:barChart>
      <c:lineChart>
        <c:grouping val="standard"/>
        <c:varyColors val="0"/>
        <c:ser>
          <c:idx val="0"/>
          <c:order val="0"/>
          <c:tx>
            <c:strRef>
              <c:f>Analysis!$B$268</c:f>
              <c:strCache>
                <c:ptCount val="1"/>
                <c:pt idx="0">
                  <c:v>Insurance as % Active</c:v>
                </c:pt>
              </c:strCache>
            </c:strRef>
          </c:tx>
          <c:spPr>
            <a:ln w="25400" cap="rnd">
              <a:solidFill>
                <a:srgbClr val="9999FF"/>
              </a:solidFill>
              <a:prstDash val="solid"/>
              <a:round/>
            </a:ln>
            <a:effectLst/>
          </c:spPr>
          <c:marker>
            <c:symbol val="none"/>
          </c:marker>
          <c:cat>
            <c:numRef>
              <c:f>Analysis!$C$265:$J$265</c:f>
              <c:numCache>
                <c:formatCode>General</c:formatCode>
                <c:ptCount val="8"/>
                <c:pt idx="0">
                  <c:v>2021</c:v>
                </c:pt>
                <c:pt idx="1">
                  <c:v>2022</c:v>
                </c:pt>
                <c:pt idx="2">
                  <c:v>2023</c:v>
                </c:pt>
                <c:pt idx="3">
                  <c:v>2024</c:v>
                </c:pt>
                <c:pt idx="4">
                  <c:v>2025</c:v>
                </c:pt>
                <c:pt idx="5">
                  <c:v>2026</c:v>
                </c:pt>
                <c:pt idx="6">
                  <c:v>2027</c:v>
                </c:pt>
                <c:pt idx="7">
                  <c:v>2028</c:v>
                </c:pt>
              </c:numCache>
            </c:numRef>
          </c:cat>
          <c:val>
            <c:numRef>
              <c:f>Analysis!$C$268:$J$268</c:f>
              <c:numCache>
                <c:formatCode>0.0%</c:formatCode>
                <c:ptCount val="8"/>
                <c:pt idx="0">
                  <c:v>3.0000000000000002E-2</c:v>
                </c:pt>
                <c:pt idx="1">
                  <c:v>7.0000000000000007E-2</c:v>
                </c:pt>
                <c:pt idx="2">
                  <c:v>0.08</c:v>
                </c:pt>
                <c:pt idx="3">
                  <c:v>0.1</c:v>
                </c:pt>
                <c:pt idx="4">
                  <c:v>0.12</c:v>
                </c:pt>
                <c:pt idx="5">
                  <c:v>0.13</c:v>
                </c:pt>
                <c:pt idx="6">
                  <c:v>0.14000000000000001</c:v>
                </c:pt>
                <c:pt idx="7">
                  <c:v>0.15000000000000002</c:v>
                </c:pt>
              </c:numCache>
            </c:numRef>
          </c:val>
          <c:smooth val="0"/>
          <c:extLst>
            <c:ext xmlns:c16="http://schemas.microsoft.com/office/drawing/2014/chart" uri="{C3380CC4-5D6E-409C-BE32-E72D297353CC}">
              <c16:uniqueId val="{00000000-DA6C-43CA-A06C-57E7A39DBDC4}"/>
            </c:ext>
          </c:extLst>
        </c:ser>
        <c:dLbls>
          <c:showLegendKey val="0"/>
          <c:showVal val="0"/>
          <c:showCatName val="0"/>
          <c:showSerName val="0"/>
          <c:showPercent val="0"/>
          <c:showBubbleSize val="0"/>
        </c:dLbls>
        <c:marker val="1"/>
        <c:smooth val="0"/>
        <c:axId val="1208347152"/>
        <c:axId val="1208310544"/>
      </c:lineChart>
      <c:catAx>
        <c:axId val="1208283920"/>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08290160"/>
        <c:crosses val="autoZero"/>
        <c:auto val="1"/>
        <c:lblAlgn val="ctr"/>
        <c:lblOffset val="100"/>
        <c:noMultiLvlLbl val="0"/>
      </c:catAx>
      <c:valAx>
        <c:axId val="1208290160"/>
        <c:scaling>
          <c:orientation val="minMax"/>
        </c:scaling>
        <c:delete val="0"/>
        <c:axPos val="l"/>
        <c:majorGridlines>
          <c:spPr>
            <a:ln w="3175" cap="flat" cmpd="sng" algn="ctr">
              <a:solidFill>
                <a:srgbClr val="C0C0C0"/>
              </a:solidFill>
              <a:prstDash val="solid"/>
              <a:round/>
            </a:ln>
            <a:effectLst/>
          </c:spPr>
        </c:majorGridlines>
        <c:numFmt formatCode="General"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08283920"/>
        <c:crosses val="autoZero"/>
        <c:crossBetween val="between"/>
      </c:valAx>
      <c:valAx>
        <c:axId val="120831054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08347152"/>
        <c:crosses val="max"/>
        <c:crossBetween val="between"/>
      </c:valAx>
      <c:catAx>
        <c:axId val="1208347152"/>
        <c:scaling>
          <c:orientation val="minMax"/>
        </c:scaling>
        <c:delete val="1"/>
        <c:axPos val="b"/>
        <c:numFmt formatCode="General" sourceLinked="1"/>
        <c:majorTickMark val="out"/>
        <c:minorTickMark val="none"/>
        <c:tickLblPos val="nextTo"/>
        <c:crossAx val="1208310544"/>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Analysis!$B$273</c:f>
              <c:strCache>
                <c:ptCount val="1"/>
                <c:pt idx="0">
                  <c:v>GMV/sub, $</c:v>
                </c:pt>
              </c:strCache>
            </c:strRef>
          </c:tx>
          <c:spPr>
            <a:solidFill>
              <a:srgbClr val="000080"/>
            </a:solidFill>
            <a:ln w="25400">
              <a:noFill/>
            </a:ln>
            <a:effectLst/>
          </c:spPr>
          <c:invertIfNegative val="0"/>
          <c:cat>
            <c:numRef>
              <c:f>Analysis!$C$265:$J$265</c:f>
              <c:numCache>
                <c:formatCode>General</c:formatCode>
                <c:ptCount val="8"/>
                <c:pt idx="0">
                  <c:v>2021</c:v>
                </c:pt>
                <c:pt idx="1">
                  <c:v>2022</c:v>
                </c:pt>
                <c:pt idx="2">
                  <c:v>2023</c:v>
                </c:pt>
                <c:pt idx="3">
                  <c:v>2024</c:v>
                </c:pt>
                <c:pt idx="4">
                  <c:v>2025</c:v>
                </c:pt>
                <c:pt idx="5">
                  <c:v>2026</c:v>
                </c:pt>
                <c:pt idx="6">
                  <c:v>2027</c:v>
                </c:pt>
                <c:pt idx="7">
                  <c:v>2028</c:v>
                </c:pt>
              </c:numCache>
            </c:numRef>
          </c:cat>
          <c:val>
            <c:numRef>
              <c:f>Analysis!$C$273:$J$273</c:f>
              <c:numCache>
                <c:formatCode>0</c:formatCode>
                <c:ptCount val="8"/>
                <c:pt idx="0">
                  <c:v>233.89428423159612</c:v>
                </c:pt>
                <c:pt idx="1">
                  <c:v>244.5736434108527</c:v>
                </c:pt>
                <c:pt idx="2">
                  <c:v>251.64506480558327</c:v>
                </c:pt>
                <c:pt idx="3">
                  <c:v>251.45067698259189</c:v>
                </c:pt>
                <c:pt idx="4">
                  <c:v>257.93650793650795</c:v>
                </c:pt>
                <c:pt idx="5">
                  <c:v>251.45067698259189</c:v>
                </c:pt>
                <c:pt idx="6">
                  <c:v>251.45067698259189</c:v>
                </c:pt>
                <c:pt idx="7">
                  <c:v>251.45067698259189</c:v>
                </c:pt>
              </c:numCache>
            </c:numRef>
          </c:val>
          <c:extLst>
            <c:ext xmlns:c16="http://schemas.microsoft.com/office/drawing/2014/chart" uri="{C3380CC4-5D6E-409C-BE32-E72D297353CC}">
              <c16:uniqueId val="{00000000-551A-4433-AAB7-BB436AA3D9F0}"/>
            </c:ext>
          </c:extLst>
        </c:ser>
        <c:dLbls>
          <c:showLegendKey val="0"/>
          <c:showVal val="0"/>
          <c:showCatName val="0"/>
          <c:showSerName val="0"/>
          <c:showPercent val="0"/>
          <c:showBubbleSize val="0"/>
        </c:dLbls>
        <c:gapWidth val="150"/>
        <c:axId val="1208283920"/>
        <c:axId val="1208290160"/>
      </c:barChart>
      <c:lineChart>
        <c:grouping val="standard"/>
        <c:varyColors val="0"/>
        <c:ser>
          <c:idx val="0"/>
          <c:order val="0"/>
          <c:tx>
            <c:strRef>
              <c:f>Analysis!$B$272</c:f>
              <c:strCache>
                <c:ptCount val="1"/>
                <c:pt idx="0">
                  <c:v>Marketplace as % Active</c:v>
                </c:pt>
              </c:strCache>
            </c:strRef>
          </c:tx>
          <c:spPr>
            <a:ln w="25400" cap="rnd">
              <a:solidFill>
                <a:srgbClr val="9999FF"/>
              </a:solidFill>
              <a:prstDash val="solid"/>
              <a:round/>
            </a:ln>
            <a:effectLst/>
          </c:spPr>
          <c:marker>
            <c:symbol val="none"/>
          </c:marker>
          <c:cat>
            <c:numRef>
              <c:f>Analysis!$C$265:$J$265</c:f>
              <c:numCache>
                <c:formatCode>General</c:formatCode>
                <c:ptCount val="8"/>
                <c:pt idx="0">
                  <c:v>2021</c:v>
                </c:pt>
                <c:pt idx="1">
                  <c:v>2022</c:v>
                </c:pt>
                <c:pt idx="2">
                  <c:v>2023</c:v>
                </c:pt>
                <c:pt idx="3">
                  <c:v>2024</c:v>
                </c:pt>
                <c:pt idx="4">
                  <c:v>2025</c:v>
                </c:pt>
                <c:pt idx="5">
                  <c:v>2026</c:v>
                </c:pt>
                <c:pt idx="6">
                  <c:v>2027</c:v>
                </c:pt>
                <c:pt idx="7">
                  <c:v>2028</c:v>
                </c:pt>
              </c:numCache>
            </c:numRef>
          </c:cat>
          <c:val>
            <c:numRef>
              <c:f>Analysis!$C$272:$J$272</c:f>
              <c:numCache>
                <c:formatCode>0.0%</c:formatCode>
                <c:ptCount val="8"/>
                <c:pt idx="0">
                  <c:v>0</c:v>
                </c:pt>
                <c:pt idx="1">
                  <c:v>0.04</c:v>
                </c:pt>
                <c:pt idx="2">
                  <c:v>0.06</c:v>
                </c:pt>
                <c:pt idx="3">
                  <c:v>7.0000000000000007E-2</c:v>
                </c:pt>
                <c:pt idx="4">
                  <c:v>0.08</c:v>
                </c:pt>
                <c:pt idx="5">
                  <c:v>0.09</c:v>
                </c:pt>
                <c:pt idx="6">
                  <c:v>0.1</c:v>
                </c:pt>
                <c:pt idx="7">
                  <c:v>0.1</c:v>
                </c:pt>
              </c:numCache>
            </c:numRef>
          </c:val>
          <c:smooth val="0"/>
          <c:extLst>
            <c:ext xmlns:c16="http://schemas.microsoft.com/office/drawing/2014/chart" uri="{C3380CC4-5D6E-409C-BE32-E72D297353CC}">
              <c16:uniqueId val="{00000001-551A-4433-AAB7-BB436AA3D9F0}"/>
            </c:ext>
          </c:extLst>
        </c:ser>
        <c:dLbls>
          <c:showLegendKey val="0"/>
          <c:showVal val="0"/>
          <c:showCatName val="0"/>
          <c:showSerName val="0"/>
          <c:showPercent val="0"/>
          <c:showBubbleSize val="0"/>
        </c:dLbls>
        <c:marker val="1"/>
        <c:smooth val="0"/>
        <c:axId val="1208347152"/>
        <c:axId val="1208310544"/>
      </c:lineChart>
      <c:catAx>
        <c:axId val="1208283920"/>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08290160"/>
        <c:crosses val="autoZero"/>
        <c:auto val="1"/>
        <c:lblAlgn val="ctr"/>
        <c:lblOffset val="100"/>
        <c:noMultiLvlLbl val="0"/>
      </c:catAx>
      <c:valAx>
        <c:axId val="1208290160"/>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08283920"/>
        <c:crosses val="autoZero"/>
        <c:crossBetween val="between"/>
      </c:valAx>
      <c:valAx>
        <c:axId val="1208310544"/>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208347152"/>
        <c:crosses val="max"/>
        <c:crossBetween val="between"/>
      </c:valAx>
      <c:catAx>
        <c:axId val="1208347152"/>
        <c:scaling>
          <c:orientation val="minMax"/>
        </c:scaling>
        <c:delete val="1"/>
        <c:axPos val="b"/>
        <c:numFmt formatCode="General" sourceLinked="1"/>
        <c:majorTickMark val="out"/>
        <c:minorTickMark val="none"/>
        <c:tickLblPos val="nextTo"/>
        <c:crossAx val="1208310544"/>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Analysis!$B$298</c:f>
              <c:strCache>
                <c:ptCount val="1"/>
                <c:pt idx="0">
                  <c:v>Nubank</c:v>
                </c:pt>
              </c:strCache>
            </c:strRef>
          </c:tx>
          <c:spPr>
            <a:ln w="25400" cap="rnd">
              <a:solidFill>
                <a:srgbClr val="333399"/>
              </a:solidFill>
              <a:prstDash val="solid"/>
              <a:round/>
            </a:ln>
            <a:effectLst/>
          </c:spPr>
          <c:marker>
            <c:symbol val="none"/>
          </c:marker>
          <c:cat>
            <c:strRef>
              <c:f>Analysis!$C$297:$I$297</c:f>
              <c:strCache>
                <c:ptCount val="7"/>
                <c:pt idx="0">
                  <c:v>Q1 20</c:v>
                </c:pt>
                <c:pt idx="1">
                  <c:v>Q2 20</c:v>
                </c:pt>
                <c:pt idx="2">
                  <c:v>Q3 20</c:v>
                </c:pt>
                <c:pt idx="3">
                  <c:v>Q4 20</c:v>
                </c:pt>
                <c:pt idx="4">
                  <c:v>Q1 21</c:v>
                </c:pt>
                <c:pt idx="5">
                  <c:v>Q2 21</c:v>
                </c:pt>
                <c:pt idx="6">
                  <c:v>Q3 21</c:v>
                </c:pt>
              </c:strCache>
            </c:strRef>
          </c:cat>
          <c:val>
            <c:numRef>
              <c:f>Analysis!$C$298:$I$298</c:f>
              <c:numCache>
                <c:formatCode>0.0%</c:formatCode>
                <c:ptCount val="7"/>
                <c:pt idx="1">
                  <c:v>0.58718422674060389</c:v>
                </c:pt>
                <c:pt idx="2">
                  <c:v>0.43113388853299178</c:v>
                </c:pt>
                <c:pt idx="3">
                  <c:v>0.37759131293188558</c:v>
                </c:pt>
                <c:pt idx="4">
                  <c:v>0.47224489795918362</c:v>
                </c:pt>
                <c:pt idx="5">
                  <c:v>0.49509074680154724</c:v>
                </c:pt>
                <c:pt idx="6">
                  <c:v>0.4655853607818673</c:v>
                </c:pt>
              </c:numCache>
            </c:numRef>
          </c:val>
          <c:smooth val="0"/>
          <c:extLst>
            <c:ext xmlns:c16="http://schemas.microsoft.com/office/drawing/2014/chart" uri="{C3380CC4-5D6E-409C-BE32-E72D297353CC}">
              <c16:uniqueId val="{00000000-6300-460F-AB69-73BEB0C072B4}"/>
            </c:ext>
          </c:extLst>
        </c:ser>
        <c:ser>
          <c:idx val="1"/>
          <c:order val="1"/>
          <c:tx>
            <c:strRef>
              <c:f>Analysis!$B$299</c:f>
              <c:strCache>
                <c:ptCount val="1"/>
                <c:pt idx="0">
                  <c:v>Inter</c:v>
                </c:pt>
              </c:strCache>
            </c:strRef>
          </c:tx>
          <c:spPr>
            <a:ln w="25400" cap="rnd">
              <a:solidFill>
                <a:srgbClr val="99CCFF"/>
              </a:solidFill>
              <a:prstDash val="solid"/>
              <a:round/>
            </a:ln>
            <a:effectLst/>
          </c:spPr>
          <c:marker>
            <c:symbol val="none"/>
          </c:marker>
          <c:cat>
            <c:strRef>
              <c:f>Analysis!$C$297:$I$297</c:f>
              <c:strCache>
                <c:ptCount val="7"/>
                <c:pt idx="0">
                  <c:v>Q1 20</c:v>
                </c:pt>
                <c:pt idx="1">
                  <c:v>Q2 20</c:v>
                </c:pt>
                <c:pt idx="2">
                  <c:v>Q3 20</c:v>
                </c:pt>
                <c:pt idx="3">
                  <c:v>Q4 20</c:v>
                </c:pt>
                <c:pt idx="4">
                  <c:v>Q1 21</c:v>
                </c:pt>
                <c:pt idx="5">
                  <c:v>Q2 21</c:v>
                </c:pt>
                <c:pt idx="6">
                  <c:v>Q3 21</c:v>
                </c:pt>
              </c:strCache>
            </c:strRef>
          </c:cat>
          <c:val>
            <c:numRef>
              <c:f>Analysis!$C$299:$I$299</c:f>
              <c:numCache>
                <c:formatCode>0.0%</c:formatCode>
                <c:ptCount val="7"/>
                <c:pt idx="0">
                  <c:v>0.44740335697903821</c:v>
                </c:pt>
                <c:pt idx="1">
                  <c:v>0.600208171658562</c:v>
                </c:pt>
                <c:pt idx="2">
                  <c:v>0.61460790185216518</c:v>
                </c:pt>
                <c:pt idx="3">
                  <c:v>0.62040651377295619</c:v>
                </c:pt>
                <c:pt idx="4">
                  <c:v>0.5827472804931374</c:v>
                </c:pt>
                <c:pt idx="5">
                  <c:v>0.52471418970877748</c:v>
                </c:pt>
                <c:pt idx="6">
                  <c:v>0.49535877012596818</c:v>
                </c:pt>
              </c:numCache>
            </c:numRef>
          </c:val>
          <c:smooth val="0"/>
          <c:extLst>
            <c:ext xmlns:c16="http://schemas.microsoft.com/office/drawing/2014/chart" uri="{C3380CC4-5D6E-409C-BE32-E72D297353CC}">
              <c16:uniqueId val="{00000001-6300-460F-AB69-73BEB0C072B4}"/>
            </c:ext>
          </c:extLst>
        </c:ser>
        <c:dLbls>
          <c:showLegendKey val="0"/>
          <c:showVal val="0"/>
          <c:showCatName val="0"/>
          <c:showSerName val="0"/>
          <c:showPercent val="0"/>
          <c:showBubbleSize val="0"/>
        </c:dLbls>
        <c:smooth val="0"/>
        <c:axId val="763205424"/>
        <c:axId val="763210416"/>
      </c:lineChart>
      <c:catAx>
        <c:axId val="763205424"/>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63210416"/>
        <c:crosses val="autoZero"/>
        <c:auto val="1"/>
        <c:lblAlgn val="ctr"/>
        <c:lblOffset val="100"/>
        <c:noMultiLvlLbl val="0"/>
      </c:catAx>
      <c:valAx>
        <c:axId val="763210416"/>
        <c:scaling>
          <c:orientation val="minMax"/>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6320542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80"/>
            </a:solidFill>
            <a:ln w="25400">
              <a:noFill/>
            </a:ln>
            <a:effectLst/>
          </c:spPr>
          <c:invertIfNegative val="0"/>
          <c:dPt>
            <c:idx val="2"/>
            <c:invertIfNegative val="0"/>
            <c:bubble3D val="0"/>
            <c:spPr>
              <a:solidFill>
                <a:schemeClr val="accent1">
                  <a:lumMod val="20000"/>
                  <a:lumOff val="80000"/>
                </a:schemeClr>
              </a:solidFill>
              <a:ln w="25400">
                <a:solidFill>
                  <a:schemeClr val="bg1">
                    <a:lumMod val="50000"/>
                  </a:schemeClr>
                </a:solidFill>
              </a:ln>
              <a:effectLst/>
            </c:spPr>
            <c:extLst>
              <c:ext xmlns:c16="http://schemas.microsoft.com/office/drawing/2014/chart" uri="{C3380CC4-5D6E-409C-BE32-E72D297353CC}">
                <c16:uniqueId val="{00000002-F7AD-4331-9CF1-C06B7A9C4D96}"/>
              </c:ext>
            </c:extLst>
          </c:dPt>
          <c:dPt>
            <c:idx val="7"/>
            <c:invertIfNegative val="0"/>
            <c:bubble3D val="0"/>
            <c:spPr>
              <a:solidFill>
                <a:schemeClr val="accent1">
                  <a:lumMod val="20000"/>
                  <a:lumOff val="80000"/>
                </a:schemeClr>
              </a:solidFill>
              <a:ln w="25400">
                <a:solidFill>
                  <a:schemeClr val="bg1">
                    <a:lumMod val="50000"/>
                  </a:schemeClr>
                </a:solidFill>
              </a:ln>
              <a:effectLst/>
            </c:spPr>
            <c:extLst>
              <c:ext xmlns:c16="http://schemas.microsoft.com/office/drawing/2014/chart" uri="{C3380CC4-5D6E-409C-BE32-E72D297353CC}">
                <c16:uniqueId val="{00000003-F7AD-4331-9CF1-C06B7A9C4D96}"/>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Analysis!$C$320:$C$327</c:f>
              <c:strCache>
                <c:ptCount val="8"/>
                <c:pt idx="0">
                  <c:v>Nu credit cards</c:v>
                </c:pt>
                <c:pt idx="1">
                  <c:v>Nu personal loans</c:v>
                </c:pt>
                <c:pt idx="2">
                  <c:v>Nu Group</c:v>
                </c:pt>
                <c:pt idx="4">
                  <c:v>Inter Payroll</c:v>
                </c:pt>
                <c:pt idx="5">
                  <c:v>Inter Real estate</c:v>
                </c:pt>
                <c:pt idx="6">
                  <c:v>Inter SME</c:v>
                </c:pt>
                <c:pt idx="7">
                  <c:v>Inter Group*</c:v>
                </c:pt>
              </c:strCache>
            </c:strRef>
          </c:cat>
          <c:val>
            <c:numRef>
              <c:f>Analysis!$D$320:$D$327</c:f>
              <c:numCache>
                <c:formatCode>0%</c:formatCode>
                <c:ptCount val="8"/>
                <c:pt idx="0">
                  <c:v>0.70025008931761346</c:v>
                </c:pt>
                <c:pt idx="1">
                  <c:v>0.44398483281627027</c:v>
                </c:pt>
                <c:pt idx="2">
                  <c:v>0.56982456140350879</c:v>
                </c:pt>
                <c:pt idx="4">
                  <c:v>0.23899999999999999</c:v>
                </c:pt>
                <c:pt idx="5">
                  <c:v>0.13400000000000001</c:v>
                </c:pt>
                <c:pt idx="6">
                  <c:v>5.0999999999999997E-2</c:v>
                </c:pt>
                <c:pt idx="7">
                  <c:v>0.182</c:v>
                </c:pt>
              </c:numCache>
            </c:numRef>
          </c:val>
          <c:extLst>
            <c:ext xmlns:c16="http://schemas.microsoft.com/office/drawing/2014/chart" uri="{C3380CC4-5D6E-409C-BE32-E72D297353CC}">
              <c16:uniqueId val="{00000000-F7AD-4331-9CF1-C06B7A9C4D96}"/>
            </c:ext>
          </c:extLst>
        </c:ser>
        <c:dLbls>
          <c:showLegendKey val="0"/>
          <c:showVal val="0"/>
          <c:showCatName val="0"/>
          <c:showSerName val="0"/>
          <c:showPercent val="0"/>
          <c:showBubbleSize val="0"/>
        </c:dLbls>
        <c:gapWidth val="219"/>
        <c:overlap val="-27"/>
        <c:axId val="328687263"/>
        <c:axId val="328680607"/>
      </c:barChart>
      <c:catAx>
        <c:axId val="328687263"/>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328680607"/>
        <c:crosses val="autoZero"/>
        <c:auto val="1"/>
        <c:lblAlgn val="ctr"/>
        <c:lblOffset val="100"/>
        <c:noMultiLvlLbl val="0"/>
      </c:catAx>
      <c:valAx>
        <c:axId val="328680607"/>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328687263"/>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80"/>
            </a:solidFill>
            <a:ln w="25400">
              <a:noFill/>
            </a:ln>
            <a:effectLst/>
          </c:spPr>
          <c:invertIfNegative val="0"/>
          <c:cat>
            <c:strRef>
              <c:f>Analysis!$P$179:$P$181</c:f>
              <c:strCache>
                <c:ptCount val="3"/>
                <c:pt idx="0">
                  <c:v>Credit cards</c:v>
                </c:pt>
                <c:pt idx="1">
                  <c:v>Personal loans</c:v>
                </c:pt>
                <c:pt idx="2">
                  <c:v>Blended</c:v>
                </c:pt>
              </c:strCache>
            </c:strRef>
          </c:cat>
          <c:val>
            <c:numRef>
              <c:f>Analysis!$Q$179:$Q$181</c:f>
              <c:numCache>
                <c:formatCode>0</c:formatCode>
                <c:ptCount val="3"/>
              </c:numCache>
            </c:numRef>
          </c:val>
          <c:extLst>
            <c:ext xmlns:c16="http://schemas.microsoft.com/office/drawing/2014/chart" uri="{C3380CC4-5D6E-409C-BE32-E72D297353CC}">
              <c16:uniqueId val="{00000000-5182-4B5D-98E7-7304DA9F72D3}"/>
            </c:ext>
          </c:extLst>
        </c:ser>
        <c:ser>
          <c:idx val="1"/>
          <c:order val="1"/>
          <c:spPr>
            <a:solidFill>
              <a:srgbClr val="333399"/>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Analysis!$P$179:$P$181</c:f>
              <c:strCache>
                <c:ptCount val="3"/>
                <c:pt idx="0">
                  <c:v>Credit cards</c:v>
                </c:pt>
                <c:pt idx="1">
                  <c:v>Personal loans</c:v>
                </c:pt>
                <c:pt idx="2">
                  <c:v>Blended</c:v>
                </c:pt>
              </c:strCache>
            </c:strRef>
          </c:cat>
          <c:val>
            <c:numRef>
              <c:f>Analysis!$R$179:$R$181</c:f>
              <c:numCache>
                <c:formatCode>0.0%</c:formatCode>
                <c:ptCount val="3"/>
                <c:pt idx="0">
                  <c:v>8.7263531412645201E-2</c:v>
                </c:pt>
                <c:pt idx="1">
                  <c:v>0.38892411752272243</c:v>
                </c:pt>
                <c:pt idx="2">
                  <c:v>0.12602629169188748</c:v>
                </c:pt>
              </c:numCache>
            </c:numRef>
          </c:val>
          <c:extLst>
            <c:ext xmlns:c16="http://schemas.microsoft.com/office/drawing/2014/chart" uri="{C3380CC4-5D6E-409C-BE32-E72D297353CC}">
              <c16:uniqueId val="{00000001-5182-4B5D-98E7-7304DA9F72D3}"/>
            </c:ext>
          </c:extLst>
        </c:ser>
        <c:dLbls>
          <c:showLegendKey val="0"/>
          <c:showVal val="0"/>
          <c:showCatName val="0"/>
          <c:showSerName val="0"/>
          <c:showPercent val="0"/>
          <c:showBubbleSize val="0"/>
        </c:dLbls>
        <c:gapWidth val="219"/>
        <c:overlap val="-27"/>
        <c:axId val="1432240495"/>
        <c:axId val="1432246735"/>
      </c:barChart>
      <c:catAx>
        <c:axId val="1432240495"/>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432246735"/>
        <c:crosses val="autoZero"/>
        <c:auto val="1"/>
        <c:lblAlgn val="ctr"/>
        <c:lblOffset val="100"/>
        <c:noMultiLvlLbl val="0"/>
      </c:catAx>
      <c:valAx>
        <c:axId val="1432246735"/>
        <c:scaling>
          <c:orientation val="minMax"/>
        </c:scaling>
        <c:delete val="0"/>
        <c:axPos val="l"/>
        <c:majorGridlines>
          <c:spPr>
            <a:ln w="3175" cap="flat" cmpd="sng" algn="ctr">
              <a:solidFill>
                <a:srgbClr val="C0C0C0"/>
              </a:solidFill>
              <a:prstDash val="solid"/>
              <a:round/>
            </a:ln>
            <a:effectLst/>
          </c:spPr>
        </c:majorGridlines>
        <c:numFmt formatCode="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432240495"/>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80"/>
            </a:solidFill>
            <a:ln w="25400">
              <a:noFill/>
            </a:ln>
            <a:effectLst/>
          </c:spPr>
          <c:invertIfNegative val="0"/>
          <c:dPt>
            <c:idx val="6"/>
            <c:invertIfNegative val="0"/>
            <c:bubble3D val="0"/>
            <c:extLst>
              <c:ext xmlns:c16="http://schemas.microsoft.com/office/drawing/2014/chart" uri="{C3380CC4-5D6E-409C-BE32-E72D297353CC}">
                <c16:uniqueId val="{00000001-E105-4E4A-B9EB-5D8F8744A88B}"/>
              </c:ext>
            </c:extLst>
          </c:dPt>
          <c:cat>
            <c:strRef>
              <c:f>Analysis!$B$491:$B$500</c:f>
              <c:strCache>
                <c:ptCount val="10"/>
                <c:pt idx="0">
                  <c:v>Credito (Pago)</c:v>
                </c:pt>
                <c:pt idx="1">
                  <c:v>Pagbank</c:v>
                </c:pt>
                <c:pt idx="2">
                  <c:v>Itau (small, individuals)</c:v>
                </c:pt>
                <c:pt idx="3">
                  <c:v>PAN</c:v>
                </c:pt>
                <c:pt idx="4">
                  <c:v>Nubank</c:v>
                </c:pt>
                <c:pt idx="5">
                  <c:v>Itau (Group)</c:v>
                </c:pt>
                <c:pt idx="6">
                  <c:v>Inter (Group)</c:v>
                </c:pt>
                <c:pt idx="7">
                  <c:v>Inter  (Payroll)</c:v>
                </c:pt>
                <c:pt idx="8">
                  <c:v>Inter  (Real estate)</c:v>
                </c:pt>
                <c:pt idx="9">
                  <c:v>Inter  (SME)</c:v>
                </c:pt>
              </c:strCache>
            </c:strRef>
          </c:cat>
          <c:val>
            <c:numRef>
              <c:f>Analysis!$C$491:$C$500</c:f>
              <c:numCache>
                <c:formatCode>0.0%</c:formatCode>
                <c:ptCount val="10"/>
                <c:pt idx="0">
                  <c:v>0.28999999999999998</c:v>
                </c:pt>
                <c:pt idx="1">
                  <c:v>0.09</c:v>
                </c:pt>
                <c:pt idx="2">
                  <c:v>8.3000000000000004E-2</c:v>
                </c:pt>
                <c:pt idx="3">
                  <c:v>5.8000000000000003E-2</c:v>
                </c:pt>
                <c:pt idx="4">
                  <c:v>5.5E-2</c:v>
                </c:pt>
                <c:pt idx="5">
                  <c:v>2.8000000000000001E-2</c:v>
                </c:pt>
                <c:pt idx="6">
                  <c:v>2.8000000000000001E-2</c:v>
                </c:pt>
                <c:pt idx="7">
                  <c:v>2.5999999999999999E-2</c:v>
                </c:pt>
                <c:pt idx="8">
                  <c:v>2.1999999999999999E-2</c:v>
                </c:pt>
                <c:pt idx="9">
                  <c:v>1E-3</c:v>
                </c:pt>
              </c:numCache>
            </c:numRef>
          </c:val>
          <c:extLst>
            <c:ext xmlns:c16="http://schemas.microsoft.com/office/drawing/2014/chart" uri="{C3380CC4-5D6E-409C-BE32-E72D297353CC}">
              <c16:uniqueId val="{00000000-75AB-4238-9CCD-0C95A5B04FBC}"/>
            </c:ext>
          </c:extLst>
        </c:ser>
        <c:dLbls>
          <c:showLegendKey val="0"/>
          <c:showVal val="0"/>
          <c:showCatName val="0"/>
          <c:showSerName val="0"/>
          <c:showPercent val="0"/>
          <c:showBubbleSize val="0"/>
        </c:dLbls>
        <c:gapWidth val="219"/>
        <c:overlap val="-27"/>
        <c:axId val="1897255743"/>
        <c:axId val="1897252415"/>
      </c:barChart>
      <c:catAx>
        <c:axId val="1897255743"/>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897252415"/>
        <c:crosses val="autoZero"/>
        <c:auto val="1"/>
        <c:lblAlgn val="ctr"/>
        <c:lblOffset val="100"/>
        <c:noMultiLvlLbl val="0"/>
      </c:catAx>
      <c:valAx>
        <c:axId val="1897252415"/>
        <c:scaling>
          <c:orientation val="minMax"/>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897255743"/>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pattFill prst="wdDnDiag">
                <a:fgClr>
                  <a:srgbClr val="000080"/>
                </a:fgClr>
                <a:bgClr>
                  <a:srgbClr val="000080"/>
                </a:bgClr>
              </a:pattFill>
              <a:ln w="25400">
                <a:noFill/>
              </a:ln>
              <a:effectLst/>
            </c:spPr>
            <c:extLst>
              <c:ext xmlns:c16="http://schemas.microsoft.com/office/drawing/2014/chart" uri="{C3380CC4-5D6E-409C-BE32-E72D297353CC}">
                <c16:uniqueId val="{00000001-E2FE-44C5-BB6A-ADF69320E52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2FE-44C5-BB6A-ADF69320E52D}"/>
              </c:ext>
            </c:extLst>
          </c:dPt>
          <c:dPt>
            <c:idx val="2"/>
            <c:bubble3D val="0"/>
            <c:spPr>
              <a:pattFill prst="wdDnDiag">
                <a:fgClr>
                  <a:srgbClr val="9999FF"/>
                </a:fgClr>
                <a:bgClr>
                  <a:srgbClr val="9999FF"/>
                </a:bgClr>
              </a:pattFill>
              <a:ln w="25400">
                <a:noFill/>
              </a:ln>
              <a:effectLst/>
            </c:spPr>
            <c:extLst>
              <c:ext xmlns:c16="http://schemas.microsoft.com/office/drawing/2014/chart" uri="{C3380CC4-5D6E-409C-BE32-E72D297353CC}">
                <c16:uniqueId val="{00000005-E2FE-44C5-BB6A-ADF69320E52D}"/>
              </c:ext>
            </c:extLst>
          </c:dPt>
          <c:dPt>
            <c:idx val="3"/>
            <c:bubble3D val="0"/>
            <c:spPr>
              <a:pattFill prst="wdDnDiag">
                <a:fgClr>
                  <a:srgbClr val="3366FF"/>
                </a:fgClr>
                <a:bgClr>
                  <a:srgbClr val="3366FF"/>
                </a:bgClr>
              </a:pattFill>
              <a:ln w="25400">
                <a:noFill/>
              </a:ln>
              <a:effectLst/>
            </c:spPr>
            <c:extLst>
              <c:ext xmlns:c16="http://schemas.microsoft.com/office/drawing/2014/chart" uri="{C3380CC4-5D6E-409C-BE32-E72D297353CC}">
                <c16:uniqueId val="{00000007-E2FE-44C5-BB6A-ADF69320E52D}"/>
              </c:ext>
            </c:extLst>
          </c:dPt>
          <c:dPt>
            <c:idx val="4"/>
            <c:bubble3D val="0"/>
            <c:spPr>
              <a:pattFill prst="wdDnDiag">
                <a:fgClr>
                  <a:srgbClr val="CCCCFF"/>
                </a:fgClr>
                <a:bgClr>
                  <a:srgbClr val="CCCCFF"/>
                </a:bgClr>
              </a:pattFill>
              <a:ln w="25400">
                <a:noFill/>
              </a:ln>
              <a:effectLst/>
            </c:spPr>
            <c:extLst>
              <c:ext xmlns:c16="http://schemas.microsoft.com/office/drawing/2014/chart" uri="{C3380CC4-5D6E-409C-BE32-E72D297353CC}">
                <c16:uniqueId val="{00000009-A682-4E3B-AF45-BFC69FC05C90}"/>
              </c:ext>
            </c:extLst>
          </c:dPt>
          <c:dLbls>
            <c:spPr>
              <a:noFill/>
              <a:ln>
                <a:noFill/>
              </a:ln>
              <a:effectLst/>
            </c:spPr>
            <c:txPr>
              <a:bodyPr rot="0" spcFirstLastPara="1" vertOverflow="ellipsis" vert="horz" wrap="square" anchor="ctr" anchorCtr="1"/>
              <a:lstStyle/>
              <a:p>
                <a:pPr>
                  <a:defRPr lang="en-US" sz="1000" b="0" i="0" u="none" strike="noStrike" kern="1200" baseline="0">
                    <a:solidFill>
                      <a:schemeClr val="tx1">
                        <a:lumMod val="75000"/>
                        <a:lumOff val="25000"/>
                      </a:schemeClr>
                    </a:solidFill>
                    <a:latin typeface="Trebuchet MS"/>
                    <a:ea typeface="Trebuchet MS"/>
                    <a:cs typeface="Trebuchet MS"/>
                  </a:defRPr>
                </a:pPr>
                <a:endParaRPr lang="en-US"/>
              </a:p>
            </c:txPr>
            <c:dLblPos val="outEnd"/>
            <c:showLegendKey val="0"/>
            <c:showVal val="0"/>
            <c:showCatName val="0"/>
            <c:showSerName val="0"/>
            <c:showPercent val="1"/>
            <c:showBubbleSize val="0"/>
            <c:showLeaderLines val="0"/>
            <c:extLst>
              <c:ext xmlns:c15="http://schemas.microsoft.com/office/drawing/2012/chart" uri="{CE6537A1-D6FC-4f65-9D91-7224C49458BB}"/>
            </c:extLst>
          </c:dLbls>
          <c:cat>
            <c:strRef>
              <c:f>Analysis!$B$5:$B$9</c:f>
              <c:strCache>
                <c:ptCount val="5"/>
                <c:pt idx="0">
                  <c:v>Interest income – credit card</c:v>
                </c:pt>
                <c:pt idx="1">
                  <c:v>Interest income – lending</c:v>
                </c:pt>
                <c:pt idx="2">
                  <c:v>Othee income on fin instr.</c:v>
                </c:pt>
                <c:pt idx="3">
                  <c:v>Interchange fees</c:v>
                </c:pt>
                <c:pt idx="4">
                  <c:v>Othe fee income</c:v>
                </c:pt>
              </c:strCache>
            </c:strRef>
          </c:cat>
          <c:val>
            <c:numRef>
              <c:f>Analysis!$F$5:$F$9</c:f>
              <c:numCache>
                <c:formatCode>0</c:formatCode>
                <c:ptCount val="5"/>
                <c:pt idx="0">
                  <c:v>245.2</c:v>
                </c:pt>
                <c:pt idx="1">
                  <c:v>161.19999999999999</c:v>
                </c:pt>
                <c:pt idx="2">
                  <c:v>200.80000000000007</c:v>
                </c:pt>
                <c:pt idx="3">
                  <c:v>321.5</c:v>
                </c:pt>
                <c:pt idx="4">
                  <c:v>133.39999999999998</c:v>
                </c:pt>
              </c:numCache>
            </c:numRef>
          </c:val>
          <c:extLst>
            <c:ext xmlns:c16="http://schemas.microsoft.com/office/drawing/2014/chart" uri="{C3380CC4-5D6E-409C-BE32-E72D297353CC}">
              <c16:uniqueId val="{00000008-E2FE-44C5-BB6A-ADF69320E52D}"/>
            </c:ext>
          </c:extLst>
        </c:ser>
        <c:dLbls>
          <c:dLblPos val="outEnd"/>
          <c:showLegendKey val="0"/>
          <c:showVal val="1"/>
          <c:showCatName val="0"/>
          <c:showSerName val="0"/>
          <c:showPercent val="0"/>
          <c:showBubbleSize val="0"/>
          <c:showLeaderLines val="0"/>
        </c:dLbls>
        <c:firstSliceAng val="0"/>
      </c:pieChart>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lang="en-US"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lang="en-US" sz="1000" b="0" i="0" u="none" strike="noStrike" kern="1200" baseline="0">
          <a:latin typeface="Trebuchet MS"/>
          <a:ea typeface="Trebuchet MS"/>
          <a:cs typeface="Trebuchet MS"/>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Analysis!$B$732:$B$737</c:f>
              <c:strCache>
                <c:ptCount val="6"/>
                <c:pt idx="0">
                  <c:v>Picpay*</c:v>
                </c:pt>
                <c:pt idx="1">
                  <c:v>Banco Pan*</c:v>
                </c:pt>
                <c:pt idx="2">
                  <c:v>Mercado pago</c:v>
                </c:pt>
                <c:pt idx="3">
                  <c:v>Pagbank</c:v>
                </c:pt>
                <c:pt idx="4">
                  <c:v>Nubank</c:v>
                </c:pt>
                <c:pt idx="5">
                  <c:v>Inter</c:v>
                </c:pt>
              </c:strCache>
            </c:strRef>
          </c:cat>
          <c:val>
            <c:numRef>
              <c:f>Analysis!$C$732:$C$737</c:f>
              <c:numCache>
                <c:formatCode>0%</c:formatCode>
                <c:ptCount val="6"/>
                <c:pt idx="0">
                  <c:v>1.05</c:v>
                </c:pt>
                <c:pt idx="1">
                  <c:v>1.03</c:v>
                </c:pt>
                <c:pt idx="2">
                  <c:v>1</c:v>
                </c:pt>
                <c:pt idx="3">
                  <c:v>1</c:v>
                </c:pt>
                <c:pt idx="4">
                  <c:v>1</c:v>
                </c:pt>
                <c:pt idx="5">
                  <c:v>0</c:v>
                </c:pt>
              </c:numCache>
            </c:numRef>
          </c:val>
          <c:extLst>
            <c:ext xmlns:c16="http://schemas.microsoft.com/office/drawing/2014/chart" uri="{C3380CC4-5D6E-409C-BE32-E72D297353CC}">
              <c16:uniqueId val="{00000000-71C4-4E9A-A1CB-140B2DE40BF3}"/>
            </c:ext>
          </c:extLst>
        </c:ser>
        <c:dLbls>
          <c:showLegendKey val="0"/>
          <c:showVal val="0"/>
          <c:showCatName val="0"/>
          <c:showSerName val="0"/>
          <c:showPercent val="0"/>
          <c:showBubbleSize val="0"/>
        </c:dLbls>
        <c:gapWidth val="30"/>
        <c:overlap val="-27"/>
        <c:axId val="38887120"/>
        <c:axId val="38882544"/>
      </c:barChart>
      <c:catAx>
        <c:axId val="38887120"/>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38882544"/>
        <c:crosses val="autoZero"/>
        <c:auto val="1"/>
        <c:lblAlgn val="ctr"/>
        <c:lblOffset val="100"/>
        <c:noMultiLvlLbl val="0"/>
      </c:catAx>
      <c:valAx>
        <c:axId val="38882544"/>
        <c:scaling>
          <c:orientation val="minMax"/>
        </c:scaling>
        <c:delete val="1"/>
        <c:axPos val="l"/>
        <c:numFmt formatCode="0%" sourceLinked="1"/>
        <c:majorTickMark val="out"/>
        <c:minorTickMark val="none"/>
        <c:tickLblPos val="nextTo"/>
        <c:crossAx val="38887120"/>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Analysis!$B$742:$B$747</c:f>
              <c:strCache>
                <c:ptCount val="6"/>
                <c:pt idx="0">
                  <c:v>Picpay</c:v>
                </c:pt>
                <c:pt idx="1">
                  <c:v>Mercado pago</c:v>
                </c:pt>
                <c:pt idx="2">
                  <c:v>Pagbank</c:v>
                </c:pt>
                <c:pt idx="3">
                  <c:v>Nubank</c:v>
                </c:pt>
                <c:pt idx="4">
                  <c:v>Banco Pan</c:v>
                </c:pt>
                <c:pt idx="5">
                  <c:v>Inter</c:v>
                </c:pt>
              </c:strCache>
            </c:strRef>
          </c:cat>
          <c:val>
            <c:numRef>
              <c:f>Analysis!$C$742:$C$747</c:f>
              <c:numCache>
                <c:formatCode>0</c:formatCode>
                <c:ptCount val="6"/>
                <c:pt idx="0">
                  <c:v>266.66666666666669</c:v>
                </c:pt>
                <c:pt idx="1">
                  <c:v>640.93201970443351</c:v>
                </c:pt>
                <c:pt idx="2">
                  <c:v>783.21678321678314</c:v>
                </c:pt>
                <c:pt idx="3">
                  <c:v>1419.4202150537635</c:v>
                </c:pt>
                <c:pt idx="4">
                  <c:v>1692.2448979591838</c:v>
                </c:pt>
                <c:pt idx="5">
                  <c:v>1906.969696969697</c:v>
                </c:pt>
              </c:numCache>
            </c:numRef>
          </c:val>
          <c:extLst>
            <c:ext xmlns:c16="http://schemas.microsoft.com/office/drawing/2014/chart" uri="{C3380CC4-5D6E-409C-BE32-E72D297353CC}">
              <c16:uniqueId val="{00000000-BC3C-45FB-BD77-FB9461707FF2}"/>
            </c:ext>
          </c:extLst>
        </c:ser>
        <c:dLbls>
          <c:showLegendKey val="0"/>
          <c:showVal val="0"/>
          <c:showCatName val="0"/>
          <c:showSerName val="0"/>
          <c:showPercent val="0"/>
          <c:showBubbleSize val="0"/>
        </c:dLbls>
        <c:gapWidth val="30"/>
        <c:overlap val="-27"/>
        <c:axId val="1150252623"/>
        <c:axId val="1150241807"/>
      </c:barChart>
      <c:catAx>
        <c:axId val="1150252623"/>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1150241807"/>
        <c:crosses val="autoZero"/>
        <c:auto val="1"/>
        <c:lblAlgn val="ctr"/>
        <c:lblOffset val="100"/>
        <c:noMultiLvlLbl val="0"/>
      </c:catAx>
      <c:valAx>
        <c:axId val="1150241807"/>
        <c:scaling>
          <c:orientation val="minMax"/>
        </c:scaling>
        <c:delete val="1"/>
        <c:axPos val="l"/>
        <c:numFmt formatCode="0" sourceLinked="1"/>
        <c:majorTickMark val="out"/>
        <c:minorTickMark val="none"/>
        <c:tickLblPos val="nextTo"/>
        <c:crossAx val="1150252623"/>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Demand deposits</c:v>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Analysis!$B$750:$B$755</c:f>
              <c:strCache>
                <c:ptCount val="6"/>
                <c:pt idx="0">
                  <c:v>Picpay</c:v>
                </c:pt>
                <c:pt idx="1">
                  <c:v>Pagbank</c:v>
                </c:pt>
                <c:pt idx="2">
                  <c:v>Mercado pago</c:v>
                </c:pt>
                <c:pt idx="3">
                  <c:v>Inter</c:v>
                </c:pt>
                <c:pt idx="4">
                  <c:v>Banco Pan</c:v>
                </c:pt>
                <c:pt idx="5">
                  <c:v>Nubank</c:v>
                </c:pt>
              </c:strCache>
            </c:strRef>
          </c:cat>
          <c:val>
            <c:numRef>
              <c:f>Analysis!$C$750:$C$755</c:f>
              <c:numCache>
                <c:formatCode>#,##0</c:formatCode>
                <c:ptCount val="6"/>
                <c:pt idx="0">
                  <c:v>8000</c:v>
                </c:pt>
                <c:pt idx="1">
                  <c:v>5500</c:v>
                </c:pt>
                <c:pt idx="2">
                  <c:v>13010.92</c:v>
                </c:pt>
                <c:pt idx="3">
                  <c:v>10912</c:v>
                </c:pt>
                <c:pt idx="4">
                  <c:v>3655</c:v>
                </c:pt>
                <c:pt idx="5">
                  <c:v>66003.040000000008</c:v>
                </c:pt>
              </c:numCache>
            </c:numRef>
          </c:val>
          <c:extLst>
            <c:ext xmlns:c16="http://schemas.microsoft.com/office/drawing/2014/chart" uri="{C3380CC4-5D6E-409C-BE32-E72D297353CC}">
              <c16:uniqueId val="{00000000-9B64-466C-B016-631C269975D7}"/>
            </c:ext>
          </c:extLst>
        </c:ser>
        <c:ser>
          <c:idx val="1"/>
          <c:order val="1"/>
          <c:tx>
            <c:v>CDBs / other Time deposits</c:v>
          </c:tx>
          <c:spPr>
            <a:solidFill>
              <a:srgbClr val="F9663E"/>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Analysis!$B$750:$B$755</c:f>
              <c:strCache>
                <c:ptCount val="6"/>
                <c:pt idx="0">
                  <c:v>Picpay</c:v>
                </c:pt>
                <c:pt idx="1">
                  <c:v>Pagbank</c:v>
                </c:pt>
                <c:pt idx="2">
                  <c:v>Mercado pago</c:v>
                </c:pt>
                <c:pt idx="3">
                  <c:v>Inter</c:v>
                </c:pt>
                <c:pt idx="4">
                  <c:v>Banco Pan</c:v>
                </c:pt>
                <c:pt idx="5">
                  <c:v>Nubank</c:v>
                </c:pt>
              </c:strCache>
            </c:strRef>
          </c:cat>
          <c:val>
            <c:numRef>
              <c:f>Analysis!$D$750:$D$755</c:f>
              <c:numCache>
                <c:formatCode>#,##0</c:formatCode>
                <c:ptCount val="6"/>
                <c:pt idx="1">
                  <c:v>4400</c:v>
                </c:pt>
                <c:pt idx="3">
                  <c:v>7894</c:v>
                </c:pt>
                <c:pt idx="4">
                  <c:v>17884</c:v>
                </c:pt>
              </c:numCache>
            </c:numRef>
          </c:val>
          <c:extLst>
            <c:ext xmlns:c16="http://schemas.microsoft.com/office/drawing/2014/chart" uri="{C3380CC4-5D6E-409C-BE32-E72D297353CC}">
              <c16:uniqueId val="{00000000-0FF8-48DA-8109-E63A53B32103}"/>
            </c:ext>
          </c:extLst>
        </c:ser>
        <c:ser>
          <c:idx val="2"/>
          <c:order val="2"/>
          <c:tx>
            <c:v>Other</c:v>
          </c:tx>
          <c:spPr>
            <a:solidFill>
              <a:srgbClr val="C7FE0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Analysis!$B$750:$B$755</c:f>
              <c:strCache>
                <c:ptCount val="6"/>
                <c:pt idx="0">
                  <c:v>Picpay</c:v>
                </c:pt>
                <c:pt idx="1">
                  <c:v>Pagbank</c:v>
                </c:pt>
                <c:pt idx="2">
                  <c:v>Mercado pago</c:v>
                </c:pt>
                <c:pt idx="3">
                  <c:v>Inter</c:v>
                </c:pt>
                <c:pt idx="4">
                  <c:v>Banco Pan</c:v>
                </c:pt>
                <c:pt idx="5">
                  <c:v>Nubank</c:v>
                </c:pt>
              </c:strCache>
            </c:strRef>
          </c:cat>
          <c:val>
            <c:numRef>
              <c:f>Analysis!$E$750:$E$755</c:f>
              <c:numCache>
                <c:formatCode>#,##0</c:formatCode>
                <c:ptCount val="6"/>
                <c:pt idx="1">
                  <c:v>1300</c:v>
                </c:pt>
                <c:pt idx="3">
                  <c:v>73</c:v>
                </c:pt>
                <c:pt idx="4">
                  <c:v>3337</c:v>
                </c:pt>
              </c:numCache>
            </c:numRef>
          </c:val>
          <c:extLst>
            <c:ext xmlns:c16="http://schemas.microsoft.com/office/drawing/2014/chart" uri="{C3380CC4-5D6E-409C-BE32-E72D297353CC}">
              <c16:uniqueId val="{00000001-0FF8-48DA-8109-E63A53B32103}"/>
            </c:ext>
          </c:extLst>
        </c:ser>
        <c:dLbls>
          <c:showLegendKey val="0"/>
          <c:showVal val="0"/>
          <c:showCatName val="0"/>
          <c:showSerName val="0"/>
          <c:showPercent val="0"/>
          <c:showBubbleSize val="0"/>
        </c:dLbls>
        <c:gapWidth val="30"/>
        <c:overlap val="100"/>
        <c:axId val="1150252623"/>
        <c:axId val="1150241807"/>
      </c:barChart>
      <c:catAx>
        <c:axId val="1150252623"/>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1150241807"/>
        <c:crosses val="autoZero"/>
        <c:auto val="1"/>
        <c:lblAlgn val="ctr"/>
        <c:lblOffset val="100"/>
        <c:noMultiLvlLbl val="0"/>
      </c:catAx>
      <c:valAx>
        <c:axId val="1150241807"/>
        <c:scaling>
          <c:orientation val="minMax"/>
        </c:scaling>
        <c:delete val="1"/>
        <c:axPos val="l"/>
        <c:numFmt formatCode="#,##0" sourceLinked="1"/>
        <c:majorTickMark val="out"/>
        <c:minorTickMark val="none"/>
        <c:tickLblPos val="nextTo"/>
        <c:crossAx val="1150252623"/>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Analysis!$B$778:$B$782</c:f>
              <c:strCache>
                <c:ptCount val="5"/>
                <c:pt idx="0">
                  <c:v>Inter</c:v>
                </c:pt>
                <c:pt idx="1">
                  <c:v>Pagbank</c:v>
                </c:pt>
                <c:pt idx="2">
                  <c:v>Nubank</c:v>
                </c:pt>
                <c:pt idx="3">
                  <c:v>Mercado Pago</c:v>
                </c:pt>
                <c:pt idx="4">
                  <c:v>PicPay</c:v>
                </c:pt>
              </c:strCache>
            </c:strRef>
          </c:cat>
          <c:val>
            <c:numRef>
              <c:f>Analysis!$C$778:$C$782</c:f>
              <c:numCache>
                <c:formatCode>0%</c:formatCode>
                <c:ptCount val="5"/>
                <c:pt idx="0">
                  <c:v>0.53</c:v>
                </c:pt>
                <c:pt idx="1">
                  <c:v>0.95772168674698788</c:v>
                </c:pt>
                <c:pt idx="2">
                  <c:v>0.96</c:v>
                </c:pt>
                <c:pt idx="3">
                  <c:v>1</c:v>
                </c:pt>
                <c:pt idx="4">
                  <c:v>1.02</c:v>
                </c:pt>
              </c:numCache>
            </c:numRef>
          </c:val>
          <c:extLst>
            <c:ext xmlns:c16="http://schemas.microsoft.com/office/drawing/2014/chart" uri="{C3380CC4-5D6E-409C-BE32-E72D297353CC}">
              <c16:uniqueId val="{00000000-C195-4137-8D24-8F59E1DB6D48}"/>
            </c:ext>
          </c:extLst>
        </c:ser>
        <c:dLbls>
          <c:showLegendKey val="0"/>
          <c:showVal val="0"/>
          <c:showCatName val="0"/>
          <c:showSerName val="0"/>
          <c:showPercent val="0"/>
          <c:showBubbleSize val="0"/>
        </c:dLbls>
        <c:gapWidth val="30"/>
        <c:overlap val="-27"/>
        <c:axId val="1403765824"/>
        <c:axId val="1403766240"/>
      </c:barChart>
      <c:catAx>
        <c:axId val="1403765824"/>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403766240"/>
        <c:crosses val="autoZero"/>
        <c:auto val="1"/>
        <c:lblAlgn val="ctr"/>
        <c:lblOffset val="100"/>
        <c:noMultiLvlLbl val="0"/>
      </c:catAx>
      <c:valAx>
        <c:axId val="1403766240"/>
        <c:scaling>
          <c:orientation val="minMax"/>
        </c:scaling>
        <c:delete val="1"/>
        <c:axPos val="l"/>
        <c:numFmt formatCode="0%" sourceLinked="1"/>
        <c:majorTickMark val="out"/>
        <c:minorTickMark val="none"/>
        <c:tickLblPos val="nextTo"/>
        <c:crossAx val="1403765824"/>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543861513368987E-2"/>
          <c:y val="3.6133704950943514E-2"/>
          <c:w val="0.97031038820814475"/>
          <c:h val="0.78670273967458038"/>
        </c:manualLayout>
      </c:layout>
      <c:barChart>
        <c:barDir val="col"/>
        <c:grouping val="clustered"/>
        <c:varyColors val="0"/>
        <c:ser>
          <c:idx val="0"/>
          <c:order val="0"/>
          <c:tx>
            <c:strRef>
              <c:f>Analysis!$K$800</c:f>
              <c:strCache>
                <c:ptCount val="1"/>
                <c:pt idx="0">
                  <c:v>5%</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Analysis!$B$801:$B$804</c:f>
              <c:strCache>
                <c:ptCount val="4"/>
                <c:pt idx="0">
                  <c:v>Mercado Libre</c:v>
                </c:pt>
                <c:pt idx="1">
                  <c:v>PagSeguro</c:v>
                </c:pt>
                <c:pt idx="2">
                  <c:v>Nubank</c:v>
                </c:pt>
                <c:pt idx="3">
                  <c:v>Picpay</c:v>
                </c:pt>
              </c:strCache>
            </c:strRef>
          </c:cat>
          <c:val>
            <c:numRef>
              <c:f>Analysis!$K$801:$K$804</c:f>
              <c:numCache>
                <c:formatCode>0.0%</c:formatCode>
                <c:ptCount val="4"/>
                <c:pt idx="0">
                  <c:v>0</c:v>
                </c:pt>
                <c:pt idx="1">
                  <c:v>3.6294267266679713E-3</c:v>
                </c:pt>
                <c:pt idx="2">
                  <c:v>1.3065582627426036E-2</c:v>
                </c:pt>
                <c:pt idx="3">
                  <c:v>2.3382352941176472E-2</c:v>
                </c:pt>
              </c:numCache>
            </c:numRef>
          </c:val>
          <c:extLst>
            <c:ext xmlns:c16="http://schemas.microsoft.com/office/drawing/2014/chart" uri="{C3380CC4-5D6E-409C-BE32-E72D297353CC}">
              <c16:uniqueId val="{00000000-92F3-4766-AE3D-E0FCD9ECDA4D}"/>
            </c:ext>
          </c:extLst>
        </c:ser>
        <c:ser>
          <c:idx val="1"/>
          <c:order val="1"/>
          <c:tx>
            <c:strRef>
              <c:f>Analysis!$L$800</c:f>
              <c:strCache>
                <c:ptCount val="1"/>
                <c:pt idx="0">
                  <c:v>10%</c:v>
                </c:pt>
              </c:strCache>
            </c:strRef>
          </c:tx>
          <c:spPr>
            <a:solidFill>
              <a:srgbClr val="F9663E"/>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Analysis!$B$801:$B$804</c:f>
              <c:strCache>
                <c:ptCount val="4"/>
                <c:pt idx="0">
                  <c:v>Mercado Libre</c:v>
                </c:pt>
                <c:pt idx="1">
                  <c:v>PagSeguro</c:v>
                </c:pt>
                <c:pt idx="2">
                  <c:v>Nubank</c:v>
                </c:pt>
                <c:pt idx="3">
                  <c:v>Picpay</c:v>
                </c:pt>
              </c:strCache>
            </c:strRef>
          </c:cat>
          <c:val>
            <c:numRef>
              <c:f>Analysis!$L$801:$L$804</c:f>
              <c:numCache>
                <c:formatCode>0.0%</c:formatCode>
                <c:ptCount val="4"/>
                <c:pt idx="0">
                  <c:v>0</c:v>
                </c:pt>
                <c:pt idx="1">
                  <c:v>7.2588534533359426E-3</c:v>
                </c:pt>
                <c:pt idx="2">
                  <c:v>2.6131165254852071E-2</c:v>
                </c:pt>
                <c:pt idx="3">
                  <c:v>4.6764705882352944E-2</c:v>
                </c:pt>
              </c:numCache>
            </c:numRef>
          </c:val>
          <c:extLst>
            <c:ext xmlns:c16="http://schemas.microsoft.com/office/drawing/2014/chart" uri="{C3380CC4-5D6E-409C-BE32-E72D297353CC}">
              <c16:uniqueId val="{00000001-92F3-4766-AE3D-E0FCD9ECDA4D}"/>
            </c:ext>
          </c:extLst>
        </c:ser>
        <c:ser>
          <c:idx val="2"/>
          <c:order val="2"/>
          <c:tx>
            <c:strRef>
              <c:f>Analysis!$M$800</c:f>
              <c:strCache>
                <c:ptCount val="1"/>
                <c:pt idx="0">
                  <c:v>20%</c:v>
                </c:pt>
              </c:strCache>
            </c:strRef>
          </c:tx>
          <c:spPr>
            <a:solidFill>
              <a:srgbClr val="C7FE0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Analysis!$B$801:$B$804</c:f>
              <c:strCache>
                <c:ptCount val="4"/>
                <c:pt idx="0">
                  <c:v>Mercado Libre</c:v>
                </c:pt>
                <c:pt idx="1">
                  <c:v>PagSeguro</c:v>
                </c:pt>
                <c:pt idx="2">
                  <c:v>Nubank</c:v>
                </c:pt>
                <c:pt idx="3">
                  <c:v>Picpay</c:v>
                </c:pt>
              </c:strCache>
            </c:strRef>
          </c:cat>
          <c:val>
            <c:numRef>
              <c:f>Analysis!$M$801:$M$804</c:f>
              <c:numCache>
                <c:formatCode>0.0%</c:formatCode>
                <c:ptCount val="4"/>
                <c:pt idx="0">
                  <c:v>0</c:v>
                </c:pt>
                <c:pt idx="1">
                  <c:v>1.4517706906671885E-2</c:v>
                </c:pt>
                <c:pt idx="2">
                  <c:v>5.2262330509704143E-2</c:v>
                </c:pt>
                <c:pt idx="3">
                  <c:v>9.3529411764705889E-2</c:v>
                </c:pt>
              </c:numCache>
            </c:numRef>
          </c:val>
          <c:extLst>
            <c:ext xmlns:c16="http://schemas.microsoft.com/office/drawing/2014/chart" uri="{C3380CC4-5D6E-409C-BE32-E72D297353CC}">
              <c16:uniqueId val="{00000002-92F3-4766-AE3D-E0FCD9ECDA4D}"/>
            </c:ext>
          </c:extLst>
        </c:ser>
        <c:dLbls>
          <c:showLegendKey val="0"/>
          <c:showVal val="0"/>
          <c:showCatName val="0"/>
          <c:showSerName val="0"/>
          <c:showPercent val="0"/>
          <c:showBubbleSize val="0"/>
        </c:dLbls>
        <c:gapWidth val="30"/>
        <c:overlap val="-27"/>
        <c:axId val="1940598848"/>
        <c:axId val="1940588448"/>
      </c:barChart>
      <c:catAx>
        <c:axId val="1940598848"/>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1940588448"/>
        <c:crosses val="autoZero"/>
        <c:auto val="1"/>
        <c:lblAlgn val="ctr"/>
        <c:lblOffset val="100"/>
        <c:noMultiLvlLbl val="0"/>
      </c:catAx>
      <c:valAx>
        <c:axId val="1940588448"/>
        <c:scaling>
          <c:orientation val="minMax"/>
        </c:scaling>
        <c:delete val="1"/>
        <c:axPos val="l"/>
        <c:numFmt formatCode="0.0%" sourceLinked="1"/>
        <c:majorTickMark val="out"/>
        <c:minorTickMark val="none"/>
        <c:tickLblPos val="nextTo"/>
        <c:crossAx val="194059884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panose="02000000000000000000" pitchFamily="2" charset="0"/>
          <a:ea typeface="Roboto" panose="02000000000000000000" pitchFamily="2" charset="0"/>
          <a:cs typeface="Helvetica Neue"/>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Analysis!$B$842</c:f>
              <c:strCache>
                <c:ptCount val="1"/>
                <c:pt idx="0">
                  <c:v>Deposit yield as % CDI</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 Neue"/>
                    <a:ea typeface="Helvetica Neue"/>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Analysis!$C$841:$L$841</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Analysis!$C$842:$L$842</c:f>
              <c:numCache>
                <c:formatCode>0%</c:formatCode>
                <c:ptCount val="10"/>
                <c:pt idx="0">
                  <c:v>0.95684707704500005</c:v>
                </c:pt>
                <c:pt idx="1">
                  <c:v>0.87038144188514732</c:v>
                </c:pt>
                <c:pt idx="2">
                  <c:v>0.68038144188514726</c:v>
                </c:pt>
                <c:pt idx="3">
                  <c:v>0.70038144188514728</c:v>
                </c:pt>
                <c:pt idx="4">
                  <c:v>0.70038144188514728</c:v>
                </c:pt>
                <c:pt idx="5">
                  <c:v>0.70038144188514728</c:v>
                </c:pt>
                <c:pt idx="6">
                  <c:v>0.70038144188514728</c:v>
                </c:pt>
                <c:pt idx="7">
                  <c:v>0.70038144188514728</c:v>
                </c:pt>
                <c:pt idx="8">
                  <c:v>0.70038144188514728</c:v>
                </c:pt>
                <c:pt idx="9">
                  <c:v>0.70038144188514728</c:v>
                </c:pt>
              </c:numCache>
            </c:numRef>
          </c:val>
          <c:extLst>
            <c:ext xmlns:c16="http://schemas.microsoft.com/office/drawing/2014/chart" uri="{C3380CC4-5D6E-409C-BE32-E72D297353CC}">
              <c16:uniqueId val="{00000000-6D81-4F1F-97CA-4F9A4710A02E}"/>
            </c:ext>
          </c:extLst>
        </c:ser>
        <c:dLbls>
          <c:showLegendKey val="0"/>
          <c:showVal val="0"/>
          <c:showCatName val="0"/>
          <c:showSerName val="0"/>
          <c:showPercent val="0"/>
          <c:showBubbleSize val="0"/>
        </c:dLbls>
        <c:gapWidth val="30"/>
        <c:overlap val="-27"/>
        <c:axId val="1403623744"/>
        <c:axId val="1403620000"/>
      </c:barChart>
      <c:lineChart>
        <c:grouping val="standard"/>
        <c:varyColors val="0"/>
        <c:ser>
          <c:idx val="1"/>
          <c:order val="1"/>
          <c:tx>
            <c:strRef>
              <c:f>Analysis!$B$843</c:f>
              <c:strCache>
                <c:ptCount val="1"/>
                <c:pt idx="0">
                  <c:v>Deposit yield as  % revenue</c:v>
                </c:pt>
              </c:strCache>
            </c:strRef>
          </c:tx>
          <c:spPr>
            <a:ln w="25400" cap="rnd">
              <a:solidFill>
                <a:srgbClr val="79909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Analysis!$C$843:$L$843</c:f>
              <c:numCache>
                <c:formatCode>0%</c:formatCode>
                <c:ptCount val="10"/>
                <c:pt idx="0">
                  <c:v>0.18705256247131002</c:v>
                </c:pt>
                <c:pt idx="1">
                  <c:v>0.29393522694701296</c:v>
                </c:pt>
                <c:pt idx="2">
                  <c:v>0.21590757397839438</c:v>
                </c:pt>
                <c:pt idx="3">
                  <c:v>0.16443632738873476</c:v>
                </c:pt>
                <c:pt idx="4">
                  <c:v>0.13379104657379193</c:v>
                </c:pt>
                <c:pt idx="5">
                  <c:v>0.13100055891965542</c:v>
                </c:pt>
                <c:pt idx="6">
                  <c:v>0.13703392463634706</c:v>
                </c:pt>
                <c:pt idx="7">
                  <c:v>0.14432308568357799</c:v>
                </c:pt>
                <c:pt idx="8">
                  <c:v>0.14760852969865432</c:v>
                </c:pt>
                <c:pt idx="9">
                  <c:v>0.15171726028103769</c:v>
                </c:pt>
              </c:numCache>
            </c:numRef>
          </c:val>
          <c:smooth val="0"/>
          <c:extLst>
            <c:ext xmlns:c16="http://schemas.microsoft.com/office/drawing/2014/chart" uri="{C3380CC4-5D6E-409C-BE32-E72D297353CC}">
              <c16:uniqueId val="{00000001-6D81-4F1F-97CA-4F9A4710A02E}"/>
            </c:ext>
          </c:extLst>
        </c:ser>
        <c:dLbls>
          <c:showLegendKey val="0"/>
          <c:showVal val="0"/>
          <c:showCatName val="0"/>
          <c:showSerName val="0"/>
          <c:showPercent val="0"/>
          <c:showBubbleSize val="0"/>
        </c:dLbls>
        <c:marker val="1"/>
        <c:smooth val="0"/>
        <c:axId val="161140720"/>
        <c:axId val="161138640"/>
      </c:lineChart>
      <c:catAx>
        <c:axId val="1403623744"/>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403620000"/>
        <c:crosses val="autoZero"/>
        <c:auto val="1"/>
        <c:lblAlgn val="ctr"/>
        <c:lblOffset val="100"/>
        <c:noMultiLvlLbl val="0"/>
      </c:catAx>
      <c:valAx>
        <c:axId val="1403620000"/>
        <c:scaling>
          <c:orientation val="minMax"/>
        </c:scaling>
        <c:delete val="1"/>
        <c:axPos val="l"/>
        <c:numFmt formatCode="0%" sourceLinked="1"/>
        <c:majorTickMark val="out"/>
        <c:minorTickMark val="none"/>
        <c:tickLblPos val="nextTo"/>
        <c:crossAx val="1403623744"/>
        <c:crosses val="autoZero"/>
        <c:crossBetween val="between"/>
      </c:valAx>
      <c:valAx>
        <c:axId val="161138640"/>
        <c:scaling>
          <c:orientation val="minMax"/>
        </c:scaling>
        <c:delete val="1"/>
        <c:axPos val="r"/>
        <c:numFmt formatCode="0%" sourceLinked="1"/>
        <c:majorTickMark val="out"/>
        <c:minorTickMark val="none"/>
        <c:tickLblPos val="nextTo"/>
        <c:crossAx val="161140720"/>
        <c:crosses val="max"/>
        <c:crossBetween val="between"/>
      </c:valAx>
      <c:catAx>
        <c:axId val="161140720"/>
        <c:scaling>
          <c:orientation val="minMax"/>
        </c:scaling>
        <c:delete val="1"/>
        <c:axPos val="b"/>
        <c:majorTickMark val="out"/>
        <c:minorTickMark val="none"/>
        <c:tickLblPos val="nextTo"/>
        <c:crossAx val="161138640"/>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Analysis!$B$868</c:f>
              <c:strCache>
                <c:ptCount val="1"/>
                <c:pt idx="0">
                  <c:v>Gross profit</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 Neue"/>
                    <a:ea typeface="Helvetica Neue"/>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Analysis!$C$841:$L$841</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Analysis!$C$868:$L$868</c:f>
              <c:numCache>
                <c:formatCode>0%</c:formatCode>
                <c:ptCount val="10"/>
                <c:pt idx="0">
                  <c:v>0.43127228795779687</c:v>
                </c:pt>
                <c:pt idx="1">
                  <c:v>0.34720493276753589</c:v>
                </c:pt>
                <c:pt idx="2">
                  <c:v>0.41160932748533774</c:v>
                </c:pt>
                <c:pt idx="3">
                  <c:v>0.45545835638956106</c:v>
                </c:pt>
                <c:pt idx="4">
                  <c:v>0.50573011967763692</c:v>
                </c:pt>
                <c:pt idx="5">
                  <c:v>0.52261099851155379</c:v>
                </c:pt>
                <c:pt idx="6">
                  <c:v>0.52969322263547258</c:v>
                </c:pt>
                <c:pt idx="7">
                  <c:v>0.5307178343724317</c:v>
                </c:pt>
                <c:pt idx="8">
                  <c:v>0.53897525974044558</c:v>
                </c:pt>
                <c:pt idx="9">
                  <c:v>0.5448908428541448</c:v>
                </c:pt>
              </c:numCache>
            </c:numRef>
          </c:val>
          <c:extLst>
            <c:ext xmlns:c16="http://schemas.microsoft.com/office/drawing/2014/chart" uri="{C3380CC4-5D6E-409C-BE32-E72D297353CC}">
              <c16:uniqueId val="{00000000-6965-4E96-9B81-EBE3B0ADBA87}"/>
            </c:ext>
          </c:extLst>
        </c:ser>
        <c:dLbls>
          <c:showLegendKey val="0"/>
          <c:showVal val="0"/>
          <c:showCatName val="0"/>
          <c:showSerName val="0"/>
          <c:showPercent val="0"/>
          <c:showBubbleSize val="0"/>
        </c:dLbls>
        <c:gapWidth val="30"/>
        <c:overlap val="-27"/>
        <c:axId val="1403623744"/>
        <c:axId val="1403620000"/>
      </c:barChart>
      <c:lineChart>
        <c:grouping val="standard"/>
        <c:varyColors val="0"/>
        <c:ser>
          <c:idx val="1"/>
          <c:order val="1"/>
          <c:tx>
            <c:strRef>
              <c:f>Analysis!$B$864</c:f>
              <c:strCache>
                <c:ptCount val="1"/>
                <c:pt idx="0">
                  <c:v>Provision as % revenue</c:v>
                </c:pt>
              </c:strCache>
            </c:strRef>
          </c:tx>
          <c:spPr>
            <a:ln w="25400" cap="rnd">
              <a:solidFill>
                <a:srgbClr val="79909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Analysis!$C$864:$L$864</c:f>
              <c:numCache>
                <c:formatCode>0%</c:formatCode>
                <c:ptCount val="10"/>
                <c:pt idx="0">
                  <c:v>0.28323831133481775</c:v>
                </c:pt>
                <c:pt idx="1">
                  <c:v>0.2933089445032338</c:v>
                </c:pt>
                <c:pt idx="2">
                  <c:v>0.31849235659646502</c:v>
                </c:pt>
                <c:pt idx="3">
                  <c:v>0.32994718972253184</c:v>
                </c:pt>
                <c:pt idx="4">
                  <c:v>0.31529652135295944</c:v>
                </c:pt>
                <c:pt idx="5">
                  <c:v>0.295541066024465</c:v>
                </c:pt>
                <c:pt idx="6">
                  <c:v>0.28164101684759479</c:v>
                </c:pt>
                <c:pt idx="7">
                  <c:v>0.27302106007577392</c:v>
                </c:pt>
                <c:pt idx="8">
                  <c:v>0.26213945510363201</c:v>
                </c:pt>
                <c:pt idx="9">
                  <c:v>0.25226161993121637</c:v>
                </c:pt>
              </c:numCache>
            </c:numRef>
          </c:val>
          <c:smooth val="0"/>
          <c:extLst>
            <c:ext xmlns:c16="http://schemas.microsoft.com/office/drawing/2014/chart" uri="{C3380CC4-5D6E-409C-BE32-E72D297353CC}">
              <c16:uniqueId val="{00000001-6965-4E96-9B81-EBE3B0ADBA87}"/>
            </c:ext>
          </c:extLst>
        </c:ser>
        <c:dLbls>
          <c:showLegendKey val="0"/>
          <c:showVal val="0"/>
          <c:showCatName val="0"/>
          <c:showSerName val="0"/>
          <c:showPercent val="0"/>
          <c:showBubbleSize val="0"/>
        </c:dLbls>
        <c:marker val="1"/>
        <c:smooth val="0"/>
        <c:axId val="161140720"/>
        <c:axId val="161138640"/>
      </c:lineChart>
      <c:catAx>
        <c:axId val="1403623744"/>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403620000"/>
        <c:crosses val="autoZero"/>
        <c:auto val="1"/>
        <c:lblAlgn val="ctr"/>
        <c:lblOffset val="100"/>
        <c:noMultiLvlLbl val="0"/>
      </c:catAx>
      <c:valAx>
        <c:axId val="1403620000"/>
        <c:scaling>
          <c:orientation val="minMax"/>
        </c:scaling>
        <c:delete val="1"/>
        <c:axPos val="l"/>
        <c:numFmt formatCode="0%" sourceLinked="1"/>
        <c:majorTickMark val="out"/>
        <c:minorTickMark val="none"/>
        <c:tickLblPos val="nextTo"/>
        <c:crossAx val="1403623744"/>
        <c:crosses val="autoZero"/>
        <c:crossBetween val="between"/>
      </c:valAx>
      <c:valAx>
        <c:axId val="161138640"/>
        <c:scaling>
          <c:orientation val="minMax"/>
        </c:scaling>
        <c:delete val="1"/>
        <c:axPos val="r"/>
        <c:numFmt formatCode="0%" sourceLinked="1"/>
        <c:majorTickMark val="out"/>
        <c:minorTickMark val="none"/>
        <c:tickLblPos val="nextTo"/>
        <c:crossAx val="161140720"/>
        <c:crosses val="max"/>
        <c:crossBetween val="between"/>
      </c:valAx>
      <c:catAx>
        <c:axId val="161140720"/>
        <c:scaling>
          <c:orientation val="minMax"/>
        </c:scaling>
        <c:delete val="1"/>
        <c:axPos val="b"/>
        <c:majorTickMark val="out"/>
        <c:minorTickMark val="none"/>
        <c:tickLblPos val="nextTo"/>
        <c:crossAx val="161138640"/>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Analysis!$B$949</c:f>
              <c:strCache>
                <c:ptCount val="1"/>
                <c:pt idx="0">
                  <c:v>Credit cards</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Analysis!$C$948:$N$948</c:f>
              <c:strCache>
                <c:ptCount val="12"/>
                <c:pt idx="0">
                  <c:v>Q1 22</c:v>
                </c:pt>
                <c:pt idx="1">
                  <c:v>Q2 22</c:v>
                </c:pt>
                <c:pt idx="2">
                  <c:v>Q3 22</c:v>
                </c:pt>
                <c:pt idx="3">
                  <c:v>Q4 22</c:v>
                </c:pt>
                <c:pt idx="4">
                  <c:v>Q1 23</c:v>
                </c:pt>
                <c:pt idx="5">
                  <c:v>Q2 23</c:v>
                </c:pt>
                <c:pt idx="6">
                  <c:v>Q3 23</c:v>
                </c:pt>
                <c:pt idx="7">
                  <c:v>Q4 23</c:v>
                </c:pt>
                <c:pt idx="8">
                  <c:v>Q1 24</c:v>
                </c:pt>
                <c:pt idx="9">
                  <c:v>Q2 24</c:v>
                </c:pt>
                <c:pt idx="10">
                  <c:v>Q3 24</c:v>
                </c:pt>
                <c:pt idx="11">
                  <c:v>Q4 24</c:v>
                </c:pt>
              </c:strCache>
            </c:strRef>
          </c:cat>
          <c:val>
            <c:numRef>
              <c:f>Analysis!$C$949:$N$949</c:f>
              <c:numCache>
                <c:formatCode>#,##0</c:formatCode>
                <c:ptCount val="12"/>
                <c:pt idx="0">
                  <c:v>6814.4089999999997</c:v>
                </c:pt>
                <c:pt idx="1">
                  <c:v>7175.817</c:v>
                </c:pt>
                <c:pt idx="2">
                  <c:v>7812.2719999999999</c:v>
                </c:pt>
                <c:pt idx="3">
                  <c:v>9284</c:v>
                </c:pt>
                <c:pt idx="4">
                  <c:v>10474</c:v>
                </c:pt>
                <c:pt idx="5">
                  <c:v>12062</c:v>
                </c:pt>
                <c:pt idx="6">
                  <c:v>12633.471760797342</c:v>
                </c:pt>
                <c:pt idx="7">
                  <c:v>14290.077372206382</c:v>
                </c:pt>
                <c:pt idx="8">
                  <c:v>14726.998326328207</c:v>
                </c:pt>
                <c:pt idx="9">
                  <c:v>16076.465286878787</c:v>
                </c:pt>
                <c:pt idx="10">
                  <c:v>17538.38782747525</c:v>
                </c:pt>
                <c:pt idx="11">
                  <c:v>19393.062244792211</c:v>
                </c:pt>
              </c:numCache>
            </c:numRef>
          </c:val>
          <c:extLst>
            <c:ext xmlns:c16="http://schemas.microsoft.com/office/drawing/2014/chart" uri="{C3380CC4-5D6E-409C-BE32-E72D297353CC}">
              <c16:uniqueId val="{00000000-50B8-45CC-B957-7C641F2EEE74}"/>
            </c:ext>
          </c:extLst>
        </c:ser>
        <c:ser>
          <c:idx val="1"/>
          <c:order val="1"/>
          <c:tx>
            <c:strRef>
              <c:f>Analysis!$B$950</c:f>
              <c:strCache>
                <c:ptCount val="1"/>
                <c:pt idx="0">
                  <c:v>Personal loans</c:v>
                </c:pt>
              </c:strCache>
            </c:strRef>
          </c:tx>
          <c:spPr>
            <a:solidFill>
              <a:srgbClr val="F9663E"/>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Analysis!$C$948:$N$948</c:f>
              <c:strCache>
                <c:ptCount val="12"/>
                <c:pt idx="0">
                  <c:v>Q1 22</c:v>
                </c:pt>
                <c:pt idx="1">
                  <c:v>Q2 22</c:v>
                </c:pt>
                <c:pt idx="2">
                  <c:v>Q3 22</c:v>
                </c:pt>
                <c:pt idx="3">
                  <c:v>Q4 22</c:v>
                </c:pt>
                <c:pt idx="4">
                  <c:v>Q1 23</c:v>
                </c:pt>
                <c:pt idx="5">
                  <c:v>Q2 23</c:v>
                </c:pt>
                <c:pt idx="6">
                  <c:v>Q3 23</c:v>
                </c:pt>
                <c:pt idx="7">
                  <c:v>Q4 23</c:v>
                </c:pt>
                <c:pt idx="8">
                  <c:v>Q1 24</c:v>
                </c:pt>
                <c:pt idx="9">
                  <c:v>Q2 24</c:v>
                </c:pt>
                <c:pt idx="10">
                  <c:v>Q3 24</c:v>
                </c:pt>
                <c:pt idx="11">
                  <c:v>Q4 24</c:v>
                </c:pt>
              </c:strCache>
            </c:strRef>
          </c:cat>
          <c:val>
            <c:numRef>
              <c:f>Analysis!$C$950:$N$950</c:f>
              <c:numCache>
                <c:formatCode>#,##0</c:formatCode>
                <c:ptCount val="12"/>
                <c:pt idx="0">
                  <c:v>2007.5</c:v>
                </c:pt>
                <c:pt idx="1">
                  <c:v>1946.0530000000001</c:v>
                </c:pt>
                <c:pt idx="2">
                  <c:v>1904.7350000000001</c:v>
                </c:pt>
                <c:pt idx="3">
                  <c:v>1973</c:v>
                </c:pt>
                <c:pt idx="4">
                  <c:v>2336</c:v>
                </c:pt>
                <c:pt idx="5">
                  <c:v>2792</c:v>
                </c:pt>
                <c:pt idx="6">
                  <c:v>3039.8353402663747</c:v>
                </c:pt>
                <c:pt idx="7">
                  <c:v>3616.2162407352089</c:v>
                </c:pt>
                <c:pt idx="8">
                  <c:v>3689.891872316166</c:v>
                </c:pt>
                <c:pt idx="9">
                  <c:v>3928.1251029853338</c:v>
                </c:pt>
                <c:pt idx="10">
                  <c:v>4321.7196331459209</c:v>
                </c:pt>
                <c:pt idx="11">
                  <c:v>5052.6976911882102</c:v>
                </c:pt>
              </c:numCache>
            </c:numRef>
          </c:val>
          <c:extLst>
            <c:ext xmlns:c16="http://schemas.microsoft.com/office/drawing/2014/chart" uri="{C3380CC4-5D6E-409C-BE32-E72D297353CC}">
              <c16:uniqueId val="{00000001-50B8-45CC-B957-7C641F2EEE74}"/>
            </c:ext>
          </c:extLst>
        </c:ser>
        <c:ser>
          <c:idx val="2"/>
          <c:order val="2"/>
          <c:tx>
            <c:strRef>
              <c:f>Analysis!$B$951</c:f>
              <c:strCache>
                <c:ptCount val="1"/>
                <c:pt idx="0">
                  <c:v>Payroll</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Analysis!$C$948:$N$948</c:f>
              <c:strCache>
                <c:ptCount val="12"/>
                <c:pt idx="0">
                  <c:v>Q1 22</c:v>
                </c:pt>
                <c:pt idx="1">
                  <c:v>Q2 22</c:v>
                </c:pt>
                <c:pt idx="2">
                  <c:v>Q3 22</c:v>
                </c:pt>
                <c:pt idx="3">
                  <c:v>Q4 22</c:v>
                </c:pt>
                <c:pt idx="4">
                  <c:v>Q1 23</c:v>
                </c:pt>
                <c:pt idx="5">
                  <c:v>Q2 23</c:v>
                </c:pt>
                <c:pt idx="6">
                  <c:v>Q3 23</c:v>
                </c:pt>
                <c:pt idx="7">
                  <c:v>Q4 23</c:v>
                </c:pt>
                <c:pt idx="8">
                  <c:v>Q1 24</c:v>
                </c:pt>
                <c:pt idx="9">
                  <c:v>Q2 24</c:v>
                </c:pt>
                <c:pt idx="10">
                  <c:v>Q3 24</c:v>
                </c:pt>
                <c:pt idx="11">
                  <c:v>Q4 24</c:v>
                </c:pt>
              </c:strCache>
            </c:strRef>
          </c:cat>
          <c:val>
            <c:numRef>
              <c:f>Analysis!$C$951:$N$951</c:f>
              <c:numCache>
                <c:formatCode>#,##0</c:formatCode>
                <c:ptCount val="12"/>
                <c:pt idx="6">
                  <c:v>125</c:v>
                </c:pt>
                <c:pt idx="7">
                  <c:v>297.60987169666799</c:v>
                </c:pt>
                <c:pt idx="8">
                  <c:v>420.34214021247709</c:v>
                </c:pt>
                <c:pt idx="9">
                  <c:v>613.76573789139388</c:v>
                </c:pt>
                <c:pt idx="10">
                  <c:v>903.90113440976916</c:v>
                </c:pt>
                <c:pt idx="11">
                  <c:v>1269.7890943834561</c:v>
                </c:pt>
              </c:numCache>
            </c:numRef>
          </c:val>
          <c:extLst>
            <c:ext xmlns:c16="http://schemas.microsoft.com/office/drawing/2014/chart" uri="{C3380CC4-5D6E-409C-BE32-E72D297353CC}">
              <c16:uniqueId val="{00000002-50B8-45CC-B957-7C641F2EEE74}"/>
            </c:ext>
          </c:extLst>
        </c:ser>
        <c:dLbls>
          <c:showLegendKey val="0"/>
          <c:showVal val="0"/>
          <c:showCatName val="0"/>
          <c:showSerName val="0"/>
          <c:showPercent val="0"/>
          <c:showBubbleSize val="0"/>
        </c:dLbls>
        <c:gapWidth val="30"/>
        <c:overlap val="100"/>
        <c:axId val="551200879"/>
        <c:axId val="551201359"/>
      </c:barChart>
      <c:catAx>
        <c:axId val="551200879"/>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551201359"/>
        <c:crosses val="autoZero"/>
        <c:auto val="1"/>
        <c:lblAlgn val="ctr"/>
        <c:lblOffset val="100"/>
        <c:noMultiLvlLbl val="0"/>
      </c:catAx>
      <c:valAx>
        <c:axId val="551201359"/>
        <c:scaling>
          <c:orientation val="minMax"/>
        </c:scaling>
        <c:delete val="1"/>
        <c:axPos val="l"/>
        <c:numFmt formatCode="#,##0" sourceLinked="1"/>
        <c:majorTickMark val="out"/>
        <c:minorTickMark val="none"/>
        <c:tickLblPos val="nextTo"/>
        <c:crossAx val="551200879"/>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111111111111109E-2"/>
          <c:y val="0.14351851851851852"/>
          <c:w val="0.93888888888888888"/>
          <c:h val="0.7891972878390201"/>
        </c:manualLayout>
      </c:layout>
      <c:barChart>
        <c:barDir val="col"/>
        <c:grouping val="clustered"/>
        <c:varyColors val="0"/>
        <c:ser>
          <c:idx val="0"/>
          <c:order val="0"/>
          <c:tx>
            <c:strRef>
              <c:f>Analysis!$B$956</c:f>
              <c:strCache>
                <c:ptCount val="1"/>
                <c:pt idx="0">
                  <c:v>Net income</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Analysis!$C$955:$N$955</c:f>
              <c:strCache>
                <c:ptCount val="12"/>
                <c:pt idx="0">
                  <c:v>Q1 22</c:v>
                </c:pt>
                <c:pt idx="1">
                  <c:v>Q2 22</c:v>
                </c:pt>
                <c:pt idx="2">
                  <c:v>Q3 22</c:v>
                </c:pt>
                <c:pt idx="3">
                  <c:v>Q4 22</c:v>
                </c:pt>
                <c:pt idx="4">
                  <c:v>Q1 23</c:v>
                </c:pt>
                <c:pt idx="6">
                  <c:v>Q3 23</c:v>
                </c:pt>
                <c:pt idx="7">
                  <c:v>Q4 23</c:v>
                </c:pt>
                <c:pt idx="8">
                  <c:v>Q1 24</c:v>
                </c:pt>
                <c:pt idx="9">
                  <c:v>Q2 24</c:v>
                </c:pt>
                <c:pt idx="10">
                  <c:v>Q3 24</c:v>
                </c:pt>
                <c:pt idx="11">
                  <c:v>Q4 24</c:v>
                </c:pt>
              </c:strCache>
            </c:strRef>
          </c:cat>
          <c:val>
            <c:numRef>
              <c:f>Analysis!$C$956:$N$956</c:f>
              <c:numCache>
                <c:formatCode>0</c:formatCode>
                <c:ptCount val="12"/>
                <c:pt idx="0">
                  <c:v>-45.003999999999976</c:v>
                </c:pt>
                <c:pt idx="1">
                  <c:v>-29.849999999999852</c:v>
                </c:pt>
                <c:pt idx="2">
                  <c:v>7.8260000000000787</c:v>
                </c:pt>
                <c:pt idx="3">
                  <c:v>-296.87200000000013</c:v>
                </c:pt>
                <c:pt idx="4">
                  <c:v>143.33299999999997</c:v>
                </c:pt>
                <c:pt idx="6">
                  <c:v>230.97556042524025</c:v>
                </c:pt>
                <c:pt idx="7">
                  <c:v>275.97614800764939</c:v>
                </c:pt>
                <c:pt idx="8">
                  <c:v>254.01723617917969</c:v>
                </c:pt>
                <c:pt idx="9">
                  <c:v>304.85523719947287</c:v>
                </c:pt>
                <c:pt idx="10">
                  <c:v>374.37015574866746</c:v>
                </c:pt>
                <c:pt idx="11">
                  <c:v>539.64760137176461</c:v>
                </c:pt>
              </c:numCache>
            </c:numRef>
          </c:val>
          <c:extLst>
            <c:ext xmlns:c16="http://schemas.microsoft.com/office/drawing/2014/chart" uri="{C3380CC4-5D6E-409C-BE32-E72D297353CC}">
              <c16:uniqueId val="{00000000-CF72-42B3-914A-4B689FD89922}"/>
            </c:ext>
          </c:extLst>
        </c:ser>
        <c:dLbls>
          <c:showLegendKey val="0"/>
          <c:showVal val="0"/>
          <c:showCatName val="0"/>
          <c:showSerName val="0"/>
          <c:showPercent val="0"/>
          <c:showBubbleSize val="0"/>
        </c:dLbls>
        <c:gapWidth val="30"/>
        <c:overlap val="-27"/>
        <c:axId val="684547936"/>
        <c:axId val="684535936"/>
      </c:barChart>
      <c:catAx>
        <c:axId val="684547936"/>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684535936"/>
        <c:crosses val="autoZero"/>
        <c:auto val="1"/>
        <c:lblAlgn val="ctr"/>
        <c:lblOffset val="100"/>
        <c:noMultiLvlLbl val="0"/>
      </c:catAx>
      <c:valAx>
        <c:axId val="684535936"/>
        <c:scaling>
          <c:orientation val="minMax"/>
        </c:scaling>
        <c:delete val="1"/>
        <c:axPos val="l"/>
        <c:numFmt formatCode="0" sourceLinked="1"/>
        <c:majorTickMark val="out"/>
        <c:minorTickMark val="none"/>
        <c:tickLblPos val="nextTo"/>
        <c:crossAx val="68454793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111111111111109E-2"/>
          <c:y val="0.14351851851851852"/>
          <c:w val="0.93888888888888888"/>
          <c:h val="0.7891972878390201"/>
        </c:manualLayout>
      </c:layout>
      <c:barChart>
        <c:barDir val="col"/>
        <c:grouping val="stacked"/>
        <c:varyColors val="0"/>
        <c:ser>
          <c:idx val="0"/>
          <c:order val="0"/>
          <c:tx>
            <c:strRef>
              <c:f>Analysis!$B$957</c:f>
              <c:strCache>
                <c:ptCount val="1"/>
                <c:pt idx="0">
                  <c:v>Net income adj</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Analysis!$C$955:$N$955</c:f>
              <c:strCache>
                <c:ptCount val="12"/>
                <c:pt idx="0">
                  <c:v>Q1 22</c:v>
                </c:pt>
                <c:pt idx="1">
                  <c:v>Q2 22</c:v>
                </c:pt>
                <c:pt idx="2">
                  <c:v>Q3 22</c:v>
                </c:pt>
                <c:pt idx="3">
                  <c:v>Q4 22</c:v>
                </c:pt>
                <c:pt idx="4">
                  <c:v>Q1 23</c:v>
                </c:pt>
                <c:pt idx="6">
                  <c:v>Q3 23</c:v>
                </c:pt>
                <c:pt idx="7">
                  <c:v>Q4 23</c:v>
                </c:pt>
                <c:pt idx="8">
                  <c:v>Q1 24</c:v>
                </c:pt>
                <c:pt idx="9">
                  <c:v>Q2 24</c:v>
                </c:pt>
                <c:pt idx="10">
                  <c:v>Q3 24</c:v>
                </c:pt>
                <c:pt idx="11">
                  <c:v>Q4 24</c:v>
                </c:pt>
              </c:strCache>
            </c:strRef>
          </c:cat>
          <c:val>
            <c:numRef>
              <c:f>Analysis!$C$957:$N$957</c:f>
              <c:numCache>
                <c:formatCode>0</c:formatCode>
                <c:ptCount val="12"/>
                <c:pt idx="6">
                  <c:v>280.97556042524025</c:v>
                </c:pt>
                <c:pt idx="7">
                  <c:v>348.60914800764937</c:v>
                </c:pt>
                <c:pt idx="8">
                  <c:v>309.12969059341145</c:v>
                </c:pt>
                <c:pt idx="9">
                  <c:v>361.25265683379121</c:v>
                </c:pt>
                <c:pt idx="10">
                  <c:v>433.24176350362842</c:v>
                </c:pt>
                <c:pt idx="11">
                  <c:v>624.52243206825358</c:v>
                </c:pt>
              </c:numCache>
            </c:numRef>
          </c:val>
          <c:extLst>
            <c:ext xmlns:c16="http://schemas.microsoft.com/office/drawing/2014/chart" uri="{C3380CC4-5D6E-409C-BE32-E72D297353CC}">
              <c16:uniqueId val="{00000000-8EC9-473C-8963-6A3356CA5F73}"/>
            </c:ext>
          </c:extLst>
        </c:ser>
        <c:ser>
          <c:idx val="1"/>
          <c:order val="1"/>
          <c:tx>
            <c:strRef>
              <c:f>Analysis!$B$958</c:f>
              <c:strCache>
                <c:ptCount val="1"/>
                <c:pt idx="0">
                  <c:v>Brazil</c:v>
                </c:pt>
              </c:strCache>
            </c:strRef>
          </c:tx>
          <c:spPr>
            <a:solidFill>
              <a:srgbClr val="F9663E"/>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Analysis!$C$955:$N$955</c:f>
              <c:strCache>
                <c:ptCount val="12"/>
                <c:pt idx="0">
                  <c:v>Q1 22</c:v>
                </c:pt>
                <c:pt idx="1">
                  <c:v>Q2 22</c:v>
                </c:pt>
                <c:pt idx="2">
                  <c:v>Q3 22</c:v>
                </c:pt>
                <c:pt idx="3">
                  <c:v>Q4 22</c:v>
                </c:pt>
                <c:pt idx="4">
                  <c:v>Q1 23</c:v>
                </c:pt>
                <c:pt idx="6">
                  <c:v>Q3 23</c:v>
                </c:pt>
                <c:pt idx="7">
                  <c:v>Q4 23</c:v>
                </c:pt>
                <c:pt idx="8">
                  <c:v>Q1 24</c:v>
                </c:pt>
                <c:pt idx="9">
                  <c:v>Q2 24</c:v>
                </c:pt>
                <c:pt idx="10">
                  <c:v>Q3 24</c:v>
                </c:pt>
                <c:pt idx="11">
                  <c:v>Q4 24</c:v>
                </c:pt>
              </c:strCache>
            </c:strRef>
          </c:cat>
          <c:val>
            <c:numRef>
              <c:f>Analysis!$C$958:$N$958</c:f>
              <c:numCache>
                <c:formatCode>0</c:formatCode>
                <c:ptCount val="12"/>
                <c:pt idx="0">
                  <c:v>12.6</c:v>
                </c:pt>
                <c:pt idx="1">
                  <c:v>47.6</c:v>
                </c:pt>
                <c:pt idx="2">
                  <c:v>64.099999999999994</c:v>
                </c:pt>
                <c:pt idx="3">
                  <c:v>157.69999999999999</c:v>
                </c:pt>
              </c:numCache>
            </c:numRef>
          </c:val>
          <c:extLst>
            <c:ext xmlns:c16="http://schemas.microsoft.com/office/drawing/2014/chart" uri="{C3380CC4-5D6E-409C-BE32-E72D297353CC}">
              <c16:uniqueId val="{00000001-8EC9-473C-8963-6A3356CA5F73}"/>
            </c:ext>
          </c:extLst>
        </c:ser>
        <c:ser>
          <c:idx val="2"/>
          <c:order val="2"/>
          <c:tx>
            <c:strRef>
              <c:f>Analysis!$B$959</c:f>
              <c:strCache>
                <c:ptCount val="1"/>
                <c:pt idx="0">
                  <c:v>Other (Consol. Less Br)</c:v>
                </c:pt>
              </c:strCache>
            </c:strRef>
          </c:tx>
          <c:spPr>
            <a:solidFill>
              <a:srgbClr val="C7FE0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Analysis!$C$955:$N$955</c:f>
              <c:strCache>
                <c:ptCount val="12"/>
                <c:pt idx="0">
                  <c:v>Q1 22</c:v>
                </c:pt>
                <c:pt idx="1">
                  <c:v>Q2 22</c:v>
                </c:pt>
                <c:pt idx="2">
                  <c:v>Q3 22</c:v>
                </c:pt>
                <c:pt idx="3">
                  <c:v>Q4 22</c:v>
                </c:pt>
                <c:pt idx="4">
                  <c:v>Q1 23</c:v>
                </c:pt>
                <c:pt idx="6">
                  <c:v>Q3 23</c:v>
                </c:pt>
                <c:pt idx="7">
                  <c:v>Q4 23</c:v>
                </c:pt>
                <c:pt idx="8">
                  <c:v>Q1 24</c:v>
                </c:pt>
                <c:pt idx="9">
                  <c:v>Q2 24</c:v>
                </c:pt>
                <c:pt idx="10">
                  <c:v>Q3 24</c:v>
                </c:pt>
                <c:pt idx="11">
                  <c:v>Q4 24</c:v>
                </c:pt>
              </c:strCache>
            </c:strRef>
          </c:cat>
          <c:val>
            <c:numRef>
              <c:f>Analysis!$C$959:$N$959</c:f>
              <c:numCache>
                <c:formatCode>0</c:formatCode>
                <c:ptCount val="12"/>
                <c:pt idx="0">
                  <c:v>-2.5</c:v>
                </c:pt>
                <c:pt idx="1">
                  <c:v>-30.6</c:v>
                </c:pt>
                <c:pt idx="2">
                  <c:v>8.9000000000000057</c:v>
                </c:pt>
                <c:pt idx="3">
                  <c:v>-43.699999999999989</c:v>
                </c:pt>
              </c:numCache>
            </c:numRef>
          </c:val>
          <c:extLst>
            <c:ext xmlns:c16="http://schemas.microsoft.com/office/drawing/2014/chart" uri="{C3380CC4-5D6E-409C-BE32-E72D297353CC}">
              <c16:uniqueId val="{00000002-8EC9-473C-8963-6A3356CA5F73}"/>
            </c:ext>
          </c:extLst>
        </c:ser>
        <c:dLbls>
          <c:showLegendKey val="0"/>
          <c:showVal val="0"/>
          <c:showCatName val="0"/>
          <c:showSerName val="0"/>
          <c:showPercent val="0"/>
          <c:showBubbleSize val="0"/>
        </c:dLbls>
        <c:gapWidth val="30"/>
        <c:overlap val="100"/>
        <c:axId val="684547936"/>
        <c:axId val="684535936"/>
      </c:barChart>
      <c:catAx>
        <c:axId val="684547936"/>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684535936"/>
        <c:crosses val="autoZero"/>
        <c:auto val="1"/>
        <c:lblAlgn val="ctr"/>
        <c:lblOffset val="100"/>
        <c:noMultiLvlLbl val="0"/>
      </c:catAx>
      <c:valAx>
        <c:axId val="684535936"/>
        <c:scaling>
          <c:orientation val="minMax"/>
        </c:scaling>
        <c:delete val="1"/>
        <c:axPos val="l"/>
        <c:numFmt formatCode="0" sourceLinked="1"/>
        <c:majorTickMark val="out"/>
        <c:minorTickMark val="none"/>
        <c:tickLblPos val="nextTo"/>
        <c:crossAx val="684547936"/>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Analysis!$B$12</c:f>
              <c:strCache>
                <c:ptCount val="1"/>
                <c:pt idx="0">
                  <c:v>% of Revenue</c:v>
                </c:pt>
              </c:strCache>
            </c:strRef>
          </c:tx>
          <c:spPr>
            <a:ln w="25400" cap="rnd">
              <a:solidFill>
                <a:srgbClr val="333399"/>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Analysis!$D$1:$F$1</c:f>
              <c:strCache>
                <c:ptCount val="3"/>
                <c:pt idx="0">
                  <c:v>2019</c:v>
                </c:pt>
                <c:pt idx="1">
                  <c:v>2020</c:v>
                </c:pt>
                <c:pt idx="2">
                  <c:v>9m 21</c:v>
                </c:pt>
              </c:strCache>
            </c:strRef>
          </c:cat>
          <c:val>
            <c:numRef>
              <c:f>Analysis!$D$12:$F$12</c:f>
              <c:numCache>
                <c:formatCode>0%</c:formatCode>
                <c:ptCount val="3"/>
                <c:pt idx="0">
                  <c:v>1.3855324633478329E-2</c:v>
                </c:pt>
                <c:pt idx="1">
                  <c:v>5.0128865979381446E-2</c:v>
                </c:pt>
                <c:pt idx="2">
                  <c:v>0.15177478580171358</c:v>
                </c:pt>
              </c:numCache>
            </c:numRef>
          </c:val>
          <c:smooth val="0"/>
          <c:extLst>
            <c:ext xmlns:c16="http://schemas.microsoft.com/office/drawing/2014/chart" uri="{C3380CC4-5D6E-409C-BE32-E72D297353CC}">
              <c16:uniqueId val="{00000001-A3A8-41FF-9AD9-291EA526E3C4}"/>
            </c:ext>
          </c:extLst>
        </c:ser>
        <c:dLbls>
          <c:showLegendKey val="0"/>
          <c:showVal val="0"/>
          <c:showCatName val="0"/>
          <c:showSerName val="0"/>
          <c:showPercent val="0"/>
          <c:showBubbleSize val="0"/>
        </c:dLbls>
        <c:smooth val="0"/>
        <c:axId val="1951156687"/>
        <c:axId val="1951155439"/>
      </c:lineChart>
      <c:catAx>
        <c:axId val="195115668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951155439"/>
        <c:crosses val="autoZero"/>
        <c:auto val="1"/>
        <c:lblAlgn val="ctr"/>
        <c:lblOffset val="100"/>
        <c:noMultiLvlLbl val="0"/>
      </c:catAx>
      <c:valAx>
        <c:axId val="1951155439"/>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951156687"/>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rgbClr val="263238"/>
            </a:solidFill>
            <a:ln>
              <a:noFill/>
            </a:ln>
            <a:effectLst/>
            <a:extLst>
              <a:ext uri="{91240B29-F687-4F45-9708-019B960494DF}">
                <a14:hiddenLine xmlns:a14="http://schemas.microsoft.com/office/drawing/2010/main">
                  <a:noFill/>
                </a14:hiddenLine>
              </a:ext>
            </a:extLst>
          </c:spPr>
          <c:invertIfNegative val="0"/>
          <c:dPt>
            <c:idx val="1"/>
            <c:invertIfNegative val="0"/>
            <c:bubble3D val="0"/>
            <c:spPr>
              <a:no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2-8690-4887-AFC5-0CDFE57B47D4}"/>
              </c:ext>
            </c:extLst>
          </c:dPt>
          <c:dPt>
            <c:idx val="2"/>
            <c:invertIfNegative val="0"/>
            <c:bubble3D val="0"/>
            <c:spPr>
              <a:no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8690-4887-AFC5-0CDFE57B47D4}"/>
              </c:ext>
            </c:extLst>
          </c:dPt>
          <c:dPt>
            <c:idx val="3"/>
            <c:invertIfNegative val="0"/>
            <c:bubble3D val="0"/>
            <c:spPr>
              <a:no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4-8690-4887-AFC5-0CDFE57B47D4}"/>
              </c:ext>
            </c:extLst>
          </c:dPt>
          <c:cat>
            <c:strRef>
              <c:f>Analysis!$B$982:$B$986</c:f>
              <c:strCache>
                <c:ptCount val="5"/>
                <c:pt idx="0">
                  <c:v>Non interest revenue</c:v>
                </c:pt>
                <c:pt idx="1">
                  <c:v>Interest revenue</c:v>
                </c:pt>
                <c:pt idx="2">
                  <c:v>Funding cost</c:v>
                </c:pt>
                <c:pt idx="3">
                  <c:v>Losses</c:v>
                </c:pt>
                <c:pt idx="4">
                  <c:v>Net CC margin</c:v>
                </c:pt>
              </c:strCache>
            </c:strRef>
          </c:cat>
          <c:val>
            <c:numRef>
              <c:f>Analysis!$C$982:$C$986</c:f>
              <c:numCache>
                <c:formatCode>0%</c:formatCode>
                <c:ptCount val="5"/>
                <c:pt idx="1">
                  <c:v>0.11</c:v>
                </c:pt>
                <c:pt idx="2">
                  <c:v>0.27</c:v>
                </c:pt>
                <c:pt idx="3">
                  <c:v>0.16000000000000003</c:v>
                </c:pt>
              </c:numCache>
            </c:numRef>
          </c:val>
          <c:extLst>
            <c:ext xmlns:c16="http://schemas.microsoft.com/office/drawing/2014/chart" uri="{C3380CC4-5D6E-409C-BE32-E72D297353CC}">
              <c16:uniqueId val="{00000000-8690-4887-AFC5-0CDFE57B47D4}"/>
            </c:ext>
          </c:extLst>
        </c:ser>
        <c:ser>
          <c:idx val="1"/>
          <c:order val="1"/>
          <c:spPr>
            <a:solidFill>
              <a:srgbClr val="79909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Analysis!$B$982:$B$986</c:f>
              <c:strCache>
                <c:ptCount val="5"/>
                <c:pt idx="0">
                  <c:v>Non interest revenue</c:v>
                </c:pt>
                <c:pt idx="1">
                  <c:v>Interest revenue</c:v>
                </c:pt>
                <c:pt idx="2">
                  <c:v>Funding cost</c:v>
                </c:pt>
                <c:pt idx="3">
                  <c:v>Losses</c:v>
                </c:pt>
                <c:pt idx="4">
                  <c:v>Net CC margin</c:v>
                </c:pt>
              </c:strCache>
            </c:strRef>
          </c:cat>
          <c:val>
            <c:numRef>
              <c:f>Analysis!$D$982:$D$986</c:f>
              <c:numCache>
                <c:formatCode>0%</c:formatCode>
                <c:ptCount val="5"/>
                <c:pt idx="0">
                  <c:v>0.11</c:v>
                </c:pt>
                <c:pt idx="1">
                  <c:v>0.16</c:v>
                </c:pt>
                <c:pt idx="2">
                  <c:v>0</c:v>
                </c:pt>
                <c:pt idx="3">
                  <c:v>0.11</c:v>
                </c:pt>
                <c:pt idx="4">
                  <c:v>0.16</c:v>
                </c:pt>
              </c:numCache>
            </c:numRef>
          </c:val>
          <c:extLst>
            <c:ext xmlns:c16="http://schemas.microsoft.com/office/drawing/2014/chart" uri="{C3380CC4-5D6E-409C-BE32-E72D297353CC}">
              <c16:uniqueId val="{00000001-8690-4887-AFC5-0CDFE57B47D4}"/>
            </c:ext>
          </c:extLst>
        </c:ser>
        <c:dLbls>
          <c:showLegendKey val="0"/>
          <c:showVal val="0"/>
          <c:showCatName val="0"/>
          <c:showSerName val="0"/>
          <c:showPercent val="0"/>
          <c:showBubbleSize val="0"/>
        </c:dLbls>
        <c:gapWidth val="30"/>
        <c:overlap val="100"/>
        <c:axId val="70820320"/>
        <c:axId val="70823680"/>
      </c:barChart>
      <c:catAx>
        <c:axId val="70820320"/>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70823680"/>
        <c:crosses val="autoZero"/>
        <c:auto val="1"/>
        <c:lblAlgn val="ctr"/>
        <c:lblOffset val="100"/>
        <c:noMultiLvlLbl val="0"/>
      </c:catAx>
      <c:valAx>
        <c:axId val="70823680"/>
        <c:scaling>
          <c:orientation val="minMax"/>
        </c:scaling>
        <c:delete val="1"/>
        <c:axPos val="l"/>
        <c:numFmt formatCode="General" sourceLinked="1"/>
        <c:majorTickMark val="out"/>
        <c:minorTickMark val="none"/>
        <c:tickLblPos val="nextTo"/>
        <c:crossAx val="70820320"/>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noFill/>
            <a:ln>
              <a:noFill/>
            </a:ln>
            <a:effectLst/>
            <a:extLst>
              <a:ext uri="{91240B29-F687-4F45-9708-019B960494DF}">
                <a14:hiddenLine xmlns:a14="http://schemas.microsoft.com/office/drawing/2010/main">
                  <a:noFill/>
                </a14:hiddenLine>
              </a:ext>
            </a:extLst>
          </c:spPr>
          <c:invertIfNegative val="0"/>
          <c:cat>
            <c:strRef>
              <c:f>Analysis!$B$1000:$B$1004</c:f>
              <c:strCache>
                <c:ptCount val="5"/>
                <c:pt idx="0">
                  <c:v>Non interest revenue</c:v>
                </c:pt>
                <c:pt idx="1">
                  <c:v>Interest revenue</c:v>
                </c:pt>
                <c:pt idx="2">
                  <c:v>Funding cost</c:v>
                </c:pt>
                <c:pt idx="3">
                  <c:v>Losses</c:v>
                </c:pt>
                <c:pt idx="4">
                  <c:v>Net Personal loan margin</c:v>
                </c:pt>
              </c:strCache>
            </c:strRef>
          </c:cat>
          <c:val>
            <c:numRef>
              <c:f>Analysis!$C$1000:$C$1004</c:f>
              <c:numCache>
                <c:formatCode>0%</c:formatCode>
                <c:ptCount val="5"/>
                <c:pt idx="1">
                  <c:v>0</c:v>
                </c:pt>
                <c:pt idx="2">
                  <c:v>0.44249999999999995</c:v>
                </c:pt>
                <c:pt idx="3">
                  <c:v>0.22249999999999995</c:v>
                </c:pt>
              </c:numCache>
            </c:numRef>
          </c:val>
          <c:extLst>
            <c:ext xmlns:c16="http://schemas.microsoft.com/office/drawing/2014/chart" uri="{C3380CC4-5D6E-409C-BE32-E72D297353CC}">
              <c16:uniqueId val="{00000000-B1B2-4E7F-A6AB-D00D6D9670DF}"/>
            </c:ext>
          </c:extLst>
        </c:ser>
        <c:ser>
          <c:idx val="1"/>
          <c:order val="1"/>
          <c:spPr>
            <a:solidFill>
              <a:srgbClr val="79909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Analysis!$B$1000:$B$1004</c:f>
              <c:strCache>
                <c:ptCount val="5"/>
                <c:pt idx="0">
                  <c:v>Non interest revenue</c:v>
                </c:pt>
                <c:pt idx="1">
                  <c:v>Interest revenue</c:v>
                </c:pt>
                <c:pt idx="2">
                  <c:v>Funding cost</c:v>
                </c:pt>
                <c:pt idx="3">
                  <c:v>Losses</c:v>
                </c:pt>
                <c:pt idx="4">
                  <c:v>Net Personal loan margin</c:v>
                </c:pt>
              </c:strCache>
            </c:strRef>
          </c:cat>
          <c:val>
            <c:numRef>
              <c:f>Analysis!$D$1000:$D$1004</c:f>
              <c:numCache>
                <c:formatCode>0%</c:formatCode>
                <c:ptCount val="5"/>
                <c:pt idx="0">
                  <c:v>0</c:v>
                </c:pt>
                <c:pt idx="1">
                  <c:v>0.57999999999999996</c:v>
                </c:pt>
                <c:pt idx="2">
                  <c:v>0.13750000000000001</c:v>
                </c:pt>
                <c:pt idx="3">
                  <c:v>0.22</c:v>
                </c:pt>
                <c:pt idx="4">
                  <c:v>0.22</c:v>
                </c:pt>
              </c:numCache>
            </c:numRef>
          </c:val>
          <c:extLst>
            <c:ext xmlns:c16="http://schemas.microsoft.com/office/drawing/2014/chart" uri="{C3380CC4-5D6E-409C-BE32-E72D297353CC}">
              <c16:uniqueId val="{00000001-B1B2-4E7F-A6AB-D00D6D9670DF}"/>
            </c:ext>
          </c:extLst>
        </c:ser>
        <c:dLbls>
          <c:showLegendKey val="0"/>
          <c:showVal val="0"/>
          <c:showCatName val="0"/>
          <c:showSerName val="0"/>
          <c:showPercent val="0"/>
          <c:showBubbleSize val="0"/>
        </c:dLbls>
        <c:gapWidth val="30"/>
        <c:overlap val="100"/>
        <c:axId val="70784320"/>
        <c:axId val="70786240"/>
      </c:barChart>
      <c:catAx>
        <c:axId val="70784320"/>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70786240"/>
        <c:crosses val="autoZero"/>
        <c:auto val="1"/>
        <c:lblAlgn val="ctr"/>
        <c:lblOffset val="100"/>
        <c:noMultiLvlLbl val="0"/>
      </c:catAx>
      <c:valAx>
        <c:axId val="70786240"/>
        <c:scaling>
          <c:orientation val="minMax"/>
        </c:scaling>
        <c:delete val="1"/>
        <c:axPos val="l"/>
        <c:numFmt formatCode="General" sourceLinked="1"/>
        <c:majorTickMark val="out"/>
        <c:minorTickMark val="none"/>
        <c:tickLblPos val="nextTo"/>
        <c:crossAx val="70784320"/>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noFill/>
            <a:ln>
              <a:noFill/>
            </a:ln>
            <a:effectLst/>
            <a:extLst>
              <a:ext uri="{91240B29-F687-4F45-9708-019B960494DF}">
                <a14:hiddenLine xmlns:a14="http://schemas.microsoft.com/office/drawing/2010/main">
                  <a:noFill/>
                </a14:hiddenLine>
              </a:ext>
            </a:extLst>
          </c:spPr>
          <c:invertIfNegative val="0"/>
          <c:cat>
            <c:strRef>
              <c:f>Analysis!$B$1018:$B$1022</c:f>
              <c:strCache>
                <c:ptCount val="5"/>
                <c:pt idx="0">
                  <c:v>Non interest revenue</c:v>
                </c:pt>
                <c:pt idx="1">
                  <c:v>Interest revenue</c:v>
                </c:pt>
                <c:pt idx="2">
                  <c:v>Funding cost</c:v>
                </c:pt>
                <c:pt idx="3">
                  <c:v>Losses</c:v>
                </c:pt>
                <c:pt idx="4">
                  <c:v>Net Payroll margin</c:v>
                </c:pt>
              </c:strCache>
            </c:strRef>
          </c:cat>
          <c:val>
            <c:numRef>
              <c:f>Analysis!$C$1018:$C$1022</c:f>
              <c:numCache>
                <c:formatCode>0%</c:formatCode>
                <c:ptCount val="5"/>
                <c:pt idx="1">
                  <c:v>0</c:v>
                </c:pt>
                <c:pt idx="2">
                  <c:v>9.8899999999999988E-2</c:v>
                </c:pt>
                <c:pt idx="3">
                  <c:v>6.8899999999999989E-2</c:v>
                </c:pt>
              </c:numCache>
            </c:numRef>
          </c:val>
          <c:extLst>
            <c:ext xmlns:c16="http://schemas.microsoft.com/office/drawing/2014/chart" uri="{C3380CC4-5D6E-409C-BE32-E72D297353CC}">
              <c16:uniqueId val="{00000000-9650-40DB-A384-AB2D1B1E027F}"/>
            </c:ext>
          </c:extLst>
        </c:ser>
        <c:ser>
          <c:idx val="1"/>
          <c:order val="1"/>
          <c:spPr>
            <a:solidFill>
              <a:srgbClr val="79909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Analysis!$B$1018:$B$1022</c:f>
              <c:strCache>
                <c:ptCount val="5"/>
                <c:pt idx="0">
                  <c:v>Non interest revenue</c:v>
                </c:pt>
                <c:pt idx="1">
                  <c:v>Interest revenue</c:v>
                </c:pt>
                <c:pt idx="2">
                  <c:v>Funding cost</c:v>
                </c:pt>
                <c:pt idx="3">
                  <c:v>Losses</c:v>
                </c:pt>
                <c:pt idx="4">
                  <c:v>Net Payroll margin</c:v>
                </c:pt>
              </c:strCache>
            </c:strRef>
          </c:cat>
          <c:val>
            <c:numRef>
              <c:f>Analysis!$D$1018:$D$1022</c:f>
              <c:numCache>
                <c:formatCode>0%</c:formatCode>
                <c:ptCount val="5"/>
                <c:pt idx="0">
                  <c:v>0</c:v>
                </c:pt>
                <c:pt idx="1">
                  <c:v>0.2364</c:v>
                </c:pt>
                <c:pt idx="2">
                  <c:v>0.13750000000000001</c:v>
                </c:pt>
                <c:pt idx="3">
                  <c:v>0.03</c:v>
                </c:pt>
                <c:pt idx="4">
                  <c:v>6.8899999999999989E-2</c:v>
                </c:pt>
              </c:numCache>
            </c:numRef>
          </c:val>
          <c:extLst>
            <c:ext xmlns:c16="http://schemas.microsoft.com/office/drawing/2014/chart" uri="{C3380CC4-5D6E-409C-BE32-E72D297353CC}">
              <c16:uniqueId val="{00000001-9650-40DB-A384-AB2D1B1E027F}"/>
            </c:ext>
          </c:extLst>
        </c:ser>
        <c:dLbls>
          <c:showLegendKey val="0"/>
          <c:showVal val="0"/>
          <c:showCatName val="0"/>
          <c:showSerName val="0"/>
          <c:showPercent val="0"/>
          <c:showBubbleSize val="0"/>
        </c:dLbls>
        <c:gapWidth val="30"/>
        <c:overlap val="100"/>
        <c:axId val="70784320"/>
        <c:axId val="70786240"/>
      </c:barChart>
      <c:catAx>
        <c:axId val="70784320"/>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70786240"/>
        <c:crosses val="autoZero"/>
        <c:auto val="1"/>
        <c:lblAlgn val="ctr"/>
        <c:lblOffset val="100"/>
        <c:noMultiLvlLbl val="0"/>
      </c:catAx>
      <c:valAx>
        <c:axId val="70786240"/>
        <c:scaling>
          <c:orientation val="minMax"/>
        </c:scaling>
        <c:delete val="1"/>
        <c:axPos val="l"/>
        <c:numFmt formatCode="General" sourceLinked="1"/>
        <c:majorTickMark val="out"/>
        <c:minorTickMark val="none"/>
        <c:tickLblPos val="nextTo"/>
        <c:crossAx val="70784320"/>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'Earnings snap'!$C$365:$K$365</c:f>
              <c:numCache>
                <c:formatCode>#,##0</c:formatCode>
                <c:ptCount val="8"/>
                <c:pt idx="0">
                  <c:v>16872.931499999999</c:v>
                </c:pt>
                <c:pt idx="1">
                  <c:v>20310.7552</c:v>
                </c:pt>
                <c:pt idx="2">
                  <c:v>23774.587199999998</c:v>
                </c:pt>
                <c:pt idx="3">
                  <c:v>28833.4598682</c:v>
                </c:pt>
                <c:pt idx="4">
                  <c:v>32300.29866</c:v>
                </c:pt>
                <c:pt idx="5">
                  <c:v>37744.797419999995</c:v>
                </c:pt>
                <c:pt idx="6">
                  <c:v>42307.359015999995</c:v>
                </c:pt>
                <c:pt idx="7">
                  <c:v>52998.439999999995</c:v>
                </c:pt>
              </c:numCache>
            </c:numRef>
          </c:val>
          <c:extLst>
            <c:ext xmlns:c16="http://schemas.microsoft.com/office/drawing/2014/chart" uri="{C3380CC4-5D6E-409C-BE32-E72D297353CC}">
              <c16:uniqueId val="{00000000-B16D-4499-9FB7-DC2C9E8C5C9B}"/>
            </c:ext>
          </c:extLst>
        </c:ser>
        <c:ser>
          <c:idx val="1"/>
          <c:order val="1"/>
          <c:spPr>
            <a:solidFill>
              <a:srgbClr val="79909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'Earnings snap'!$C$366:$K$366</c:f>
              <c:numCache>
                <c:formatCode>#,##0</c:formatCode>
                <c:ptCount val="8"/>
                <c:pt idx="0">
                  <c:v>1712.6448</c:v>
                </c:pt>
                <c:pt idx="1">
                  <c:v>2942.0032000000001</c:v>
                </c:pt>
                <c:pt idx="2">
                  <c:v>4914.9386999999997</c:v>
                </c:pt>
                <c:pt idx="3">
                  <c:v>7763.4428268000001</c:v>
                </c:pt>
                <c:pt idx="4">
                  <c:v>9515.5500000000011</c:v>
                </c:pt>
                <c:pt idx="5">
                  <c:v>10236.23878</c:v>
                </c:pt>
                <c:pt idx="6">
                  <c:v>10315.092392500001</c:v>
                </c:pt>
                <c:pt idx="7">
                  <c:v>11820.16</c:v>
                </c:pt>
              </c:numCache>
            </c:numRef>
          </c:val>
          <c:extLst>
            <c:ext xmlns:c16="http://schemas.microsoft.com/office/drawing/2014/chart" uri="{C3380CC4-5D6E-409C-BE32-E72D297353CC}">
              <c16:uniqueId val="{00000001-B16D-4499-9FB7-DC2C9E8C5C9B}"/>
            </c:ext>
          </c:extLst>
        </c:ser>
        <c:dLbls>
          <c:showLegendKey val="0"/>
          <c:showVal val="0"/>
          <c:showCatName val="0"/>
          <c:showSerName val="0"/>
          <c:showPercent val="0"/>
          <c:showBubbleSize val="0"/>
        </c:dLbls>
        <c:gapWidth val="30"/>
        <c:overlap val="-27"/>
        <c:axId val="1044596512"/>
        <c:axId val="1044585952"/>
      </c:barChart>
      <c:catAx>
        <c:axId val="1044596512"/>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044585952"/>
        <c:crosses val="autoZero"/>
        <c:auto val="1"/>
        <c:lblAlgn val="ctr"/>
        <c:lblOffset val="100"/>
        <c:noMultiLvlLbl val="0"/>
      </c:catAx>
      <c:valAx>
        <c:axId val="1044585952"/>
        <c:scaling>
          <c:orientation val="minMax"/>
        </c:scaling>
        <c:delete val="0"/>
        <c:axPos val="l"/>
        <c:numFmt formatCode="#,##0"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04459651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Analysis!$B$1104</c:f>
              <c:strCache>
                <c:ptCount val="1"/>
                <c:pt idx="0">
                  <c:v>Instalments NU</c:v>
                </c:pt>
              </c:strCache>
            </c:strRef>
          </c:tx>
          <c:spPr>
            <a:ln w="25400" cap="rnd">
              <a:solidFill>
                <a:srgbClr val="799098"/>
              </a:solidFill>
              <a:prstDash val="sysDash"/>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Analysis!$C$1103:$G$1103</c:f>
              <c:strCache>
                <c:ptCount val="5"/>
                <c:pt idx="0">
                  <c:v>Q2 22</c:v>
                </c:pt>
                <c:pt idx="1">
                  <c:v>Q3 22</c:v>
                </c:pt>
                <c:pt idx="2">
                  <c:v>Q4 23</c:v>
                </c:pt>
                <c:pt idx="3">
                  <c:v>Q1 23</c:v>
                </c:pt>
                <c:pt idx="4">
                  <c:v>Q2 23</c:v>
                </c:pt>
              </c:strCache>
            </c:strRef>
          </c:cat>
          <c:val>
            <c:numRef>
              <c:f>Analysis!$C$1104:$G$1104</c:f>
              <c:numCache>
                <c:formatCode>0%</c:formatCode>
                <c:ptCount val="5"/>
                <c:pt idx="0">
                  <c:v>0.08</c:v>
                </c:pt>
                <c:pt idx="1">
                  <c:v>0.1</c:v>
                </c:pt>
                <c:pt idx="2">
                  <c:v>0.12</c:v>
                </c:pt>
                <c:pt idx="3">
                  <c:v>0.16</c:v>
                </c:pt>
                <c:pt idx="4">
                  <c:v>0.19</c:v>
                </c:pt>
              </c:numCache>
            </c:numRef>
          </c:val>
          <c:smooth val="0"/>
          <c:extLst>
            <c:ext xmlns:c16="http://schemas.microsoft.com/office/drawing/2014/chart" uri="{C3380CC4-5D6E-409C-BE32-E72D297353CC}">
              <c16:uniqueId val="{00000000-0CC4-457A-9B47-2F009BB4FB05}"/>
            </c:ext>
          </c:extLst>
        </c:ser>
        <c:ser>
          <c:idx val="1"/>
          <c:order val="1"/>
          <c:tx>
            <c:strRef>
              <c:f>Analysis!$B$1105</c:f>
              <c:strCache>
                <c:ptCount val="1"/>
                <c:pt idx="0">
                  <c:v>Revolving NU</c:v>
                </c:pt>
              </c:strCache>
            </c:strRef>
          </c:tx>
          <c:spPr>
            <a:ln w="25400" cap="rnd">
              <a:solidFill>
                <a:srgbClr val="79909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Analysis!$C$1103:$G$1103</c:f>
              <c:strCache>
                <c:ptCount val="5"/>
                <c:pt idx="0">
                  <c:v>Q2 22</c:v>
                </c:pt>
                <c:pt idx="1">
                  <c:v>Q3 22</c:v>
                </c:pt>
                <c:pt idx="2">
                  <c:v>Q4 23</c:v>
                </c:pt>
                <c:pt idx="3">
                  <c:v>Q1 23</c:v>
                </c:pt>
                <c:pt idx="4">
                  <c:v>Q2 23</c:v>
                </c:pt>
              </c:strCache>
            </c:strRef>
          </c:cat>
          <c:val>
            <c:numRef>
              <c:f>Analysis!$C$1105:$G$1105</c:f>
              <c:numCache>
                <c:formatCode>0%</c:formatCode>
                <c:ptCount val="5"/>
                <c:pt idx="0">
                  <c:v>0.06</c:v>
                </c:pt>
                <c:pt idx="1">
                  <c:v>7.0000000000000007E-2</c:v>
                </c:pt>
                <c:pt idx="2">
                  <c:v>7.0000000000000007E-2</c:v>
                </c:pt>
                <c:pt idx="3">
                  <c:v>7.0000000000000007E-2</c:v>
                </c:pt>
                <c:pt idx="4">
                  <c:v>7.0000000000000007E-2</c:v>
                </c:pt>
              </c:numCache>
            </c:numRef>
          </c:val>
          <c:smooth val="0"/>
          <c:extLst>
            <c:ext xmlns:c16="http://schemas.microsoft.com/office/drawing/2014/chart" uri="{C3380CC4-5D6E-409C-BE32-E72D297353CC}">
              <c16:uniqueId val="{00000001-0CC4-457A-9B47-2F009BB4FB05}"/>
            </c:ext>
          </c:extLst>
        </c:ser>
        <c:ser>
          <c:idx val="2"/>
          <c:order val="2"/>
          <c:tx>
            <c:strRef>
              <c:f>Analysis!$B$1106</c:f>
              <c:strCache>
                <c:ptCount val="1"/>
                <c:pt idx="0">
                  <c:v>Instalments Industry</c:v>
                </c:pt>
              </c:strCache>
            </c:strRef>
          </c:tx>
          <c:spPr>
            <a:ln w="25400" cap="rnd">
              <a:solidFill>
                <a:srgbClr val="F9663E"/>
              </a:solidFill>
              <a:prstDash val="sysDash"/>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Analysis!$C$1103:$G$1103</c:f>
              <c:strCache>
                <c:ptCount val="5"/>
                <c:pt idx="0">
                  <c:v>Q2 22</c:v>
                </c:pt>
                <c:pt idx="1">
                  <c:v>Q3 22</c:v>
                </c:pt>
                <c:pt idx="2">
                  <c:v>Q4 23</c:v>
                </c:pt>
                <c:pt idx="3">
                  <c:v>Q1 23</c:v>
                </c:pt>
                <c:pt idx="4">
                  <c:v>Q2 23</c:v>
                </c:pt>
              </c:strCache>
            </c:strRef>
          </c:cat>
          <c:val>
            <c:numRef>
              <c:f>Analysis!$C$1106:$G$1106</c:f>
              <c:numCache>
                <c:formatCode>0%</c:formatCode>
                <c:ptCount val="5"/>
                <c:pt idx="0">
                  <c:v>0.1</c:v>
                </c:pt>
                <c:pt idx="1">
                  <c:v>0.1</c:v>
                </c:pt>
                <c:pt idx="2">
                  <c:v>0.09</c:v>
                </c:pt>
                <c:pt idx="3">
                  <c:v>0.1</c:v>
                </c:pt>
                <c:pt idx="4">
                  <c:v>0.11</c:v>
                </c:pt>
              </c:numCache>
            </c:numRef>
          </c:val>
          <c:smooth val="0"/>
          <c:extLst>
            <c:ext xmlns:c16="http://schemas.microsoft.com/office/drawing/2014/chart" uri="{C3380CC4-5D6E-409C-BE32-E72D297353CC}">
              <c16:uniqueId val="{00000002-0CC4-457A-9B47-2F009BB4FB05}"/>
            </c:ext>
          </c:extLst>
        </c:ser>
        <c:ser>
          <c:idx val="3"/>
          <c:order val="3"/>
          <c:tx>
            <c:strRef>
              <c:f>Analysis!$B$1107</c:f>
              <c:strCache>
                <c:ptCount val="1"/>
                <c:pt idx="0">
                  <c:v>Revolving Industry</c:v>
                </c:pt>
              </c:strCache>
            </c:strRef>
          </c:tx>
          <c:spPr>
            <a:ln w="25400" cap="rnd">
              <a:solidFill>
                <a:srgbClr val="FF0000"/>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Analysis!$C$1103:$G$1103</c:f>
              <c:strCache>
                <c:ptCount val="5"/>
                <c:pt idx="0">
                  <c:v>Q2 22</c:v>
                </c:pt>
                <c:pt idx="1">
                  <c:v>Q3 22</c:v>
                </c:pt>
                <c:pt idx="2">
                  <c:v>Q4 23</c:v>
                </c:pt>
                <c:pt idx="3">
                  <c:v>Q1 23</c:v>
                </c:pt>
                <c:pt idx="4">
                  <c:v>Q2 23</c:v>
                </c:pt>
              </c:strCache>
            </c:strRef>
          </c:cat>
          <c:val>
            <c:numRef>
              <c:f>Analysis!$C$1107:$G$1107</c:f>
              <c:numCache>
                <c:formatCode>0%</c:formatCode>
                <c:ptCount val="5"/>
                <c:pt idx="0">
                  <c:v>0.15</c:v>
                </c:pt>
                <c:pt idx="1">
                  <c:v>0.17</c:v>
                </c:pt>
                <c:pt idx="2">
                  <c:v>0.17</c:v>
                </c:pt>
                <c:pt idx="3">
                  <c:v>0.18</c:v>
                </c:pt>
                <c:pt idx="4">
                  <c:v>0.16</c:v>
                </c:pt>
              </c:numCache>
            </c:numRef>
          </c:val>
          <c:smooth val="0"/>
          <c:extLst>
            <c:ext xmlns:c16="http://schemas.microsoft.com/office/drawing/2014/chart" uri="{C3380CC4-5D6E-409C-BE32-E72D297353CC}">
              <c16:uniqueId val="{00000003-0CC4-457A-9B47-2F009BB4FB05}"/>
            </c:ext>
          </c:extLst>
        </c:ser>
        <c:dLbls>
          <c:showLegendKey val="0"/>
          <c:showVal val="0"/>
          <c:showCatName val="0"/>
          <c:showSerName val="0"/>
          <c:showPercent val="0"/>
          <c:showBubbleSize val="0"/>
        </c:dLbls>
        <c:smooth val="0"/>
        <c:axId val="488992640"/>
        <c:axId val="946798992"/>
      </c:lineChart>
      <c:catAx>
        <c:axId val="488992640"/>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946798992"/>
        <c:crosses val="autoZero"/>
        <c:auto val="1"/>
        <c:lblAlgn val="ctr"/>
        <c:lblOffset val="100"/>
        <c:noMultiLvlLbl val="0"/>
      </c:catAx>
      <c:valAx>
        <c:axId val="946798992"/>
        <c:scaling>
          <c:orientation val="minMax"/>
        </c:scaling>
        <c:delete val="1"/>
        <c:axPos val="l"/>
        <c:numFmt formatCode="0%" sourceLinked="1"/>
        <c:majorTickMark val="out"/>
        <c:minorTickMark val="none"/>
        <c:tickLblPos val="nextTo"/>
        <c:crossAx val="48899264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Analysis!$B$1091</c:f>
              <c:strCache>
                <c:ptCount val="1"/>
                <c:pt idx="0">
                  <c:v>Instalments component</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cat>
            <c:strRef>
              <c:f>Analysis!$C$1088:$D$1088</c:f>
              <c:strCache>
                <c:ptCount val="2"/>
                <c:pt idx="0">
                  <c:v>Q2 22</c:v>
                </c:pt>
                <c:pt idx="1">
                  <c:v>Q2 23</c:v>
                </c:pt>
              </c:strCache>
            </c:strRef>
          </c:cat>
          <c:val>
            <c:numRef>
              <c:f>Analysis!$C$1091:$D$1091</c:f>
              <c:numCache>
                <c:formatCode>#,##0</c:formatCode>
                <c:ptCount val="2"/>
                <c:pt idx="0">
                  <c:v>518.27760000000001</c:v>
                </c:pt>
                <c:pt idx="1">
                  <c:v>1973.72</c:v>
                </c:pt>
              </c:numCache>
            </c:numRef>
          </c:val>
          <c:extLst>
            <c:ext xmlns:c16="http://schemas.microsoft.com/office/drawing/2014/chart" uri="{C3380CC4-5D6E-409C-BE32-E72D297353CC}">
              <c16:uniqueId val="{00000000-DA0C-4FCA-87D6-68C31E140DA8}"/>
            </c:ext>
          </c:extLst>
        </c:ser>
        <c:dLbls>
          <c:showLegendKey val="0"/>
          <c:showVal val="0"/>
          <c:showCatName val="0"/>
          <c:showSerName val="0"/>
          <c:showPercent val="0"/>
          <c:showBubbleSize val="0"/>
        </c:dLbls>
        <c:gapWidth val="30"/>
        <c:overlap val="-27"/>
        <c:axId val="1915275200"/>
        <c:axId val="1738035808"/>
      </c:barChart>
      <c:catAx>
        <c:axId val="1915275200"/>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738035808"/>
        <c:crosses val="autoZero"/>
        <c:auto val="1"/>
        <c:lblAlgn val="ctr"/>
        <c:lblOffset val="100"/>
        <c:noMultiLvlLbl val="0"/>
      </c:catAx>
      <c:valAx>
        <c:axId val="1738035808"/>
        <c:scaling>
          <c:orientation val="minMax"/>
        </c:scaling>
        <c:delete val="0"/>
        <c:axPos val="l"/>
        <c:numFmt formatCode="#,##0"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915275200"/>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193382783056028"/>
          <c:y val="5.9722016615699376E-2"/>
          <c:w val="0.49372227133954971"/>
          <c:h val="0.61671981072995152"/>
        </c:manualLayout>
      </c:layout>
      <c:pieChart>
        <c:varyColors val="1"/>
        <c:ser>
          <c:idx val="0"/>
          <c:order val="0"/>
          <c:dPt>
            <c:idx val="0"/>
            <c:bubble3D val="0"/>
            <c:spPr>
              <a:solidFill>
                <a:srgbClr val="263238"/>
              </a:solidFill>
              <a:ln w="25400">
                <a:noFill/>
              </a:ln>
              <a:effectLst/>
            </c:spPr>
            <c:extLst>
              <c:ext xmlns:c16="http://schemas.microsoft.com/office/drawing/2014/chart" uri="{C3380CC4-5D6E-409C-BE32-E72D297353CC}">
                <c16:uniqueId val="{00000001-B20E-4D16-A358-5583867D5B06}"/>
              </c:ext>
            </c:extLst>
          </c:dPt>
          <c:dPt>
            <c:idx val="1"/>
            <c:bubble3D val="0"/>
            <c:spPr>
              <a:solidFill>
                <a:srgbClr val="F9663E"/>
              </a:solidFill>
              <a:ln w="25400">
                <a:noFill/>
              </a:ln>
              <a:effectLst/>
            </c:spPr>
            <c:extLst>
              <c:ext xmlns:c16="http://schemas.microsoft.com/office/drawing/2014/chart" uri="{C3380CC4-5D6E-409C-BE32-E72D297353CC}">
                <c16:uniqueId val="{00000002-B20E-4D16-A358-5583867D5B06}"/>
              </c:ext>
            </c:extLst>
          </c:dPt>
          <c:dPt>
            <c:idx val="2"/>
            <c:bubble3D val="0"/>
            <c:spPr>
              <a:solidFill>
                <a:srgbClr val="799098"/>
              </a:solidFill>
              <a:ln w="25400">
                <a:noFill/>
              </a:ln>
              <a:effectLst/>
            </c:spPr>
            <c:extLst>
              <c:ext xmlns:c16="http://schemas.microsoft.com/office/drawing/2014/chart" uri="{C3380CC4-5D6E-409C-BE32-E72D297353CC}">
                <c16:uniqueId val="{00000003-B20E-4D16-A358-5583867D5B06}"/>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Helvetica Neue"/>
                    <a:ea typeface="Helvetica Neue"/>
                    <a:cs typeface="Helvetica Neue"/>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Analysis!$B$1130:$B$1132</c:f>
              <c:strCache>
                <c:ptCount val="3"/>
                <c:pt idx="0">
                  <c:v>Credit cards</c:v>
                </c:pt>
                <c:pt idx="1">
                  <c:v>Personal loans</c:v>
                </c:pt>
                <c:pt idx="2">
                  <c:v>Other (including interest on securities)</c:v>
                </c:pt>
              </c:strCache>
            </c:strRef>
          </c:cat>
          <c:val>
            <c:numRef>
              <c:f>Analysis!$C$1130:$C$1132</c:f>
              <c:numCache>
                <c:formatCode>#,##0</c:formatCode>
                <c:ptCount val="3"/>
                <c:pt idx="0">
                  <c:v>853.8</c:v>
                </c:pt>
                <c:pt idx="1">
                  <c:v>353</c:v>
                </c:pt>
                <c:pt idx="2">
                  <c:v>661.8</c:v>
                </c:pt>
              </c:numCache>
            </c:numRef>
          </c:val>
          <c:extLst>
            <c:ext xmlns:c16="http://schemas.microsoft.com/office/drawing/2014/chart" uri="{C3380CC4-5D6E-409C-BE32-E72D297353CC}">
              <c16:uniqueId val="{00000000-B20E-4D16-A358-5583867D5B06}"/>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193382783056028"/>
          <c:y val="5.9722016615699376E-2"/>
          <c:w val="0.49372227133954971"/>
          <c:h val="0.61671981072995152"/>
        </c:manualLayout>
      </c:layout>
      <c:pieChart>
        <c:varyColors val="1"/>
        <c:ser>
          <c:idx val="0"/>
          <c:order val="0"/>
          <c:dPt>
            <c:idx val="0"/>
            <c:bubble3D val="0"/>
            <c:spPr>
              <a:solidFill>
                <a:srgbClr val="263238"/>
              </a:solidFill>
              <a:ln w="25400">
                <a:noFill/>
              </a:ln>
              <a:effectLst/>
            </c:spPr>
            <c:extLst>
              <c:ext xmlns:c16="http://schemas.microsoft.com/office/drawing/2014/chart" uri="{C3380CC4-5D6E-409C-BE32-E72D297353CC}">
                <c16:uniqueId val="{00000001-A6A6-40AF-8B27-C1330933D7C1}"/>
              </c:ext>
            </c:extLst>
          </c:dPt>
          <c:dPt>
            <c:idx val="1"/>
            <c:bubble3D val="0"/>
            <c:spPr>
              <a:solidFill>
                <a:srgbClr val="F9663E"/>
              </a:solidFill>
              <a:ln w="25400">
                <a:noFill/>
              </a:ln>
              <a:effectLst/>
            </c:spPr>
            <c:extLst>
              <c:ext xmlns:c16="http://schemas.microsoft.com/office/drawing/2014/chart" uri="{C3380CC4-5D6E-409C-BE32-E72D297353CC}">
                <c16:uniqueId val="{00000003-A6A6-40AF-8B27-C1330933D7C1}"/>
              </c:ext>
            </c:extLst>
          </c:dPt>
          <c:dPt>
            <c:idx val="2"/>
            <c:bubble3D val="0"/>
            <c:spPr>
              <a:solidFill>
                <a:srgbClr val="799098"/>
              </a:solidFill>
              <a:ln w="25400">
                <a:noFill/>
              </a:ln>
              <a:effectLst/>
            </c:spPr>
            <c:extLst>
              <c:ext xmlns:c16="http://schemas.microsoft.com/office/drawing/2014/chart" uri="{C3380CC4-5D6E-409C-BE32-E72D297353CC}">
                <c16:uniqueId val="{00000005-A6A6-40AF-8B27-C1330933D7C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Helvetica Neue"/>
                    <a:ea typeface="Helvetica Neue"/>
                    <a:cs typeface="Helvetica Neue"/>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Analysis!$B$1160:$B$1162</c:f>
              <c:strCache>
                <c:ptCount val="3"/>
                <c:pt idx="0">
                  <c:v>Credit cards</c:v>
                </c:pt>
                <c:pt idx="1">
                  <c:v>Personal loans</c:v>
                </c:pt>
                <c:pt idx="2">
                  <c:v>Other</c:v>
                </c:pt>
              </c:strCache>
            </c:strRef>
          </c:cat>
          <c:val>
            <c:numRef>
              <c:f>Analysis!$C$1160:$C$1162</c:f>
              <c:numCache>
                <c:formatCode>#,##0</c:formatCode>
                <c:ptCount val="3"/>
                <c:pt idx="0">
                  <c:v>300.43737777777778</c:v>
                </c:pt>
                <c:pt idx="1">
                  <c:v>157.27262222222225</c:v>
                </c:pt>
                <c:pt idx="2">
                  <c:v>367.09</c:v>
                </c:pt>
              </c:numCache>
            </c:numRef>
          </c:val>
          <c:extLst>
            <c:ext xmlns:c16="http://schemas.microsoft.com/office/drawing/2014/chart" uri="{C3380CC4-5D6E-409C-BE32-E72D297353CC}">
              <c16:uniqueId val="{00000006-A6A6-40AF-8B27-C1330933D7C1}"/>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Analysis!$B$1108</c:f>
              <c:strCache>
                <c:ptCount val="1"/>
                <c:pt idx="0">
                  <c:v>NU interest bearing</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FF0000"/>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C09E-4E62-B4B5-2B6ACAE335E4}"/>
              </c:ext>
            </c:extLst>
          </c:dPt>
          <c:dPt>
            <c:idx val="6"/>
            <c:invertIfNegative val="0"/>
            <c:bubble3D val="0"/>
            <c:spPr>
              <a:solidFill>
                <a:schemeClr val="tx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32FF-4D0B-B38B-8B36CD2BFC98}"/>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595959"/>
                    </a:solidFill>
                    <a:latin typeface="Helvetica Neue"/>
                    <a:ea typeface="Helvetica Neue"/>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Analysis!$C$1103:$I$1103</c:f>
              <c:strCache>
                <c:ptCount val="7"/>
                <c:pt idx="0">
                  <c:v>Q2 22</c:v>
                </c:pt>
                <c:pt idx="1">
                  <c:v>Q3 22</c:v>
                </c:pt>
                <c:pt idx="2">
                  <c:v>Q4 23</c:v>
                </c:pt>
                <c:pt idx="3">
                  <c:v>Q1 23</c:v>
                </c:pt>
                <c:pt idx="4">
                  <c:v>Q2 23</c:v>
                </c:pt>
                <c:pt idx="5">
                  <c:v>Mexico/Col</c:v>
                </c:pt>
                <c:pt idx="6">
                  <c:v>US/UK</c:v>
                </c:pt>
              </c:strCache>
            </c:strRef>
          </c:cat>
          <c:val>
            <c:numRef>
              <c:f>Analysis!$C$1108:$I$1108</c:f>
              <c:numCache>
                <c:formatCode>0%</c:formatCode>
                <c:ptCount val="7"/>
                <c:pt idx="0">
                  <c:v>0.14000000000000001</c:v>
                </c:pt>
                <c:pt idx="1">
                  <c:v>0.17</c:v>
                </c:pt>
                <c:pt idx="2">
                  <c:v>0.19</c:v>
                </c:pt>
                <c:pt idx="3">
                  <c:v>0.23</c:v>
                </c:pt>
                <c:pt idx="4">
                  <c:v>0.26</c:v>
                </c:pt>
                <c:pt idx="5">
                  <c:v>0.7</c:v>
                </c:pt>
                <c:pt idx="6">
                  <c:v>0.7</c:v>
                </c:pt>
              </c:numCache>
            </c:numRef>
          </c:val>
          <c:extLst>
            <c:ext xmlns:c16="http://schemas.microsoft.com/office/drawing/2014/chart" uri="{C3380CC4-5D6E-409C-BE32-E72D297353CC}">
              <c16:uniqueId val="{00000000-C09E-4E62-B4B5-2B6ACAE335E4}"/>
            </c:ext>
          </c:extLst>
        </c:ser>
        <c:dLbls>
          <c:showLegendKey val="0"/>
          <c:showVal val="0"/>
          <c:showCatName val="0"/>
          <c:showSerName val="0"/>
          <c:showPercent val="0"/>
          <c:showBubbleSize val="0"/>
        </c:dLbls>
        <c:gapWidth val="30"/>
        <c:overlap val="-27"/>
        <c:axId val="102802944"/>
        <c:axId val="110146224"/>
      </c:barChart>
      <c:catAx>
        <c:axId val="102802944"/>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10146224"/>
        <c:crosses val="autoZero"/>
        <c:auto val="1"/>
        <c:lblAlgn val="ctr"/>
        <c:lblOffset val="100"/>
        <c:noMultiLvlLbl val="0"/>
      </c:catAx>
      <c:valAx>
        <c:axId val="110146224"/>
        <c:scaling>
          <c:orientation val="minMax"/>
        </c:scaling>
        <c:delete val="1"/>
        <c:axPos val="l"/>
        <c:numFmt formatCode="0%" sourceLinked="1"/>
        <c:majorTickMark val="out"/>
        <c:minorTickMark val="none"/>
        <c:tickLblPos val="nextTo"/>
        <c:crossAx val="102802944"/>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79909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595959"/>
                    </a:solidFill>
                    <a:latin typeface="Helvetica Neue"/>
                    <a:ea typeface="Helvetica Neue"/>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Analysis!$B$962:$B$964</c:f>
              <c:strCache>
                <c:ptCount val="3"/>
                <c:pt idx="0">
                  <c:v>Personal loan</c:v>
                </c:pt>
                <c:pt idx="1">
                  <c:v>Credit card</c:v>
                </c:pt>
                <c:pt idx="2">
                  <c:v>Payroll</c:v>
                </c:pt>
              </c:strCache>
            </c:strRef>
          </c:cat>
          <c:val>
            <c:numRef>
              <c:f>Analysis!$C$962:$C$964</c:f>
              <c:numCache>
                <c:formatCode>0%</c:formatCode>
                <c:ptCount val="3"/>
                <c:pt idx="0">
                  <c:v>1.2</c:v>
                </c:pt>
                <c:pt idx="1">
                  <c:v>0.8</c:v>
                </c:pt>
                <c:pt idx="2">
                  <c:v>0.3</c:v>
                </c:pt>
              </c:numCache>
            </c:numRef>
          </c:val>
          <c:extLst>
            <c:ext xmlns:c16="http://schemas.microsoft.com/office/drawing/2014/chart" uri="{C3380CC4-5D6E-409C-BE32-E72D297353CC}">
              <c16:uniqueId val="{00000000-9CED-48F2-8FB2-1001D2CD42BB}"/>
            </c:ext>
          </c:extLst>
        </c:ser>
        <c:dLbls>
          <c:showLegendKey val="0"/>
          <c:showVal val="0"/>
          <c:showCatName val="0"/>
          <c:showSerName val="0"/>
          <c:showPercent val="0"/>
          <c:showBubbleSize val="0"/>
        </c:dLbls>
        <c:gapWidth val="30"/>
        <c:overlap val="-27"/>
        <c:axId val="98455568"/>
        <c:axId val="110183184"/>
      </c:barChart>
      <c:catAx>
        <c:axId val="98455568"/>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10183184"/>
        <c:crosses val="autoZero"/>
        <c:auto val="1"/>
        <c:lblAlgn val="ctr"/>
        <c:lblOffset val="100"/>
        <c:noMultiLvlLbl val="0"/>
      </c:catAx>
      <c:valAx>
        <c:axId val="110183184"/>
        <c:scaling>
          <c:orientation val="minMax"/>
        </c:scaling>
        <c:delete val="1"/>
        <c:axPos val="l"/>
        <c:numFmt formatCode="0%" sourceLinked="1"/>
        <c:majorTickMark val="out"/>
        <c:minorTickMark val="none"/>
        <c:tickLblPos val="nextTo"/>
        <c:crossAx val="98455568"/>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Analysis!$B$45</c:f>
              <c:strCache>
                <c:ptCount val="1"/>
                <c:pt idx="0">
                  <c:v>NPL - Nubank</c:v>
                </c:pt>
              </c:strCache>
            </c:strRef>
          </c:tx>
          <c:spPr>
            <a:ln w="25400" cap="rnd">
              <a:solidFill>
                <a:srgbClr val="333399"/>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Analysis!$C$44:$E$44</c:f>
              <c:numCache>
                <c:formatCode>General</c:formatCode>
                <c:ptCount val="3"/>
                <c:pt idx="0">
                  <c:v>2018</c:v>
                </c:pt>
                <c:pt idx="1">
                  <c:v>2019</c:v>
                </c:pt>
                <c:pt idx="2">
                  <c:v>2020</c:v>
                </c:pt>
              </c:numCache>
            </c:numRef>
          </c:cat>
          <c:val>
            <c:numRef>
              <c:f>Analysis!$C$45:$E$45</c:f>
              <c:numCache>
                <c:formatCode>0.0%</c:formatCode>
                <c:ptCount val="3"/>
                <c:pt idx="0">
                  <c:v>-7.3038551545756863E-2</c:v>
                </c:pt>
                <c:pt idx="1">
                  <c:v>-6.1592547020565998E-2</c:v>
                </c:pt>
                <c:pt idx="2">
                  <c:v>-5.4968218964846285E-2</c:v>
                </c:pt>
              </c:numCache>
            </c:numRef>
          </c:val>
          <c:smooth val="0"/>
          <c:extLst>
            <c:ext xmlns:c16="http://schemas.microsoft.com/office/drawing/2014/chart" uri="{C3380CC4-5D6E-409C-BE32-E72D297353CC}">
              <c16:uniqueId val="{00000000-D568-49A7-9EB0-66F23087D8C5}"/>
            </c:ext>
          </c:extLst>
        </c:ser>
        <c:ser>
          <c:idx val="1"/>
          <c:order val="1"/>
          <c:tx>
            <c:strRef>
              <c:f>Analysis!$B$46</c:f>
              <c:strCache>
                <c:ptCount val="1"/>
                <c:pt idx="0">
                  <c:v>NPL - Banco Inter</c:v>
                </c:pt>
              </c:strCache>
            </c:strRef>
          </c:tx>
          <c:spPr>
            <a:ln w="25400" cap="rnd">
              <a:solidFill>
                <a:srgbClr val="99CCFF"/>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Analysis!$C$44:$E$44</c:f>
              <c:numCache>
                <c:formatCode>General</c:formatCode>
                <c:ptCount val="3"/>
                <c:pt idx="0">
                  <c:v>2018</c:v>
                </c:pt>
                <c:pt idx="1">
                  <c:v>2019</c:v>
                </c:pt>
                <c:pt idx="2">
                  <c:v>2020</c:v>
                </c:pt>
              </c:numCache>
            </c:numRef>
          </c:cat>
          <c:val>
            <c:numRef>
              <c:f>Analysis!$C$46:$E$46</c:f>
              <c:numCache>
                <c:formatCode>0.0%</c:formatCode>
                <c:ptCount val="3"/>
                <c:pt idx="0">
                  <c:v>-1.9197849921376655E-2</c:v>
                </c:pt>
                <c:pt idx="1">
                  <c:v>-3.0751312628085867E-2</c:v>
                </c:pt>
                <c:pt idx="2">
                  <c:v>-3.0077690689259633E-2</c:v>
                </c:pt>
              </c:numCache>
            </c:numRef>
          </c:val>
          <c:smooth val="0"/>
          <c:extLst>
            <c:ext xmlns:c16="http://schemas.microsoft.com/office/drawing/2014/chart" uri="{C3380CC4-5D6E-409C-BE32-E72D297353CC}">
              <c16:uniqueId val="{00000001-D568-49A7-9EB0-66F23087D8C5}"/>
            </c:ext>
          </c:extLst>
        </c:ser>
        <c:dLbls>
          <c:showLegendKey val="0"/>
          <c:showVal val="0"/>
          <c:showCatName val="0"/>
          <c:showSerName val="0"/>
          <c:showPercent val="0"/>
          <c:showBubbleSize val="0"/>
        </c:dLbls>
        <c:smooth val="0"/>
        <c:axId val="766269552"/>
        <c:axId val="766259568"/>
      </c:lineChart>
      <c:catAx>
        <c:axId val="7662695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66259568"/>
        <c:crosses val="autoZero"/>
        <c:auto val="1"/>
        <c:lblAlgn val="ctr"/>
        <c:lblOffset val="100"/>
        <c:noMultiLvlLbl val="0"/>
      </c:catAx>
      <c:valAx>
        <c:axId val="766259568"/>
        <c:scaling>
          <c:orientation val="minMax"/>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6626955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79909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Analysis!$B$1171:$B$1178</c:f>
              <c:strCache>
                <c:ptCount val="8"/>
                <c:pt idx="0">
                  <c:v>NU</c:v>
                </c:pt>
                <c:pt idx="1">
                  <c:v>DLO </c:v>
                </c:pt>
                <c:pt idx="2">
                  <c:v>MELI</c:v>
                </c:pt>
                <c:pt idx="3">
                  <c:v>STNE</c:v>
                </c:pt>
                <c:pt idx="4">
                  <c:v>ADYEN</c:v>
                </c:pt>
                <c:pt idx="5">
                  <c:v>WLN</c:v>
                </c:pt>
                <c:pt idx="6">
                  <c:v>NEXI</c:v>
                </c:pt>
                <c:pt idx="7">
                  <c:v>PAGS</c:v>
                </c:pt>
              </c:strCache>
            </c:strRef>
          </c:cat>
          <c:val>
            <c:numRef>
              <c:f>Analysis!$C$1171:$C$1178</c:f>
              <c:numCache>
                <c:formatCode>0%</c:formatCode>
                <c:ptCount val="8"/>
                <c:pt idx="0">
                  <c:v>0.55150454068159482</c:v>
                </c:pt>
                <c:pt idx="1">
                  <c:v>0.48</c:v>
                </c:pt>
                <c:pt idx="2">
                  <c:v>0.36</c:v>
                </c:pt>
                <c:pt idx="3">
                  <c:v>0.23</c:v>
                </c:pt>
                <c:pt idx="4">
                  <c:v>0.16</c:v>
                </c:pt>
                <c:pt idx="5">
                  <c:v>8.5000000000000006E-2</c:v>
                </c:pt>
                <c:pt idx="6">
                  <c:v>7.0000000000000007E-2</c:v>
                </c:pt>
                <c:pt idx="7">
                  <c:v>-0.03</c:v>
                </c:pt>
              </c:numCache>
            </c:numRef>
          </c:val>
          <c:extLst>
            <c:ext xmlns:c16="http://schemas.microsoft.com/office/drawing/2014/chart" uri="{C3380CC4-5D6E-409C-BE32-E72D297353CC}">
              <c16:uniqueId val="{00000000-E6CF-4AEB-B439-6E912A9908A3}"/>
            </c:ext>
          </c:extLst>
        </c:ser>
        <c:dLbls>
          <c:showLegendKey val="0"/>
          <c:showVal val="0"/>
          <c:showCatName val="0"/>
          <c:showSerName val="0"/>
          <c:showPercent val="0"/>
          <c:showBubbleSize val="0"/>
        </c:dLbls>
        <c:gapWidth val="30"/>
        <c:overlap val="-27"/>
        <c:axId val="1844654144"/>
        <c:axId val="445124832"/>
      </c:barChart>
      <c:catAx>
        <c:axId val="1844654144"/>
        <c:scaling>
          <c:orientation val="minMax"/>
        </c:scaling>
        <c:delete val="0"/>
        <c:axPos val="b"/>
        <c:numFmt formatCode="General" sourceLinked="1"/>
        <c:majorTickMark val="out"/>
        <c:minorTickMark val="none"/>
        <c:tickLblPos val="low"/>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445124832"/>
        <c:crosses val="autoZero"/>
        <c:auto val="1"/>
        <c:lblAlgn val="ctr"/>
        <c:lblOffset val="100"/>
        <c:noMultiLvlLbl val="0"/>
      </c:catAx>
      <c:valAx>
        <c:axId val="445124832"/>
        <c:scaling>
          <c:orientation val="minMax"/>
        </c:scaling>
        <c:delete val="1"/>
        <c:axPos val="l"/>
        <c:numFmt formatCode="0%" sourceLinked="1"/>
        <c:majorTickMark val="out"/>
        <c:minorTickMark val="none"/>
        <c:tickLblPos val="nextTo"/>
        <c:crossAx val="1844654144"/>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rgbClr val="263238"/>
            </a:solidFill>
            <a:ln>
              <a:noFill/>
            </a:ln>
            <a:effectLst/>
            <a:extLst>
              <a:ext uri="{91240B29-F687-4F45-9708-019B960494DF}">
                <a14:hiddenLine xmlns:a14="http://schemas.microsoft.com/office/drawing/2010/main">
                  <a:noFill/>
                </a14:hiddenLine>
              </a:ext>
            </a:extLst>
          </c:spPr>
          <c:invertIfNegative val="0"/>
          <c:dPt>
            <c:idx val="1"/>
            <c:invertIfNegative val="0"/>
            <c:bubble3D val="0"/>
            <c:spPr>
              <a:no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2-A8CF-459A-8927-582F530DA239}"/>
              </c:ext>
            </c:extLst>
          </c:dPt>
          <c:dPt>
            <c:idx val="2"/>
            <c:invertIfNegative val="0"/>
            <c:bubble3D val="0"/>
            <c:spPr>
              <a:no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A8CF-459A-8927-582F530DA239}"/>
              </c:ext>
            </c:extLst>
          </c:dPt>
          <c:dPt>
            <c:idx val="3"/>
            <c:invertIfNegative val="0"/>
            <c:bubble3D val="0"/>
            <c:spPr>
              <a:no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4-A8CF-459A-8927-582F530DA239}"/>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Analysis!$B$1185:$B$1189</c:f>
              <c:strCache>
                <c:ptCount val="5"/>
                <c:pt idx="0">
                  <c:v>Revolving loan</c:v>
                </c:pt>
                <c:pt idx="1">
                  <c:v>Month 1 (13.5%)</c:v>
                </c:pt>
                <c:pt idx="2">
                  <c:v>Months 2-6 (9%)</c:v>
                </c:pt>
                <c:pt idx="3">
                  <c:v>Late fees </c:v>
                </c:pt>
                <c:pt idx="4">
                  <c:v>Cap</c:v>
                </c:pt>
              </c:strCache>
            </c:strRef>
          </c:cat>
          <c:val>
            <c:numRef>
              <c:f>Analysis!$C$1185:$C$1189</c:f>
              <c:numCache>
                <c:formatCode>General</c:formatCode>
                <c:ptCount val="5"/>
                <c:pt idx="0">
                  <c:v>100</c:v>
                </c:pt>
                <c:pt idx="1">
                  <c:v>100</c:v>
                </c:pt>
                <c:pt idx="2" formatCode="0">
                  <c:v>107.65</c:v>
                </c:pt>
                <c:pt idx="3" formatCode="0">
                  <c:v>165.63286874498505</c:v>
                </c:pt>
                <c:pt idx="4" formatCode="0">
                  <c:v>190.63286874498505</c:v>
                </c:pt>
              </c:numCache>
            </c:numRef>
          </c:val>
          <c:extLst>
            <c:ext xmlns:c16="http://schemas.microsoft.com/office/drawing/2014/chart" uri="{C3380CC4-5D6E-409C-BE32-E72D297353CC}">
              <c16:uniqueId val="{00000000-A8CF-459A-8927-582F530DA239}"/>
            </c:ext>
          </c:extLst>
        </c:ser>
        <c:ser>
          <c:idx val="1"/>
          <c:order val="1"/>
          <c:spPr>
            <a:solidFill>
              <a:srgbClr val="79909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Analysis!$B$1185:$B$1189</c:f>
              <c:strCache>
                <c:ptCount val="5"/>
                <c:pt idx="0">
                  <c:v>Revolving loan</c:v>
                </c:pt>
                <c:pt idx="1">
                  <c:v>Month 1 (13.5%)</c:v>
                </c:pt>
                <c:pt idx="2">
                  <c:v>Months 2-6 (9%)</c:v>
                </c:pt>
                <c:pt idx="3">
                  <c:v>Late fees </c:v>
                </c:pt>
                <c:pt idx="4">
                  <c:v>Cap</c:v>
                </c:pt>
              </c:strCache>
            </c:strRef>
          </c:cat>
          <c:val>
            <c:numRef>
              <c:f>Analysis!$D$1185:$D$1189</c:f>
              <c:numCache>
                <c:formatCode>0</c:formatCode>
                <c:ptCount val="5"/>
                <c:pt idx="1">
                  <c:v>7.6500000000000057</c:v>
                </c:pt>
                <c:pt idx="2">
                  <c:v>57.982868744985041</c:v>
                </c:pt>
                <c:pt idx="3" formatCode="General">
                  <c:v>25</c:v>
                </c:pt>
              </c:numCache>
            </c:numRef>
          </c:val>
          <c:extLst>
            <c:ext xmlns:c16="http://schemas.microsoft.com/office/drawing/2014/chart" uri="{C3380CC4-5D6E-409C-BE32-E72D297353CC}">
              <c16:uniqueId val="{00000001-A8CF-459A-8927-582F530DA239}"/>
            </c:ext>
          </c:extLst>
        </c:ser>
        <c:dLbls>
          <c:showLegendKey val="0"/>
          <c:showVal val="0"/>
          <c:showCatName val="0"/>
          <c:showSerName val="0"/>
          <c:showPercent val="0"/>
          <c:showBubbleSize val="0"/>
        </c:dLbls>
        <c:gapWidth val="30"/>
        <c:overlap val="100"/>
        <c:axId val="2046877792"/>
        <c:axId val="445047552"/>
      </c:barChart>
      <c:catAx>
        <c:axId val="2046877792"/>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445047552"/>
        <c:crosses val="autoZero"/>
        <c:auto val="1"/>
        <c:lblAlgn val="ctr"/>
        <c:lblOffset val="100"/>
        <c:noMultiLvlLbl val="0"/>
      </c:catAx>
      <c:valAx>
        <c:axId val="445047552"/>
        <c:scaling>
          <c:orientation val="minMax"/>
        </c:scaling>
        <c:delete val="1"/>
        <c:axPos val="l"/>
        <c:numFmt formatCode="General" sourceLinked="1"/>
        <c:majorTickMark val="out"/>
        <c:minorTickMark val="none"/>
        <c:tickLblPos val="nextTo"/>
        <c:crossAx val="2046877792"/>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Analysis!$B$1208</c:f>
              <c:strCache>
                <c:ptCount val="1"/>
                <c:pt idx="0">
                  <c:v>TAM</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Analysis!$C$1207:$E$1207</c:f>
              <c:strCache>
                <c:ptCount val="3"/>
                <c:pt idx="0">
                  <c:v>CC</c:v>
                </c:pt>
                <c:pt idx="1">
                  <c:v>Personal loans</c:v>
                </c:pt>
                <c:pt idx="2">
                  <c:v>Payroll</c:v>
                </c:pt>
              </c:strCache>
            </c:strRef>
          </c:cat>
          <c:val>
            <c:numRef>
              <c:f>Analysis!$C$1208:$E$1208</c:f>
              <c:numCache>
                <c:formatCode>General</c:formatCode>
                <c:ptCount val="3"/>
                <c:pt idx="0">
                  <c:v>100</c:v>
                </c:pt>
                <c:pt idx="1">
                  <c:v>40</c:v>
                </c:pt>
                <c:pt idx="2">
                  <c:v>120</c:v>
                </c:pt>
              </c:numCache>
            </c:numRef>
          </c:val>
          <c:extLst>
            <c:ext xmlns:c16="http://schemas.microsoft.com/office/drawing/2014/chart" uri="{C3380CC4-5D6E-409C-BE32-E72D297353CC}">
              <c16:uniqueId val="{00000000-46E9-4F43-9EE8-A943ADED87FB}"/>
            </c:ext>
          </c:extLst>
        </c:ser>
        <c:dLbls>
          <c:showLegendKey val="0"/>
          <c:showVal val="0"/>
          <c:showCatName val="0"/>
          <c:showSerName val="0"/>
          <c:showPercent val="0"/>
          <c:showBubbleSize val="0"/>
        </c:dLbls>
        <c:gapWidth val="30"/>
        <c:overlap val="-27"/>
        <c:axId val="98460208"/>
        <c:axId val="445054272"/>
      </c:barChart>
      <c:lineChart>
        <c:grouping val="standard"/>
        <c:varyColors val="0"/>
        <c:ser>
          <c:idx val="1"/>
          <c:order val="1"/>
          <c:tx>
            <c:strRef>
              <c:f>Analysis!$B$1209</c:f>
              <c:strCache>
                <c:ptCount val="1"/>
                <c:pt idx="0">
                  <c:v>Market share</c:v>
                </c:pt>
              </c:strCache>
            </c:strRef>
          </c:tx>
          <c:spPr>
            <a:ln w="28575" cap="rnd">
              <a:noFill/>
              <a:round/>
            </a:ln>
            <a:effectLst/>
          </c:spPr>
          <c:marker>
            <c:symbol val="square"/>
            <c:size val="21"/>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FFFFFF"/>
                    </a:solidFill>
                    <a:latin typeface="Helvetica Neue"/>
                    <a:ea typeface="Helvetica Neue"/>
                    <a:cs typeface="Helvetica Neue"/>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Analysis!$C$1207:$E$1207</c:f>
              <c:strCache>
                <c:ptCount val="3"/>
                <c:pt idx="0">
                  <c:v>CC</c:v>
                </c:pt>
                <c:pt idx="1">
                  <c:v>Personal loans</c:v>
                </c:pt>
                <c:pt idx="2">
                  <c:v>Payroll</c:v>
                </c:pt>
              </c:strCache>
            </c:strRef>
          </c:cat>
          <c:val>
            <c:numRef>
              <c:f>Analysis!$C$1209:$E$1209</c:f>
              <c:numCache>
                <c:formatCode>0%</c:formatCode>
                <c:ptCount val="3"/>
                <c:pt idx="0">
                  <c:v>0.10864785714285714</c:v>
                </c:pt>
                <c:pt idx="1">
                  <c:v>6.6116418650793651E-2</c:v>
                </c:pt>
                <c:pt idx="2">
                  <c:v>0</c:v>
                </c:pt>
              </c:numCache>
            </c:numRef>
          </c:val>
          <c:smooth val="0"/>
          <c:extLst>
            <c:ext xmlns:c16="http://schemas.microsoft.com/office/drawing/2014/chart" uri="{C3380CC4-5D6E-409C-BE32-E72D297353CC}">
              <c16:uniqueId val="{00000001-46E9-4F43-9EE8-A943ADED87FB}"/>
            </c:ext>
          </c:extLst>
        </c:ser>
        <c:dLbls>
          <c:showLegendKey val="0"/>
          <c:showVal val="0"/>
          <c:showCatName val="0"/>
          <c:showSerName val="0"/>
          <c:showPercent val="0"/>
          <c:showBubbleSize val="0"/>
        </c:dLbls>
        <c:marker val="1"/>
        <c:smooth val="0"/>
        <c:axId val="98489440"/>
        <c:axId val="445059072"/>
      </c:lineChart>
      <c:catAx>
        <c:axId val="98460208"/>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445054272"/>
        <c:crosses val="autoZero"/>
        <c:auto val="1"/>
        <c:lblAlgn val="ctr"/>
        <c:lblOffset val="100"/>
        <c:noMultiLvlLbl val="0"/>
      </c:catAx>
      <c:valAx>
        <c:axId val="445054272"/>
        <c:scaling>
          <c:orientation val="minMax"/>
        </c:scaling>
        <c:delete val="0"/>
        <c:axPos val="l"/>
        <c:numFmt formatCode="General"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98460208"/>
        <c:crosses val="autoZero"/>
        <c:crossBetween val="between"/>
      </c:valAx>
      <c:valAx>
        <c:axId val="44505907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98489440"/>
        <c:crosses val="max"/>
        <c:crossBetween val="between"/>
      </c:valAx>
      <c:catAx>
        <c:axId val="98489440"/>
        <c:scaling>
          <c:orientation val="minMax"/>
        </c:scaling>
        <c:delete val="1"/>
        <c:axPos val="b"/>
        <c:numFmt formatCode="General" sourceLinked="1"/>
        <c:majorTickMark val="out"/>
        <c:minorTickMark val="none"/>
        <c:tickLblPos val="nextTo"/>
        <c:crossAx val="445059072"/>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512495051120192"/>
          <c:y val="8.6757072032662585E-2"/>
          <c:w val="0.35715414044672217"/>
          <c:h val="0.65441673957421975"/>
        </c:manualLayout>
      </c:layout>
      <c:pieChart>
        <c:varyColors val="1"/>
        <c:ser>
          <c:idx val="0"/>
          <c:order val="0"/>
          <c:dPt>
            <c:idx val="0"/>
            <c:bubble3D val="0"/>
            <c:explosion val="12"/>
            <c:spPr>
              <a:solidFill>
                <a:schemeClr val="accent1">
                  <a:lumMod val="20000"/>
                  <a:lumOff val="80000"/>
                </a:schemeClr>
              </a:solidFill>
              <a:ln w="25400">
                <a:noFill/>
              </a:ln>
              <a:effectLst/>
            </c:spPr>
            <c:extLst>
              <c:ext xmlns:c16="http://schemas.microsoft.com/office/drawing/2014/chart" uri="{C3380CC4-5D6E-409C-BE32-E72D297353CC}">
                <c16:uniqueId val="{00000001-99C8-4AE9-8738-48441DA786EA}"/>
              </c:ext>
            </c:extLst>
          </c:dPt>
          <c:dPt>
            <c:idx val="1"/>
            <c:bubble3D val="0"/>
            <c:explosion val="11"/>
            <c:spPr>
              <a:solidFill>
                <a:schemeClr val="accent1">
                  <a:lumMod val="60000"/>
                  <a:lumOff val="40000"/>
                </a:schemeClr>
              </a:solidFill>
              <a:ln w="25400">
                <a:noFill/>
              </a:ln>
              <a:effectLst/>
            </c:spPr>
            <c:extLst>
              <c:ext xmlns:c16="http://schemas.microsoft.com/office/drawing/2014/chart" uri="{C3380CC4-5D6E-409C-BE32-E72D297353CC}">
                <c16:uniqueId val="{00000002-99C8-4AE9-8738-48441DA786EA}"/>
              </c:ext>
            </c:extLst>
          </c:dPt>
          <c:dPt>
            <c:idx val="2"/>
            <c:bubble3D val="0"/>
            <c:explosion val="13"/>
            <c:spPr>
              <a:solidFill>
                <a:schemeClr val="accent1"/>
              </a:solidFill>
              <a:ln w="25400">
                <a:noFill/>
              </a:ln>
              <a:effectLst/>
            </c:spPr>
            <c:extLst>
              <c:ext xmlns:c16="http://schemas.microsoft.com/office/drawing/2014/chart" uri="{C3380CC4-5D6E-409C-BE32-E72D297353CC}">
                <c16:uniqueId val="{00000003-99C8-4AE9-8738-48441DA786EA}"/>
              </c:ext>
            </c:extLst>
          </c:dPt>
          <c:dPt>
            <c:idx val="3"/>
            <c:bubble3D val="0"/>
            <c:spPr>
              <a:solidFill>
                <a:srgbClr val="F9663E"/>
              </a:solidFill>
              <a:ln w="25400">
                <a:noFill/>
              </a:ln>
              <a:effectLst/>
            </c:spPr>
            <c:extLst>
              <c:ext xmlns:c16="http://schemas.microsoft.com/office/drawing/2014/chart" uri="{C3380CC4-5D6E-409C-BE32-E72D297353CC}">
                <c16:uniqueId val="{00000004-99C8-4AE9-8738-48441DA786EA}"/>
              </c:ext>
            </c:extLst>
          </c:dPt>
          <c:dPt>
            <c:idx val="4"/>
            <c:bubble3D val="0"/>
            <c:spPr>
              <a:solidFill>
                <a:srgbClr val="799098"/>
              </a:solidFill>
              <a:ln w="25400">
                <a:noFill/>
              </a:ln>
              <a:effectLst/>
            </c:spPr>
            <c:extLst>
              <c:ext xmlns:c16="http://schemas.microsoft.com/office/drawing/2014/chart" uri="{C3380CC4-5D6E-409C-BE32-E72D297353CC}">
                <c16:uniqueId val="{00000005-99C8-4AE9-8738-48441DA786EA}"/>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Helvetica Neue"/>
                    <a:ea typeface="Helvetica Neue"/>
                    <a:cs typeface="Helvetica Neue"/>
                  </a:defRPr>
                </a:pPr>
                <a:endParaRPr lang="en-US"/>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Analysis!$I$1127:$I$1131</c:f>
              <c:strCache>
                <c:ptCount val="5"/>
                <c:pt idx="0">
                  <c:v>Interest income</c:v>
                </c:pt>
                <c:pt idx="1">
                  <c:v>Interchange (credit cards only)</c:v>
                </c:pt>
                <c:pt idx="2">
                  <c:v>Late fees</c:v>
                </c:pt>
                <c:pt idx="3">
                  <c:v>Personal loans</c:v>
                </c:pt>
                <c:pt idx="4">
                  <c:v>Other (including interest on securities)</c:v>
                </c:pt>
              </c:strCache>
            </c:strRef>
          </c:cat>
          <c:val>
            <c:numRef>
              <c:f>Analysis!$J$1127:$J$1131</c:f>
              <c:numCache>
                <c:formatCode>0</c:formatCode>
                <c:ptCount val="5"/>
                <c:pt idx="0">
                  <c:v>594</c:v>
                </c:pt>
                <c:pt idx="1">
                  <c:v>216.8</c:v>
                </c:pt>
                <c:pt idx="2">
                  <c:v>43</c:v>
                </c:pt>
                <c:pt idx="3">
                  <c:v>353</c:v>
                </c:pt>
                <c:pt idx="4">
                  <c:v>661.8</c:v>
                </c:pt>
              </c:numCache>
            </c:numRef>
          </c:val>
          <c:extLst>
            <c:ext xmlns:c16="http://schemas.microsoft.com/office/drawing/2014/chart" uri="{C3380CC4-5D6E-409C-BE32-E72D297353CC}">
              <c16:uniqueId val="{00000000-99C8-4AE9-8738-48441DA786EA}"/>
            </c:ext>
          </c:extLst>
        </c:ser>
        <c:dLbls>
          <c:showLegendKey val="0"/>
          <c:showVal val="0"/>
          <c:showCatName val="0"/>
          <c:showSerName val="0"/>
          <c:showPercent val="0"/>
          <c:showBubbleSize val="0"/>
          <c:showLeaderLines val="1"/>
        </c:dLbls>
        <c:firstSliceAng val="0"/>
      </c:pieChart>
      <c:spPr>
        <a:noFill/>
        <a:ln w="25400">
          <a:noFill/>
        </a:ln>
        <a:effectLst/>
      </c:spPr>
    </c:plotArea>
    <c:legend>
      <c:legendPos val="b"/>
      <c:layout>
        <c:manualLayout>
          <c:xMode val="edge"/>
          <c:yMode val="edge"/>
          <c:x val="0"/>
          <c:y val="0.82793088363954503"/>
          <c:w val="1"/>
          <c:h val="0.16743948673082532"/>
        </c:manualLayout>
      </c:layout>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'Earnings snap'!$B$32</c:f>
              <c:strCache>
                <c:ptCount val="1"/>
                <c:pt idx="0">
                  <c:v>Revenue</c:v>
                </c:pt>
              </c:strCache>
            </c:strRef>
          </c:tx>
          <c:spPr>
            <a:solidFill>
              <a:srgbClr val="263238"/>
            </a:solidFill>
            <a:ln w="25400">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snap'!$C$31:$I$31</c:f>
              <c:strCache>
                <c:ptCount val="7"/>
                <c:pt idx="0">
                  <c:v>Q4 21</c:v>
                </c:pt>
                <c:pt idx="1">
                  <c:v>Q1 22</c:v>
                </c:pt>
                <c:pt idx="2">
                  <c:v>Q2 22</c:v>
                </c:pt>
                <c:pt idx="3">
                  <c:v>Q3 22</c:v>
                </c:pt>
                <c:pt idx="4">
                  <c:v>Q4 22</c:v>
                </c:pt>
                <c:pt idx="5">
                  <c:v>Q1 23</c:v>
                </c:pt>
                <c:pt idx="6">
                  <c:v>Q2 23</c:v>
                </c:pt>
              </c:strCache>
            </c:strRef>
          </c:cat>
          <c:val>
            <c:numRef>
              <c:f>'Earnings snap'!$C$32:$I$32</c:f>
              <c:numCache>
                <c:formatCode>0%</c:formatCode>
                <c:ptCount val="7"/>
                <c:pt idx="0">
                  <c:v>2.2400000000000002</c:v>
                </c:pt>
                <c:pt idx="1">
                  <c:v>2.2599999999999998</c:v>
                </c:pt>
                <c:pt idx="2">
                  <c:v>2.2999999999999998</c:v>
                </c:pt>
                <c:pt idx="3">
                  <c:v>1.72</c:v>
                </c:pt>
                <c:pt idx="4">
                  <c:v>1.1200000000000001</c:v>
                </c:pt>
                <c:pt idx="5">
                  <c:v>0.87</c:v>
                </c:pt>
                <c:pt idx="6">
                  <c:v>0.6</c:v>
                </c:pt>
              </c:numCache>
            </c:numRef>
          </c:val>
          <c:extLst>
            <c:ext xmlns:c16="http://schemas.microsoft.com/office/drawing/2014/chart" uri="{C3380CC4-5D6E-409C-BE32-E72D297353CC}">
              <c16:uniqueId val="{00000000-1762-4F1A-B612-29D832778352}"/>
            </c:ext>
          </c:extLst>
        </c:ser>
        <c:ser>
          <c:idx val="1"/>
          <c:order val="1"/>
          <c:tx>
            <c:strRef>
              <c:f>'Earnings snap'!$B$33</c:f>
              <c:strCache>
                <c:ptCount val="1"/>
                <c:pt idx="0">
                  <c:v>Interest-earning portfolio</c:v>
                </c:pt>
              </c:strCache>
            </c:strRef>
          </c:tx>
          <c:spPr>
            <a:solidFill>
              <a:srgbClr val="799098"/>
            </a:solidFill>
            <a:ln w="25400">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snap'!$C$31:$I$31</c:f>
              <c:strCache>
                <c:ptCount val="7"/>
                <c:pt idx="0">
                  <c:v>Q4 21</c:v>
                </c:pt>
                <c:pt idx="1">
                  <c:v>Q1 22</c:v>
                </c:pt>
                <c:pt idx="2">
                  <c:v>Q2 22</c:v>
                </c:pt>
                <c:pt idx="3">
                  <c:v>Q3 22</c:v>
                </c:pt>
                <c:pt idx="4">
                  <c:v>Q4 22</c:v>
                </c:pt>
                <c:pt idx="5">
                  <c:v>Q1 23</c:v>
                </c:pt>
                <c:pt idx="6">
                  <c:v>Q2 23</c:v>
                </c:pt>
              </c:strCache>
            </c:strRef>
          </c:cat>
          <c:val>
            <c:numRef>
              <c:f>'Earnings snap'!$C$33:$I$33</c:f>
              <c:numCache>
                <c:formatCode>0%</c:formatCode>
                <c:ptCount val="7"/>
                <c:pt idx="0">
                  <c:v>3.46</c:v>
                </c:pt>
                <c:pt idx="1">
                  <c:v>3.43</c:v>
                </c:pt>
                <c:pt idx="2">
                  <c:v>2.2000000000000002</c:v>
                </c:pt>
                <c:pt idx="3">
                  <c:v>1.4</c:v>
                </c:pt>
                <c:pt idx="4">
                  <c:v>0.82</c:v>
                </c:pt>
                <c:pt idx="5">
                  <c:v>0.79</c:v>
                </c:pt>
                <c:pt idx="6">
                  <c:v>0.8</c:v>
                </c:pt>
              </c:numCache>
            </c:numRef>
          </c:val>
          <c:extLst>
            <c:ext xmlns:c16="http://schemas.microsoft.com/office/drawing/2014/chart" uri="{C3380CC4-5D6E-409C-BE32-E72D297353CC}">
              <c16:uniqueId val="{00000001-1762-4F1A-B612-29D832778352}"/>
            </c:ext>
          </c:extLst>
        </c:ser>
        <c:dLbls>
          <c:dLblPos val="outEnd"/>
          <c:showLegendKey val="0"/>
          <c:showVal val="1"/>
          <c:showCatName val="0"/>
          <c:showSerName val="0"/>
          <c:showPercent val="0"/>
          <c:showBubbleSize val="0"/>
        </c:dLbls>
        <c:gapWidth val="30"/>
        <c:overlap val="-27"/>
        <c:axId val="522251872"/>
        <c:axId val="522255200"/>
      </c:barChart>
      <c:catAx>
        <c:axId val="522251872"/>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522255200"/>
        <c:crosses val="autoZero"/>
        <c:auto val="1"/>
        <c:lblAlgn val="ctr"/>
        <c:lblOffset val="100"/>
        <c:noMultiLvlLbl val="0"/>
      </c:catAx>
      <c:valAx>
        <c:axId val="522255200"/>
        <c:scaling>
          <c:orientation val="minMax"/>
        </c:scaling>
        <c:delete val="1"/>
        <c:axPos val="l"/>
        <c:numFmt formatCode="0%" sourceLinked="1"/>
        <c:majorTickMark val="out"/>
        <c:minorTickMark val="none"/>
        <c:tickLblPos val="nextTo"/>
        <c:crossAx val="52225187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panose="02000000000000000000" pitchFamily="2" charset="0"/>
          <a:ea typeface="Roboto" panose="02000000000000000000" pitchFamily="2" charset="0"/>
          <a:cs typeface="Helvetica Neue"/>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'Earnings snap'!$B$207</c:f>
              <c:strCache>
                <c:ptCount val="1"/>
                <c:pt idx="0">
                  <c:v>Credit cards</c:v>
                </c:pt>
              </c:strCache>
            </c:strRef>
          </c:tx>
          <c:spPr>
            <a:solidFill>
              <a:srgbClr val="263238"/>
            </a:solidFill>
            <a:ln w="25400">
              <a:solidFill>
                <a:srgbClr val="263238"/>
              </a:solidFill>
              <a:prstDash val="solid"/>
            </a:ln>
            <a:effectLst/>
          </c:spPr>
          <c:invertIfNegative val="0"/>
          <c:cat>
            <c:numRef>
              <c:f>'Earnings snap'!$F$203:$P$203</c:f>
              <c:numCache>
                <c:formatCode>0.0%</c:formatCode>
                <c:ptCount val="10"/>
                <c:pt idx="0">
                  <c:v>0</c:v>
                </c:pt>
                <c:pt idx="1">
                  <c:v>0</c:v>
                </c:pt>
                <c:pt idx="2">
                  <c:v>-0.13037958988070231</c:v>
                </c:pt>
                <c:pt idx="4">
                  <c:v>-0.13663494008221655</c:v>
                </c:pt>
              </c:numCache>
            </c:numRef>
          </c:cat>
          <c:val>
            <c:numRef>
              <c:f>'Earnings snap'!$F$204:$P$204</c:f>
              <c:numCache>
                <c:formatCode>General</c:formatCode>
                <c:ptCount val="10"/>
              </c:numCache>
            </c:numRef>
          </c:val>
          <c:extLst>
            <c:ext xmlns:c16="http://schemas.microsoft.com/office/drawing/2014/chart" uri="{C3380CC4-5D6E-409C-BE32-E72D297353CC}">
              <c16:uniqueId val="{00000000-9F51-4546-8F11-219F7CDB69C7}"/>
            </c:ext>
          </c:extLst>
        </c:ser>
        <c:ser>
          <c:idx val="1"/>
          <c:order val="1"/>
          <c:tx>
            <c:strRef>
              <c:f>'Earnings snap'!$B$208</c:f>
              <c:strCache>
                <c:ptCount val="1"/>
                <c:pt idx="0">
                  <c:v>Personal loans</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cat>
            <c:numRef>
              <c:f>'Earnings snap'!$F$203:$P$203</c:f>
              <c:numCache>
                <c:formatCode>0.0%</c:formatCode>
                <c:ptCount val="10"/>
                <c:pt idx="0">
                  <c:v>0</c:v>
                </c:pt>
                <c:pt idx="1">
                  <c:v>0</c:v>
                </c:pt>
                <c:pt idx="2">
                  <c:v>-0.13037958988070231</c:v>
                </c:pt>
                <c:pt idx="4">
                  <c:v>-0.13663494008221655</c:v>
                </c:pt>
              </c:numCache>
            </c:numRef>
          </c:cat>
          <c:val>
            <c:numRef>
              <c:f>'Earnings snap'!$F$205:$P$205</c:f>
              <c:numCache>
                <c:formatCode>General</c:formatCode>
                <c:ptCount val="10"/>
              </c:numCache>
            </c:numRef>
          </c:val>
          <c:extLst>
            <c:ext xmlns:c16="http://schemas.microsoft.com/office/drawing/2014/chart" uri="{C3380CC4-5D6E-409C-BE32-E72D297353CC}">
              <c16:uniqueId val="{00000001-9F51-4546-8F11-219F7CDB69C7}"/>
            </c:ext>
          </c:extLst>
        </c:ser>
        <c:dLbls>
          <c:showLegendKey val="0"/>
          <c:showVal val="0"/>
          <c:showCatName val="0"/>
          <c:showSerName val="0"/>
          <c:showPercent val="0"/>
          <c:showBubbleSize val="0"/>
        </c:dLbls>
        <c:gapWidth val="50"/>
        <c:overlap val="100"/>
        <c:axId val="237024752"/>
        <c:axId val="237031408"/>
      </c:barChart>
      <c:lineChart>
        <c:grouping val="standard"/>
        <c:varyColors val="0"/>
        <c:ser>
          <c:idx val="2"/>
          <c:order val="2"/>
          <c:tx>
            <c:strRef>
              <c:f>'Earnings snap'!$B$211</c:f>
              <c:strCache>
                <c:ptCount val="1"/>
                <c:pt idx="0">
                  <c:v>y/y Loan book growth</c:v>
                </c:pt>
              </c:strCache>
            </c:strRef>
          </c:tx>
          <c:spPr>
            <a:ln w="28575" cap="rnd">
              <a:solidFill>
                <a:schemeClr val="accent3"/>
              </a:solidFill>
              <a:round/>
            </a:ln>
            <a:effectLst/>
          </c:spPr>
          <c:marker>
            <c:symbol val="none"/>
          </c:marker>
          <c:cat>
            <c:numRef>
              <c:f>'Earnings snap'!$F$203:$P$203</c:f>
              <c:numCache>
                <c:formatCode>0.0%</c:formatCode>
                <c:ptCount val="10"/>
                <c:pt idx="0">
                  <c:v>0</c:v>
                </c:pt>
                <c:pt idx="1">
                  <c:v>0</c:v>
                </c:pt>
                <c:pt idx="2">
                  <c:v>-0.13037958988070231</c:v>
                </c:pt>
                <c:pt idx="4">
                  <c:v>-0.13663494008221655</c:v>
                </c:pt>
              </c:numCache>
            </c:numRef>
          </c:cat>
          <c:val>
            <c:numRef>
              <c:f>'Earnings snap'!$F$208:$P$208</c:f>
              <c:numCache>
                <c:formatCode>0</c:formatCode>
                <c:ptCount val="10"/>
                <c:pt idx="0">
                  <c:v>6662.0215979999994</c:v>
                </c:pt>
                <c:pt idx="1">
                  <c:v>7901.58</c:v>
                </c:pt>
                <c:pt idx="2">
                  <c:v>0</c:v>
                </c:pt>
                <c:pt idx="4">
                  <c:v>0</c:v>
                </c:pt>
                <c:pt idx="5">
                  <c:v>0</c:v>
                </c:pt>
                <c:pt idx="6">
                  <c:v>0</c:v>
                </c:pt>
                <c:pt idx="7">
                  <c:v>0</c:v>
                </c:pt>
                <c:pt idx="8">
                  <c:v>13329.07</c:v>
                </c:pt>
                <c:pt idx="9">
                  <c:v>15215.229832893392</c:v>
                </c:pt>
              </c:numCache>
            </c:numRef>
          </c:val>
          <c:smooth val="0"/>
          <c:extLst>
            <c:ext xmlns:c16="http://schemas.microsoft.com/office/drawing/2014/chart" uri="{C3380CC4-5D6E-409C-BE32-E72D297353CC}">
              <c16:uniqueId val="{00000002-9F51-4546-8F11-219F7CDB69C7}"/>
            </c:ext>
          </c:extLst>
        </c:ser>
        <c:dLbls>
          <c:showLegendKey val="0"/>
          <c:showVal val="0"/>
          <c:showCatName val="0"/>
          <c:showSerName val="0"/>
          <c:showPercent val="0"/>
          <c:showBubbleSize val="0"/>
        </c:dLbls>
        <c:marker val="1"/>
        <c:smooth val="0"/>
        <c:axId val="267153200"/>
        <c:axId val="267149040"/>
      </c:lineChart>
      <c:catAx>
        <c:axId val="237024752"/>
        <c:scaling>
          <c:orientation val="minMax"/>
        </c:scaling>
        <c:delete val="0"/>
        <c:axPos val="b"/>
        <c:numFmt formatCode="0.0%"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237031408"/>
        <c:crosses val="autoZero"/>
        <c:auto val="1"/>
        <c:lblAlgn val="ctr"/>
        <c:lblOffset val="100"/>
        <c:noMultiLvlLbl val="0"/>
      </c:catAx>
      <c:valAx>
        <c:axId val="237031408"/>
        <c:scaling>
          <c:orientation val="minMax"/>
        </c:scaling>
        <c:delete val="0"/>
        <c:axPos val="l"/>
        <c:numFmt formatCode="General"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237024752"/>
        <c:crosses val="autoZero"/>
        <c:crossBetween val="between"/>
      </c:valAx>
      <c:valAx>
        <c:axId val="26714904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267153200"/>
        <c:crosses val="max"/>
        <c:crossBetween val="between"/>
      </c:valAx>
      <c:catAx>
        <c:axId val="267153200"/>
        <c:scaling>
          <c:orientation val="minMax"/>
        </c:scaling>
        <c:delete val="1"/>
        <c:axPos val="b"/>
        <c:numFmt formatCode="0.0%" sourceLinked="1"/>
        <c:majorTickMark val="out"/>
        <c:minorTickMark val="none"/>
        <c:tickLblPos val="nextTo"/>
        <c:crossAx val="267149040"/>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panose="02000000000000000000" pitchFamily="2" charset="0"/>
          <a:ea typeface="Roboto" panose="02000000000000000000" pitchFamily="2" charset="0"/>
          <a:cs typeface="Helvetica Neue"/>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'Earnings snap'!$B$220</c:f>
              <c:strCache>
                <c:ptCount val="1"/>
                <c:pt idx="0">
                  <c:v>Implied interest yield</c:v>
                </c:pt>
              </c:strCache>
            </c:strRef>
          </c:tx>
          <c:spPr>
            <a:ln w="25400" cap="rnd">
              <a:solidFill>
                <a:srgbClr val="26323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'Earnings snap'!$F$216:$P$216</c:f>
              <c:numCache>
                <c:formatCode>General</c:formatCode>
                <c:ptCount val="10"/>
              </c:numCache>
            </c:numRef>
          </c:cat>
          <c:val>
            <c:numRef>
              <c:f>'Earnings snap'!$F$217:$P$217</c:f>
              <c:numCache>
                <c:formatCode>General</c:formatCode>
                <c:ptCount val="10"/>
              </c:numCache>
            </c:numRef>
          </c:val>
          <c:smooth val="0"/>
          <c:extLst>
            <c:ext xmlns:c16="http://schemas.microsoft.com/office/drawing/2014/chart" uri="{C3380CC4-5D6E-409C-BE32-E72D297353CC}">
              <c16:uniqueId val="{00000000-473F-4C4B-B5AE-13144A7557C6}"/>
            </c:ext>
          </c:extLst>
        </c:ser>
        <c:dLbls>
          <c:showLegendKey val="0"/>
          <c:showVal val="0"/>
          <c:showCatName val="0"/>
          <c:showSerName val="0"/>
          <c:showPercent val="0"/>
          <c:showBubbleSize val="0"/>
        </c:dLbls>
        <c:smooth val="0"/>
        <c:axId val="233482768"/>
        <c:axId val="233483600"/>
      </c:lineChart>
      <c:catAx>
        <c:axId val="233482768"/>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233483600"/>
        <c:crosses val="autoZero"/>
        <c:auto val="1"/>
        <c:lblAlgn val="ctr"/>
        <c:lblOffset val="100"/>
        <c:noMultiLvlLbl val="0"/>
      </c:catAx>
      <c:valAx>
        <c:axId val="233483600"/>
        <c:scaling>
          <c:orientation val="minMax"/>
        </c:scaling>
        <c:delete val="1"/>
        <c:axPos val="l"/>
        <c:numFmt formatCode="0%" sourceLinked="0"/>
        <c:majorTickMark val="out"/>
        <c:minorTickMark val="none"/>
        <c:tickLblPos val="nextTo"/>
        <c:crossAx val="23348276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'Earnings snap'!$B$66</c:f>
              <c:strCache>
                <c:ptCount val="1"/>
                <c:pt idx="0">
                  <c:v>Implied net interest expense (as a % of CDI)</c:v>
                </c:pt>
              </c:strCache>
            </c:strRef>
          </c:tx>
          <c:spPr>
            <a:ln w="25400" cap="rnd">
              <a:solidFill>
                <a:srgbClr val="263238"/>
              </a:solidFill>
              <a:prstDash val="solid"/>
              <a:round/>
            </a:ln>
            <a:effectLst/>
          </c:spPr>
          <c:marker>
            <c:symbol val="none"/>
          </c:marker>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snap'!$E$61:$M$61</c:f>
              <c:strCache>
                <c:ptCount val="8"/>
                <c:pt idx="0">
                  <c:v>Q2 21</c:v>
                </c:pt>
                <c:pt idx="1">
                  <c:v>Q3 21</c:v>
                </c:pt>
                <c:pt idx="2">
                  <c:v>Q4 21</c:v>
                </c:pt>
                <c:pt idx="3">
                  <c:v>Q1 22</c:v>
                </c:pt>
                <c:pt idx="4">
                  <c:v>Q2 22</c:v>
                </c:pt>
                <c:pt idx="5">
                  <c:v>Q4 22</c:v>
                </c:pt>
                <c:pt idx="6">
                  <c:v>Q1 23</c:v>
                </c:pt>
                <c:pt idx="7">
                  <c:v>Q2 23</c:v>
                </c:pt>
              </c:strCache>
            </c:strRef>
          </c:cat>
          <c:val>
            <c:numRef>
              <c:f>'Earnings snap'!$E$66:$M$66</c:f>
              <c:numCache>
                <c:formatCode>0.0%</c:formatCode>
                <c:ptCount val="8"/>
                <c:pt idx="0">
                  <c:v>0.8939462903959946</c:v>
                </c:pt>
                <c:pt idx="1">
                  <c:v>0.88888888888888895</c:v>
                </c:pt>
                <c:pt idx="2">
                  <c:v>0.84593363934806265</c:v>
                </c:pt>
                <c:pt idx="3">
                  <c:v>0.81072732473869413</c:v>
                </c:pt>
                <c:pt idx="4">
                  <c:v>0.90660001320775174</c:v>
                </c:pt>
                <c:pt idx="5">
                  <c:v>0.71655174094198448</c:v>
                </c:pt>
                <c:pt idx="6">
                  <c:v>0.72807914404619611</c:v>
                </c:pt>
                <c:pt idx="7">
                  <c:v>0.69044742951996352</c:v>
                </c:pt>
              </c:numCache>
            </c:numRef>
          </c:val>
          <c:smooth val="0"/>
          <c:extLst>
            <c:ext xmlns:c16="http://schemas.microsoft.com/office/drawing/2014/chart" uri="{C3380CC4-5D6E-409C-BE32-E72D297353CC}">
              <c16:uniqueId val="{00000000-CA80-402A-A2BE-415AF42A547E}"/>
            </c:ext>
          </c:extLst>
        </c:ser>
        <c:dLbls>
          <c:showLegendKey val="0"/>
          <c:showVal val="0"/>
          <c:showCatName val="0"/>
          <c:showSerName val="0"/>
          <c:showPercent val="0"/>
          <c:showBubbleSize val="0"/>
        </c:dLbls>
        <c:smooth val="0"/>
        <c:axId val="1389562240"/>
        <c:axId val="1389559744"/>
      </c:lineChart>
      <c:catAx>
        <c:axId val="1389562240"/>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1389559744"/>
        <c:crosses val="autoZero"/>
        <c:auto val="1"/>
        <c:lblAlgn val="ctr"/>
        <c:lblOffset val="100"/>
        <c:noMultiLvlLbl val="0"/>
      </c:catAx>
      <c:valAx>
        <c:axId val="1389559744"/>
        <c:scaling>
          <c:orientation val="minMax"/>
        </c:scaling>
        <c:delete val="1"/>
        <c:axPos val="l"/>
        <c:numFmt formatCode="0.0%" sourceLinked="1"/>
        <c:majorTickMark val="out"/>
        <c:minorTickMark val="none"/>
        <c:tickLblPos val="nextTo"/>
        <c:crossAx val="1389562240"/>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panose="02000000000000000000" pitchFamily="2" charset="0"/>
          <a:ea typeface="Roboto" panose="02000000000000000000" pitchFamily="2" charset="0"/>
          <a:cs typeface="Helvetica Neue"/>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'Earnings snap'!$B$121</c:f>
              <c:strCache>
                <c:ptCount val="1"/>
                <c:pt idx="0">
                  <c:v>Credit cards</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snap'!$C$120:$M$120</c:f>
              <c:strCache>
                <c:ptCount val="10"/>
                <c:pt idx="0">
                  <c:v>Q4 20</c:v>
                </c:pt>
                <c:pt idx="1">
                  <c:v>Q1 21</c:v>
                </c:pt>
                <c:pt idx="2">
                  <c:v>Q2 21</c:v>
                </c:pt>
                <c:pt idx="3">
                  <c:v>Q3 21</c:v>
                </c:pt>
                <c:pt idx="4">
                  <c:v>Q4 21</c:v>
                </c:pt>
                <c:pt idx="5">
                  <c:v>Q1 22</c:v>
                </c:pt>
                <c:pt idx="6">
                  <c:v>Q2 22</c:v>
                </c:pt>
                <c:pt idx="7">
                  <c:v>Q4 22</c:v>
                </c:pt>
                <c:pt idx="8">
                  <c:v>Q1 23</c:v>
                </c:pt>
                <c:pt idx="9">
                  <c:v>Q2 23</c:v>
                </c:pt>
              </c:strCache>
            </c:strRef>
          </c:cat>
          <c:val>
            <c:numRef>
              <c:f>'Earnings snap'!$C$121:$M$121</c:f>
              <c:numCache>
                <c:formatCode>#,##0</c:formatCode>
                <c:ptCount val="10"/>
                <c:pt idx="0">
                  <c:v>15121.916650000001</c:v>
                </c:pt>
                <c:pt idx="1">
                  <c:v>18591.21</c:v>
                </c:pt>
                <c:pt idx="2">
                  <c:v>17890.559999999998</c:v>
                </c:pt>
                <c:pt idx="3">
                  <c:v>22106.338349999998</c:v>
                </c:pt>
                <c:pt idx="4">
                  <c:v>26655.1119</c:v>
                </c:pt>
                <c:pt idx="5">
                  <c:v>29549.16</c:v>
                </c:pt>
                <c:pt idx="6">
                  <c:v>34076.752200000003</c:v>
                </c:pt>
                <c:pt idx="7">
                  <c:v>43470.240000000005</c:v>
                </c:pt>
                <c:pt idx="8">
                  <c:v>46339.479999999996</c:v>
                </c:pt>
                <c:pt idx="9">
                  <c:v>49758.52</c:v>
                </c:pt>
              </c:numCache>
            </c:numRef>
          </c:val>
          <c:extLst>
            <c:ext xmlns:c16="http://schemas.microsoft.com/office/drawing/2014/chart" uri="{C3380CC4-5D6E-409C-BE32-E72D297353CC}">
              <c16:uniqueId val="{00000000-1213-4DD6-BD77-CE31041045CF}"/>
            </c:ext>
          </c:extLst>
        </c:ser>
        <c:ser>
          <c:idx val="1"/>
          <c:order val="1"/>
          <c:tx>
            <c:strRef>
              <c:f>'Earnings snap'!$B$122</c:f>
              <c:strCache>
                <c:ptCount val="1"/>
                <c:pt idx="0">
                  <c:v>Personal loans</c:v>
                </c:pt>
              </c:strCache>
            </c:strRef>
          </c:tx>
          <c:spPr>
            <a:solidFill>
              <a:srgbClr val="79909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snap'!$C$120:$M$120</c:f>
              <c:strCache>
                <c:ptCount val="10"/>
                <c:pt idx="0">
                  <c:v>Q4 20</c:v>
                </c:pt>
                <c:pt idx="1">
                  <c:v>Q1 21</c:v>
                </c:pt>
                <c:pt idx="2">
                  <c:v>Q2 21</c:v>
                </c:pt>
                <c:pt idx="3">
                  <c:v>Q3 21</c:v>
                </c:pt>
                <c:pt idx="4">
                  <c:v>Q4 21</c:v>
                </c:pt>
                <c:pt idx="5">
                  <c:v>Q1 22</c:v>
                </c:pt>
                <c:pt idx="6">
                  <c:v>Q2 22</c:v>
                </c:pt>
                <c:pt idx="7">
                  <c:v>Q4 22</c:v>
                </c:pt>
                <c:pt idx="8">
                  <c:v>Q1 23</c:v>
                </c:pt>
                <c:pt idx="9">
                  <c:v>Q2 23</c:v>
                </c:pt>
              </c:strCache>
            </c:strRef>
          </c:cat>
          <c:val>
            <c:numRef>
              <c:f>'Earnings snap'!$C$122:$M$122</c:f>
              <c:numCache>
                <c:formatCode>#,##0</c:formatCode>
                <c:ptCount val="10"/>
                <c:pt idx="0">
                  <c:v>1051.7895348837208</c:v>
                </c:pt>
                <c:pt idx="1">
                  <c:v>2253.48</c:v>
                </c:pt>
                <c:pt idx="2">
                  <c:v>2981.7599999999998</c:v>
                </c:pt>
                <c:pt idx="3">
                  <c:v>4314.5868300000002</c:v>
                </c:pt>
                <c:pt idx="4">
                  <c:v>6662.0215979999994</c:v>
                </c:pt>
                <c:pt idx="5">
                  <c:v>7901.58</c:v>
                </c:pt>
                <c:pt idx="6">
                  <c:v>8814.5817599999991</c:v>
                </c:pt>
                <c:pt idx="7">
                  <c:v>8833.44</c:v>
                </c:pt>
                <c:pt idx="8">
                  <c:v>10221.199999999999</c:v>
                </c:pt>
                <c:pt idx="9">
                  <c:v>11654.07</c:v>
                </c:pt>
              </c:numCache>
            </c:numRef>
          </c:val>
          <c:extLst>
            <c:ext xmlns:c16="http://schemas.microsoft.com/office/drawing/2014/chart" uri="{C3380CC4-5D6E-409C-BE32-E72D297353CC}">
              <c16:uniqueId val="{00000001-1213-4DD6-BD77-CE31041045CF}"/>
            </c:ext>
          </c:extLst>
        </c:ser>
        <c:dLbls>
          <c:dLblPos val="outEnd"/>
          <c:showLegendKey val="0"/>
          <c:showVal val="1"/>
          <c:showCatName val="0"/>
          <c:showSerName val="0"/>
          <c:showPercent val="0"/>
          <c:showBubbleSize val="0"/>
        </c:dLbls>
        <c:gapWidth val="30"/>
        <c:axId val="368793744"/>
        <c:axId val="368792496"/>
      </c:barChart>
      <c:catAx>
        <c:axId val="368793744"/>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368792496"/>
        <c:crosses val="autoZero"/>
        <c:auto val="1"/>
        <c:lblAlgn val="ctr"/>
        <c:lblOffset val="100"/>
        <c:noMultiLvlLbl val="0"/>
      </c:catAx>
      <c:valAx>
        <c:axId val="368792496"/>
        <c:scaling>
          <c:orientation val="minMax"/>
        </c:scaling>
        <c:delete val="1"/>
        <c:axPos val="l"/>
        <c:numFmt formatCode="#,##0" sourceLinked="1"/>
        <c:majorTickMark val="out"/>
        <c:minorTickMark val="none"/>
        <c:tickLblPos val="nextTo"/>
        <c:crossAx val="36879374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panose="02000000000000000000" pitchFamily="2" charset="0"/>
          <a:ea typeface="Roboto" panose="02000000000000000000" pitchFamily="2" charset="0"/>
          <a:cs typeface="Helvetica Neue"/>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061113649533773E-2"/>
          <c:y val="6.3886980866832463E-2"/>
          <c:w val="0.93388795830918814"/>
          <c:h val="0.79188392965755294"/>
        </c:manualLayout>
      </c:layout>
      <c:barChart>
        <c:barDir val="col"/>
        <c:grouping val="clustered"/>
        <c:varyColors val="0"/>
        <c:ser>
          <c:idx val="0"/>
          <c:order val="0"/>
          <c:tx>
            <c:strRef>
              <c:f>'Earnings snap'!$B$36</c:f>
              <c:strCache>
                <c:ptCount val="1"/>
                <c:pt idx="0">
                  <c:v>Interest-earning portfolio</c:v>
                </c:pt>
              </c:strCache>
            </c:strRef>
          </c:tx>
          <c:spPr>
            <a:solidFill>
              <a:srgbClr val="263238"/>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snap'!$C$31:$I$31</c:f>
              <c:strCache>
                <c:ptCount val="7"/>
                <c:pt idx="0">
                  <c:v>Q4 21</c:v>
                </c:pt>
                <c:pt idx="1">
                  <c:v>Q1 22</c:v>
                </c:pt>
                <c:pt idx="2">
                  <c:v>Q2 22</c:v>
                </c:pt>
                <c:pt idx="3">
                  <c:v>Q3 22</c:v>
                </c:pt>
                <c:pt idx="4">
                  <c:v>Q4 22</c:v>
                </c:pt>
                <c:pt idx="5">
                  <c:v>Q1 23</c:v>
                </c:pt>
                <c:pt idx="6">
                  <c:v>Q2 23</c:v>
                </c:pt>
              </c:strCache>
            </c:strRef>
          </c:cat>
          <c:val>
            <c:numRef>
              <c:f>'Earnings snap'!$C$36:$I$36</c:f>
              <c:numCache>
                <c:formatCode>#,##0</c:formatCode>
                <c:ptCount val="7"/>
                <c:pt idx="0">
                  <c:v>11151.6</c:v>
                </c:pt>
                <c:pt idx="1">
                  <c:v>14694</c:v>
                </c:pt>
                <c:pt idx="2">
                  <c:v>16832</c:v>
                </c:pt>
                <c:pt idx="3">
                  <c:v>18954.25</c:v>
                </c:pt>
                <c:pt idx="4">
                  <c:v>21120</c:v>
                </c:pt>
                <c:pt idx="5">
                  <c:v>26311.999999999996</c:v>
                </c:pt>
                <c:pt idx="6">
                  <c:v>30177</c:v>
                </c:pt>
              </c:numCache>
            </c:numRef>
          </c:val>
          <c:extLst>
            <c:ext xmlns:c16="http://schemas.microsoft.com/office/drawing/2014/chart" uri="{C3380CC4-5D6E-409C-BE32-E72D297353CC}">
              <c16:uniqueId val="{00000000-5496-4B84-9F8A-A3D4D4EFFF83}"/>
            </c:ext>
          </c:extLst>
        </c:ser>
        <c:dLbls>
          <c:dLblPos val="outEnd"/>
          <c:showLegendKey val="0"/>
          <c:showVal val="1"/>
          <c:showCatName val="0"/>
          <c:showSerName val="0"/>
          <c:showPercent val="0"/>
          <c:showBubbleSize val="0"/>
        </c:dLbls>
        <c:gapWidth val="30"/>
        <c:overlap val="-27"/>
        <c:axId val="522251872"/>
        <c:axId val="522255200"/>
      </c:barChart>
      <c:catAx>
        <c:axId val="522251872"/>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522255200"/>
        <c:crosses val="autoZero"/>
        <c:auto val="1"/>
        <c:lblAlgn val="ctr"/>
        <c:lblOffset val="100"/>
        <c:noMultiLvlLbl val="0"/>
      </c:catAx>
      <c:valAx>
        <c:axId val="522255200"/>
        <c:scaling>
          <c:orientation val="minMax"/>
        </c:scaling>
        <c:delete val="1"/>
        <c:axPos val="l"/>
        <c:numFmt formatCode="#,##0" sourceLinked="1"/>
        <c:majorTickMark val="out"/>
        <c:minorTickMark val="none"/>
        <c:tickLblPos val="nextTo"/>
        <c:crossAx val="522251872"/>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panose="02000000000000000000" pitchFamily="2" charset="0"/>
          <a:ea typeface="Roboto" panose="02000000000000000000" pitchFamily="2" charset="0"/>
          <a:cs typeface="Helvetica Neue"/>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Analysis!$B$52</c:f>
              <c:strCache>
                <c:ptCount val="1"/>
                <c:pt idx="0">
                  <c:v>Banco Inter</c:v>
                </c:pt>
              </c:strCache>
            </c:strRef>
          </c:tx>
          <c:spPr>
            <a:ln w="25400" cap="rnd">
              <a:solidFill>
                <a:srgbClr val="99CCFF"/>
              </a:solidFill>
              <a:prstDash val="solid"/>
              <a:round/>
            </a:ln>
            <a:effectLst/>
          </c:spPr>
          <c:marker>
            <c:symbol val="none"/>
          </c:marker>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Analysis!$C$44:$E$44</c:f>
              <c:numCache>
                <c:formatCode>General</c:formatCode>
                <c:ptCount val="3"/>
                <c:pt idx="0">
                  <c:v>2018</c:v>
                </c:pt>
                <c:pt idx="1">
                  <c:v>2019</c:v>
                </c:pt>
                <c:pt idx="2">
                  <c:v>2020</c:v>
                </c:pt>
              </c:numCache>
            </c:numRef>
          </c:cat>
          <c:val>
            <c:numRef>
              <c:f>Analysis!$C$52:$E$52</c:f>
              <c:numCache>
                <c:formatCode>0%</c:formatCode>
                <c:ptCount val="3"/>
                <c:pt idx="0">
                  <c:v>0.86138473327790932</c:v>
                </c:pt>
                <c:pt idx="1">
                  <c:v>0.71284860130865313</c:v>
                </c:pt>
                <c:pt idx="2">
                  <c:v>0.51998887314299169</c:v>
                </c:pt>
              </c:numCache>
            </c:numRef>
          </c:val>
          <c:smooth val="0"/>
          <c:extLst>
            <c:ext xmlns:c16="http://schemas.microsoft.com/office/drawing/2014/chart" uri="{C3380CC4-5D6E-409C-BE32-E72D297353CC}">
              <c16:uniqueId val="{00000000-719A-4DC9-9AAB-D1704BE42DB7}"/>
            </c:ext>
          </c:extLst>
        </c:ser>
        <c:ser>
          <c:idx val="1"/>
          <c:order val="1"/>
          <c:tx>
            <c:strRef>
              <c:f>Analysis!$B$53</c:f>
              <c:strCache>
                <c:ptCount val="1"/>
                <c:pt idx="0">
                  <c:v>Nubank</c:v>
                </c:pt>
              </c:strCache>
            </c:strRef>
          </c:tx>
          <c:spPr>
            <a:ln w="25400" cap="rnd">
              <a:solidFill>
                <a:srgbClr val="333399"/>
              </a:solidFill>
              <a:prstDash val="solid"/>
              <a:round/>
            </a:ln>
            <a:effectLst/>
          </c:spPr>
          <c:marker>
            <c:symbol val="none"/>
          </c:marker>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Analysis!$C$44:$E$44</c:f>
              <c:numCache>
                <c:formatCode>General</c:formatCode>
                <c:ptCount val="3"/>
                <c:pt idx="0">
                  <c:v>2018</c:v>
                </c:pt>
                <c:pt idx="1">
                  <c:v>2019</c:v>
                </c:pt>
                <c:pt idx="2">
                  <c:v>2020</c:v>
                </c:pt>
              </c:numCache>
            </c:numRef>
          </c:cat>
          <c:val>
            <c:numRef>
              <c:f>Analysis!$C$53:$E$53</c:f>
              <c:numCache>
                <c:formatCode>0%</c:formatCode>
                <c:ptCount val="3"/>
                <c:pt idx="0">
                  <c:v>0.41870506662861157</c:v>
                </c:pt>
                <c:pt idx="1">
                  <c:v>0.81925299077850455</c:v>
                </c:pt>
                <c:pt idx="2">
                  <c:v>0.76056448712463331</c:v>
                </c:pt>
              </c:numCache>
            </c:numRef>
          </c:val>
          <c:smooth val="0"/>
          <c:extLst>
            <c:ext xmlns:c16="http://schemas.microsoft.com/office/drawing/2014/chart" uri="{C3380CC4-5D6E-409C-BE32-E72D297353CC}">
              <c16:uniqueId val="{00000001-719A-4DC9-9AAB-D1704BE42DB7}"/>
            </c:ext>
          </c:extLst>
        </c:ser>
        <c:dLbls>
          <c:showLegendKey val="0"/>
          <c:showVal val="0"/>
          <c:showCatName val="0"/>
          <c:showSerName val="0"/>
          <c:showPercent val="0"/>
          <c:showBubbleSize val="0"/>
        </c:dLbls>
        <c:smooth val="0"/>
        <c:axId val="766269552"/>
        <c:axId val="766259568"/>
      </c:lineChart>
      <c:catAx>
        <c:axId val="7662695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66259568"/>
        <c:crosses val="autoZero"/>
        <c:auto val="1"/>
        <c:lblAlgn val="ctr"/>
        <c:lblOffset val="100"/>
        <c:noMultiLvlLbl val="0"/>
      </c:catAx>
      <c:valAx>
        <c:axId val="766259568"/>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6626955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'Earnings snap'!$B$276</c:f>
              <c:strCache>
                <c:ptCount val="1"/>
                <c:pt idx="0">
                  <c:v>Credit card - old</c:v>
                </c:pt>
              </c:strCache>
            </c:strRef>
          </c:tx>
          <c:spPr>
            <a:ln w="25400" cap="rnd">
              <a:solidFill>
                <a:srgbClr val="26323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snap'!$E$275:$O$275</c:f>
              <c:strCache>
                <c:ptCount val="10"/>
                <c:pt idx="0">
                  <c:v>Q2 20</c:v>
                </c:pt>
                <c:pt idx="1">
                  <c:v>Q3 20</c:v>
                </c:pt>
                <c:pt idx="2">
                  <c:v>Q4 20</c:v>
                </c:pt>
                <c:pt idx="3">
                  <c:v>Q1 21</c:v>
                </c:pt>
                <c:pt idx="5">
                  <c:v>Q2 21</c:v>
                </c:pt>
                <c:pt idx="6">
                  <c:v>Q3 21</c:v>
                </c:pt>
                <c:pt idx="7">
                  <c:v>Q4 21</c:v>
                </c:pt>
                <c:pt idx="8">
                  <c:v>Q1 22</c:v>
                </c:pt>
                <c:pt idx="9">
                  <c:v>Q2 22</c:v>
                </c:pt>
              </c:strCache>
            </c:strRef>
          </c:cat>
          <c:val>
            <c:numRef>
              <c:f>'Earnings snap'!$E$276:$O$276</c:f>
              <c:numCache>
                <c:formatCode>0.0%</c:formatCode>
                <c:ptCount val="10"/>
                <c:pt idx="0">
                  <c:v>5.9342254479473798E-2</c:v>
                </c:pt>
                <c:pt idx="1">
                  <c:v>5.0506029842610892E-2</c:v>
                </c:pt>
                <c:pt idx="2">
                  <c:v>3.4670244701173483E-2</c:v>
                </c:pt>
                <c:pt idx="3">
                  <c:v>2.7E-2</c:v>
                </c:pt>
                <c:pt idx="5">
                  <c:v>2.7819913807022121E-2</c:v>
                </c:pt>
                <c:pt idx="6">
                  <c:v>3.2867885160314525E-2</c:v>
                </c:pt>
                <c:pt idx="7">
                  <c:v>3.3895675197317766E-2</c:v>
                </c:pt>
                <c:pt idx="8">
                  <c:v>3.6528016301340428E-2</c:v>
                </c:pt>
                <c:pt idx="9">
                  <c:v>4.1961635862948952E-2</c:v>
                </c:pt>
              </c:numCache>
            </c:numRef>
          </c:val>
          <c:smooth val="0"/>
          <c:extLst>
            <c:ext xmlns:c16="http://schemas.microsoft.com/office/drawing/2014/chart" uri="{C3380CC4-5D6E-409C-BE32-E72D297353CC}">
              <c16:uniqueId val="{00000000-B466-4768-AD1D-63ABE0FF46FA}"/>
            </c:ext>
          </c:extLst>
        </c:ser>
        <c:ser>
          <c:idx val="1"/>
          <c:order val="1"/>
          <c:tx>
            <c:strRef>
              <c:f>'Earnings snap'!$B$277</c:f>
              <c:strCache>
                <c:ptCount val="1"/>
                <c:pt idx="0">
                  <c:v>Personal loans - old</c:v>
                </c:pt>
              </c:strCache>
            </c:strRef>
          </c:tx>
          <c:spPr>
            <a:ln w="25400" cap="rnd">
              <a:solidFill>
                <a:srgbClr val="79909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snap'!$E$275:$O$275</c:f>
              <c:strCache>
                <c:ptCount val="10"/>
                <c:pt idx="0">
                  <c:v>Q2 20</c:v>
                </c:pt>
                <c:pt idx="1">
                  <c:v>Q3 20</c:v>
                </c:pt>
                <c:pt idx="2">
                  <c:v>Q4 20</c:v>
                </c:pt>
                <c:pt idx="3">
                  <c:v>Q1 21</c:v>
                </c:pt>
                <c:pt idx="5">
                  <c:v>Q2 21</c:v>
                </c:pt>
                <c:pt idx="6">
                  <c:v>Q3 21</c:v>
                </c:pt>
                <c:pt idx="7">
                  <c:v>Q4 21</c:v>
                </c:pt>
                <c:pt idx="8">
                  <c:v>Q1 22</c:v>
                </c:pt>
                <c:pt idx="9">
                  <c:v>Q2 22</c:v>
                </c:pt>
              </c:strCache>
            </c:strRef>
          </c:cat>
          <c:val>
            <c:numRef>
              <c:f>'Earnings snap'!$E$277:$O$277</c:f>
              <c:numCache>
                <c:formatCode>0.0%</c:formatCode>
                <c:ptCount val="10"/>
                <c:pt idx="0">
                  <c:v>9.2497164889997735E-2</c:v>
                </c:pt>
                <c:pt idx="1">
                  <c:v>7.5405532465762468E-2</c:v>
                </c:pt>
                <c:pt idx="2">
                  <c:v>5.1292185936504746E-2</c:v>
                </c:pt>
                <c:pt idx="3">
                  <c:v>2.699999999999993E-2</c:v>
                </c:pt>
                <c:pt idx="5">
                  <c:v>3.6897499906851955E-2</c:v>
                </c:pt>
                <c:pt idx="6">
                  <c:v>3.9527384217287867E-2</c:v>
                </c:pt>
                <c:pt idx="7">
                  <c:v>3.9154364733900215E-2</c:v>
                </c:pt>
                <c:pt idx="8">
                  <c:v>6.0319249773773606E-2</c:v>
                </c:pt>
                <c:pt idx="9">
                  <c:v>9.4302349502301139E-2</c:v>
                </c:pt>
              </c:numCache>
            </c:numRef>
          </c:val>
          <c:smooth val="0"/>
          <c:extLst>
            <c:ext xmlns:c16="http://schemas.microsoft.com/office/drawing/2014/chart" uri="{C3380CC4-5D6E-409C-BE32-E72D297353CC}">
              <c16:uniqueId val="{00000001-B466-4768-AD1D-63ABE0FF46FA}"/>
            </c:ext>
          </c:extLst>
        </c:ser>
        <c:ser>
          <c:idx val="2"/>
          <c:order val="2"/>
          <c:tx>
            <c:strRef>
              <c:f>'Earnings snap'!$B$278</c:f>
              <c:strCache>
                <c:ptCount val="1"/>
                <c:pt idx="0">
                  <c:v>Credit card - new</c:v>
                </c:pt>
              </c:strCache>
            </c:strRef>
          </c:tx>
          <c:spPr>
            <a:ln w="25400" cap="rnd">
              <a:solidFill>
                <a:srgbClr val="F9663E"/>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snap'!$E$275:$O$275</c:f>
              <c:strCache>
                <c:ptCount val="10"/>
                <c:pt idx="0">
                  <c:v>Q2 20</c:v>
                </c:pt>
                <c:pt idx="1">
                  <c:v>Q3 20</c:v>
                </c:pt>
                <c:pt idx="2">
                  <c:v>Q4 20</c:v>
                </c:pt>
                <c:pt idx="3">
                  <c:v>Q1 21</c:v>
                </c:pt>
                <c:pt idx="5">
                  <c:v>Q2 21</c:v>
                </c:pt>
                <c:pt idx="6">
                  <c:v>Q3 21</c:v>
                </c:pt>
                <c:pt idx="7">
                  <c:v>Q4 21</c:v>
                </c:pt>
                <c:pt idx="8">
                  <c:v>Q1 22</c:v>
                </c:pt>
                <c:pt idx="9">
                  <c:v>Q2 22</c:v>
                </c:pt>
              </c:strCache>
            </c:strRef>
          </c:cat>
          <c:val>
            <c:numRef>
              <c:f>'Earnings snap'!$E$278:$O$278</c:f>
              <c:numCache>
                <c:formatCode>0.0%</c:formatCode>
                <c:ptCount val="10"/>
                <c:pt idx="0">
                  <c:v>6.1999999999999986E-2</c:v>
                </c:pt>
                <c:pt idx="1">
                  <c:v>5.349397015738911E-2</c:v>
                </c:pt>
                <c:pt idx="2">
                  <c:v>3.9974781033685014E-2</c:v>
                </c:pt>
                <c:pt idx="3">
                  <c:v>3.1274352037559489E-2</c:v>
                </c:pt>
                <c:pt idx="5">
                  <c:v>3.2371911755959271E-2</c:v>
                </c:pt>
                <c:pt idx="6">
                  <c:v>3.6523872583593624E-2</c:v>
                </c:pt>
                <c:pt idx="7">
                  <c:v>3.6515835619399965E-2</c:v>
                </c:pt>
                <c:pt idx="8">
                  <c:v>3.9382025121960311E-2</c:v>
                </c:pt>
                <c:pt idx="9">
                  <c:v>4.4307573378263666E-2</c:v>
                </c:pt>
              </c:numCache>
            </c:numRef>
          </c:val>
          <c:smooth val="0"/>
          <c:extLst>
            <c:ext xmlns:c16="http://schemas.microsoft.com/office/drawing/2014/chart" uri="{C3380CC4-5D6E-409C-BE32-E72D297353CC}">
              <c16:uniqueId val="{00000002-B466-4768-AD1D-63ABE0FF46FA}"/>
            </c:ext>
          </c:extLst>
        </c:ser>
        <c:ser>
          <c:idx val="3"/>
          <c:order val="3"/>
          <c:tx>
            <c:strRef>
              <c:f>'Earnings snap'!$B$279</c:f>
              <c:strCache>
                <c:ptCount val="1"/>
                <c:pt idx="0">
                  <c:v>Personal loans - new</c:v>
                </c:pt>
              </c:strCache>
            </c:strRef>
          </c:tx>
          <c:spPr>
            <a:ln w="25400" cap="rnd">
              <a:solidFill>
                <a:srgbClr val="C7FE02"/>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snap'!$E$275:$O$275</c:f>
              <c:strCache>
                <c:ptCount val="10"/>
                <c:pt idx="0">
                  <c:v>Q2 20</c:v>
                </c:pt>
                <c:pt idx="1">
                  <c:v>Q3 20</c:v>
                </c:pt>
                <c:pt idx="2">
                  <c:v>Q4 20</c:v>
                </c:pt>
                <c:pt idx="3">
                  <c:v>Q1 21</c:v>
                </c:pt>
                <c:pt idx="5">
                  <c:v>Q2 21</c:v>
                </c:pt>
                <c:pt idx="6">
                  <c:v>Q3 21</c:v>
                </c:pt>
                <c:pt idx="7">
                  <c:v>Q4 21</c:v>
                </c:pt>
                <c:pt idx="8">
                  <c:v>Q1 22</c:v>
                </c:pt>
                <c:pt idx="9">
                  <c:v>Q2 22</c:v>
                </c:pt>
              </c:strCache>
            </c:strRef>
          </c:cat>
          <c:val>
            <c:numRef>
              <c:f>'Earnings snap'!$E$279:$O$279</c:f>
              <c:numCache>
                <c:formatCode>0.0%</c:formatCode>
                <c:ptCount val="10"/>
                <c:pt idx="0">
                  <c:v>6.2000000000000437E-2</c:v>
                </c:pt>
                <c:pt idx="1">
                  <c:v>2.8594467534237313E-2</c:v>
                </c:pt>
                <c:pt idx="2">
                  <c:v>-9.1609056918582274E-3</c:v>
                </c:pt>
                <c:pt idx="3">
                  <c:v>1.7445117261543554E-2</c:v>
                </c:pt>
                <c:pt idx="5">
                  <c:v>1.362499434695036E-2</c:v>
                </c:pt>
                <c:pt idx="6">
                  <c:v>1.0117081456105258E-2</c:v>
                </c:pt>
                <c:pt idx="7">
                  <c:v>1.0514162914611182E-2</c:v>
                </c:pt>
                <c:pt idx="8">
                  <c:v>2.0125324319147073E-2</c:v>
                </c:pt>
                <c:pt idx="9">
                  <c:v>2.8803753918062593E-2</c:v>
                </c:pt>
              </c:numCache>
            </c:numRef>
          </c:val>
          <c:smooth val="0"/>
          <c:extLst>
            <c:ext xmlns:c16="http://schemas.microsoft.com/office/drawing/2014/chart" uri="{C3380CC4-5D6E-409C-BE32-E72D297353CC}">
              <c16:uniqueId val="{00000003-B466-4768-AD1D-63ABE0FF46FA}"/>
            </c:ext>
          </c:extLst>
        </c:ser>
        <c:dLbls>
          <c:showLegendKey val="0"/>
          <c:showVal val="0"/>
          <c:showCatName val="0"/>
          <c:showSerName val="0"/>
          <c:showPercent val="0"/>
          <c:showBubbleSize val="0"/>
        </c:dLbls>
        <c:smooth val="0"/>
        <c:axId val="1957088463"/>
        <c:axId val="1957092207"/>
      </c:lineChart>
      <c:catAx>
        <c:axId val="1957088463"/>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957092207"/>
        <c:crosses val="autoZero"/>
        <c:auto val="1"/>
        <c:lblAlgn val="ctr"/>
        <c:lblOffset val="100"/>
        <c:noMultiLvlLbl val="0"/>
      </c:catAx>
      <c:valAx>
        <c:axId val="1957092207"/>
        <c:scaling>
          <c:orientation val="minMax"/>
        </c:scaling>
        <c:delete val="1"/>
        <c:axPos val="l"/>
        <c:numFmt formatCode="0.0%" sourceLinked="1"/>
        <c:majorTickMark val="out"/>
        <c:minorTickMark val="none"/>
        <c:tickLblPos val="nextTo"/>
        <c:crossAx val="1957088463"/>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'Earnings snap'!$B$281</c:f>
              <c:strCache>
                <c:ptCount val="1"/>
                <c:pt idx="0">
                  <c:v>Blended new</c:v>
                </c:pt>
              </c:strCache>
            </c:strRef>
          </c:tx>
          <c:spPr>
            <a:ln w="25400" cap="rnd">
              <a:solidFill>
                <a:srgbClr val="26323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snap'!$C$275:$O$275</c:f>
              <c:strCache>
                <c:ptCount val="12"/>
                <c:pt idx="0">
                  <c:v>Q4 19</c:v>
                </c:pt>
                <c:pt idx="1">
                  <c:v>Q1 20</c:v>
                </c:pt>
                <c:pt idx="2">
                  <c:v>Q2 20</c:v>
                </c:pt>
                <c:pt idx="3">
                  <c:v>Q3 20</c:v>
                </c:pt>
                <c:pt idx="4">
                  <c:v>Q4 20</c:v>
                </c:pt>
                <c:pt idx="5">
                  <c:v>Q1 21</c:v>
                </c:pt>
                <c:pt idx="7">
                  <c:v>Q2 21</c:v>
                </c:pt>
                <c:pt idx="8">
                  <c:v>Q3 21</c:v>
                </c:pt>
                <c:pt idx="9">
                  <c:v>Q4 21</c:v>
                </c:pt>
                <c:pt idx="10">
                  <c:v>Q1 22</c:v>
                </c:pt>
                <c:pt idx="11">
                  <c:v>Q2 22</c:v>
                </c:pt>
              </c:strCache>
            </c:strRef>
          </c:cat>
          <c:val>
            <c:numRef>
              <c:f>'Earnings snap'!$C$281:$O$281</c:f>
              <c:numCache>
                <c:formatCode>0.0%</c:formatCode>
                <c:ptCount val="12"/>
                <c:pt idx="0">
                  <c:v>4.4999999999999998E-2</c:v>
                </c:pt>
                <c:pt idx="1">
                  <c:v>0.05</c:v>
                </c:pt>
                <c:pt idx="2">
                  <c:v>6.2E-2</c:v>
                </c:pt>
                <c:pt idx="3">
                  <c:v>5.1999999999999998E-2</c:v>
                </c:pt>
                <c:pt idx="4">
                  <c:v>3.6999999999999998E-2</c:v>
                </c:pt>
                <c:pt idx="5">
                  <c:v>0.03</c:v>
                </c:pt>
                <c:pt idx="7">
                  <c:v>0.03</c:v>
                </c:pt>
                <c:pt idx="8">
                  <c:v>3.2000000000000001E-2</c:v>
                </c:pt>
                <c:pt idx="9">
                  <c:v>3.1E-2</c:v>
                </c:pt>
                <c:pt idx="10">
                  <c:v>3.5000000000000003E-2</c:v>
                </c:pt>
                <c:pt idx="11">
                  <c:v>4.1000000000000002E-2</c:v>
                </c:pt>
              </c:numCache>
            </c:numRef>
          </c:val>
          <c:smooth val="0"/>
          <c:extLst>
            <c:ext xmlns:c16="http://schemas.microsoft.com/office/drawing/2014/chart" uri="{C3380CC4-5D6E-409C-BE32-E72D297353CC}">
              <c16:uniqueId val="{00000000-DD9E-462D-A37F-EC331311717A}"/>
            </c:ext>
          </c:extLst>
        </c:ser>
        <c:ser>
          <c:idx val="1"/>
          <c:order val="1"/>
          <c:tx>
            <c:strRef>
              <c:f>'Earnings snap'!$B$282</c:f>
              <c:strCache>
                <c:ptCount val="1"/>
                <c:pt idx="0">
                  <c:v>Blended old</c:v>
                </c:pt>
              </c:strCache>
            </c:strRef>
          </c:tx>
          <c:spPr>
            <a:ln w="25400" cap="rnd">
              <a:solidFill>
                <a:srgbClr val="79909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snap'!$C$275:$O$275</c:f>
              <c:strCache>
                <c:ptCount val="12"/>
                <c:pt idx="0">
                  <c:v>Q4 19</c:v>
                </c:pt>
                <c:pt idx="1">
                  <c:v>Q1 20</c:v>
                </c:pt>
                <c:pt idx="2">
                  <c:v>Q2 20</c:v>
                </c:pt>
                <c:pt idx="3">
                  <c:v>Q3 20</c:v>
                </c:pt>
                <c:pt idx="4">
                  <c:v>Q4 20</c:v>
                </c:pt>
                <c:pt idx="5">
                  <c:v>Q1 21</c:v>
                </c:pt>
                <c:pt idx="7">
                  <c:v>Q2 21</c:v>
                </c:pt>
                <c:pt idx="8">
                  <c:v>Q3 21</c:v>
                </c:pt>
                <c:pt idx="9">
                  <c:v>Q4 21</c:v>
                </c:pt>
                <c:pt idx="10">
                  <c:v>Q1 22</c:v>
                </c:pt>
                <c:pt idx="11">
                  <c:v>Q2 22</c:v>
                </c:pt>
              </c:strCache>
            </c:strRef>
          </c:cat>
          <c:val>
            <c:numRef>
              <c:f>'Earnings snap'!$C$282:$O$282</c:f>
              <c:numCache>
                <c:formatCode>0.0%</c:formatCode>
                <c:ptCount val="12"/>
                <c:pt idx="0">
                  <c:v>4.2999999999999997E-2</c:v>
                </c:pt>
                <c:pt idx="1">
                  <c:v>4.8000000000000001E-2</c:v>
                </c:pt>
                <c:pt idx="2">
                  <c:v>6.0999999999999999E-2</c:v>
                </c:pt>
                <c:pt idx="3">
                  <c:v>5.1999999999999998E-2</c:v>
                </c:pt>
                <c:pt idx="4">
                  <c:v>3.5999999999999997E-2</c:v>
                </c:pt>
                <c:pt idx="5">
                  <c:v>2.7E-2</c:v>
                </c:pt>
                <c:pt idx="7">
                  <c:v>2.9000000000000001E-2</c:v>
                </c:pt>
                <c:pt idx="8">
                  <c:v>3.4000000000000002E-2</c:v>
                </c:pt>
                <c:pt idx="9">
                  <c:v>3.5000000000000003E-2</c:v>
                </c:pt>
                <c:pt idx="10">
                  <c:v>4.2000000000000003E-2</c:v>
                </c:pt>
                <c:pt idx="11">
                  <c:v>5.3999999999999999E-2</c:v>
                </c:pt>
              </c:numCache>
            </c:numRef>
          </c:val>
          <c:smooth val="0"/>
          <c:extLst>
            <c:ext xmlns:c16="http://schemas.microsoft.com/office/drawing/2014/chart" uri="{C3380CC4-5D6E-409C-BE32-E72D297353CC}">
              <c16:uniqueId val="{00000001-DD9E-462D-A37F-EC331311717A}"/>
            </c:ext>
          </c:extLst>
        </c:ser>
        <c:dLbls>
          <c:showLegendKey val="0"/>
          <c:showVal val="0"/>
          <c:showCatName val="0"/>
          <c:showSerName val="0"/>
          <c:showPercent val="0"/>
          <c:showBubbleSize val="0"/>
        </c:dLbls>
        <c:smooth val="0"/>
        <c:axId val="866377135"/>
        <c:axId val="866377967"/>
      </c:lineChart>
      <c:catAx>
        <c:axId val="866377135"/>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866377967"/>
        <c:crosses val="autoZero"/>
        <c:auto val="1"/>
        <c:lblAlgn val="ctr"/>
        <c:lblOffset val="100"/>
        <c:noMultiLvlLbl val="0"/>
      </c:catAx>
      <c:valAx>
        <c:axId val="866377967"/>
        <c:scaling>
          <c:orientation val="minMax"/>
        </c:scaling>
        <c:delete val="1"/>
        <c:axPos val="l"/>
        <c:numFmt formatCode="0.0%" sourceLinked="1"/>
        <c:majorTickMark val="out"/>
        <c:minorTickMark val="none"/>
        <c:tickLblPos val="nextTo"/>
        <c:crossAx val="866377135"/>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'Earnings snap'!$B$69</c:f>
              <c:strCache>
                <c:ptCount val="1"/>
                <c:pt idx="0">
                  <c:v>Implied net interest expense (as NU discloses)</c:v>
                </c:pt>
              </c:strCache>
            </c:strRef>
          </c:tx>
          <c:spPr>
            <a:ln w="25400" cap="rnd">
              <a:solidFill>
                <a:srgbClr val="263238"/>
              </a:solidFill>
              <a:prstDash val="solid"/>
              <a:round/>
            </a:ln>
            <a:effectLst/>
          </c:spPr>
          <c:marker>
            <c:symbol val="none"/>
          </c:marker>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snap'!$F$68:$M$68</c:f>
              <c:strCache>
                <c:ptCount val="7"/>
                <c:pt idx="0">
                  <c:v>Q3 21</c:v>
                </c:pt>
                <c:pt idx="1">
                  <c:v>Q4 21</c:v>
                </c:pt>
                <c:pt idx="2">
                  <c:v>Q1 22</c:v>
                </c:pt>
                <c:pt idx="3">
                  <c:v>Q2 22e</c:v>
                </c:pt>
                <c:pt idx="4">
                  <c:v>Q4 22</c:v>
                </c:pt>
                <c:pt idx="5">
                  <c:v>Q1 23</c:v>
                </c:pt>
                <c:pt idx="6">
                  <c:v>Q2 23</c:v>
                </c:pt>
              </c:strCache>
            </c:strRef>
          </c:cat>
          <c:val>
            <c:numRef>
              <c:f>'Earnings snap'!$F$69:$M$69</c:f>
              <c:numCache>
                <c:formatCode>0%</c:formatCode>
                <c:ptCount val="7"/>
                <c:pt idx="0">
                  <c:v>0.98</c:v>
                </c:pt>
                <c:pt idx="1">
                  <c:v>0.98</c:v>
                </c:pt>
                <c:pt idx="2">
                  <c:v>0.98</c:v>
                </c:pt>
                <c:pt idx="3">
                  <c:v>0.98</c:v>
                </c:pt>
                <c:pt idx="4">
                  <c:v>0.78</c:v>
                </c:pt>
                <c:pt idx="5">
                  <c:v>0.81</c:v>
                </c:pt>
                <c:pt idx="6" formatCode="0.0%">
                  <c:v>0.8</c:v>
                </c:pt>
              </c:numCache>
            </c:numRef>
          </c:val>
          <c:smooth val="0"/>
          <c:extLst>
            <c:ext xmlns:c16="http://schemas.microsoft.com/office/drawing/2014/chart" uri="{C3380CC4-5D6E-409C-BE32-E72D297353CC}">
              <c16:uniqueId val="{00000000-E20F-407E-B988-3A5558DB6B34}"/>
            </c:ext>
          </c:extLst>
        </c:ser>
        <c:dLbls>
          <c:showLegendKey val="0"/>
          <c:showVal val="0"/>
          <c:showCatName val="0"/>
          <c:showSerName val="0"/>
          <c:showPercent val="0"/>
          <c:showBubbleSize val="0"/>
        </c:dLbls>
        <c:smooth val="0"/>
        <c:axId val="1389562240"/>
        <c:axId val="1389559744"/>
      </c:lineChart>
      <c:catAx>
        <c:axId val="1389562240"/>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1389559744"/>
        <c:crosses val="autoZero"/>
        <c:auto val="1"/>
        <c:lblAlgn val="ctr"/>
        <c:lblOffset val="100"/>
        <c:noMultiLvlLbl val="0"/>
      </c:catAx>
      <c:valAx>
        <c:axId val="1389559744"/>
        <c:scaling>
          <c:orientation val="minMax"/>
        </c:scaling>
        <c:delete val="1"/>
        <c:axPos val="l"/>
        <c:numFmt formatCode="0%" sourceLinked="1"/>
        <c:majorTickMark val="out"/>
        <c:minorTickMark val="none"/>
        <c:tickLblPos val="nextTo"/>
        <c:crossAx val="1389562240"/>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panose="02000000000000000000" pitchFamily="2" charset="0"/>
          <a:ea typeface="Roboto" panose="02000000000000000000" pitchFamily="2" charset="0"/>
          <a:cs typeface="Helvetica Neue"/>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'Earnings snap'!$B$62</c:f>
              <c:strCache>
                <c:ptCount val="1"/>
                <c:pt idx="0">
                  <c:v>Gross profit margin</c:v>
                </c:pt>
              </c:strCache>
            </c:strRef>
          </c:tx>
          <c:spPr>
            <a:ln w="25400" cap="rnd">
              <a:solidFill>
                <a:srgbClr val="263238"/>
              </a:solidFill>
              <a:prstDash val="solid"/>
              <a:round/>
            </a:ln>
            <a:effectLst/>
          </c:spPr>
          <c:marker>
            <c:symbol val="none"/>
          </c:marker>
          <c:dLbls>
            <c:spPr>
              <a:noFill/>
              <a:ln>
                <a:noFill/>
              </a:ln>
              <a:effectLst/>
            </c:spPr>
            <c:txPr>
              <a:bodyPr rot="0" spcFirstLastPara="1" vertOverflow="ellipsis" vert="horz" wrap="square" anchor="ctr" anchorCtr="1"/>
              <a:lstStyle/>
              <a:p>
                <a:pPr>
                  <a:defRPr sz="9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snap'!$C$61:$M$61</c:f>
              <c:strCache>
                <c:ptCount val="10"/>
                <c:pt idx="0">
                  <c:v>Q4 20</c:v>
                </c:pt>
                <c:pt idx="1">
                  <c:v>Q1 21</c:v>
                </c:pt>
                <c:pt idx="2">
                  <c:v>Q2 21</c:v>
                </c:pt>
                <c:pt idx="3">
                  <c:v>Q3 21</c:v>
                </c:pt>
                <c:pt idx="4">
                  <c:v>Q4 21</c:v>
                </c:pt>
                <c:pt idx="5">
                  <c:v>Q1 22</c:v>
                </c:pt>
                <c:pt idx="6">
                  <c:v>Q2 22</c:v>
                </c:pt>
                <c:pt idx="7">
                  <c:v>Q4 22</c:v>
                </c:pt>
                <c:pt idx="8">
                  <c:v>Q1 23</c:v>
                </c:pt>
                <c:pt idx="9">
                  <c:v>Q2 23</c:v>
                </c:pt>
              </c:strCache>
            </c:strRef>
          </c:cat>
          <c:val>
            <c:numRef>
              <c:f>'Earnings snap'!$C$62:$M$62</c:f>
              <c:numCache>
                <c:formatCode>0.0%</c:formatCode>
                <c:ptCount val="10"/>
                <c:pt idx="0">
                  <c:v>0.37759131293188558</c:v>
                </c:pt>
                <c:pt idx="1">
                  <c:v>0.47224489795918362</c:v>
                </c:pt>
                <c:pt idx="2">
                  <c:v>0.49509074680154724</c:v>
                </c:pt>
                <c:pt idx="3">
                  <c:v>0.4655853607818673</c:v>
                </c:pt>
                <c:pt idx="4">
                  <c:v>0.3567742239833947</c:v>
                </c:pt>
                <c:pt idx="5">
                  <c:v>0.33523887254393481</c:v>
                </c:pt>
                <c:pt idx="6">
                  <c:v>0.31405083619783325</c:v>
                </c:pt>
                <c:pt idx="7">
                  <c:v>0.39956159947926995</c:v>
                </c:pt>
                <c:pt idx="8">
                  <c:v>0.40305933934483157</c:v>
                </c:pt>
                <c:pt idx="9">
                  <c:v>0.41849513004388317</c:v>
                </c:pt>
              </c:numCache>
            </c:numRef>
          </c:val>
          <c:smooth val="0"/>
          <c:extLst>
            <c:ext xmlns:c16="http://schemas.microsoft.com/office/drawing/2014/chart" uri="{C3380CC4-5D6E-409C-BE32-E72D297353CC}">
              <c16:uniqueId val="{00000000-0906-4551-990F-23374E7116BC}"/>
            </c:ext>
          </c:extLst>
        </c:ser>
        <c:dLbls>
          <c:showLegendKey val="0"/>
          <c:showVal val="0"/>
          <c:showCatName val="0"/>
          <c:showSerName val="0"/>
          <c:showPercent val="0"/>
          <c:showBubbleSize val="0"/>
        </c:dLbls>
        <c:smooth val="0"/>
        <c:axId val="1389562240"/>
        <c:axId val="1389559744"/>
      </c:lineChart>
      <c:catAx>
        <c:axId val="1389562240"/>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1389559744"/>
        <c:crosses val="autoZero"/>
        <c:auto val="1"/>
        <c:lblAlgn val="ctr"/>
        <c:lblOffset val="100"/>
        <c:noMultiLvlLbl val="0"/>
      </c:catAx>
      <c:valAx>
        <c:axId val="1389559744"/>
        <c:scaling>
          <c:orientation val="minMax"/>
        </c:scaling>
        <c:delete val="1"/>
        <c:axPos val="l"/>
        <c:numFmt formatCode="0.0%" sourceLinked="1"/>
        <c:majorTickMark val="out"/>
        <c:minorTickMark val="none"/>
        <c:tickLblPos val="nextTo"/>
        <c:crossAx val="1389562240"/>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panose="02000000000000000000" pitchFamily="2" charset="0"/>
          <a:ea typeface="Roboto" panose="02000000000000000000" pitchFamily="2" charset="0"/>
          <a:cs typeface="Helvetica Neue"/>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'Earnings snap'!$B$46</c:f>
              <c:strCache>
                <c:ptCount val="1"/>
                <c:pt idx="0">
                  <c:v>Implied interest yield (total portfolio)</c:v>
                </c:pt>
              </c:strCache>
            </c:strRef>
          </c:tx>
          <c:spPr>
            <a:ln w="25400" cap="rnd">
              <a:solidFill>
                <a:srgbClr val="263238"/>
              </a:solidFill>
              <a:prstDash val="solid"/>
              <a:round/>
            </a:ln>
            <a:effectLst/>
          </c:spPr>
          <c:marker>
            <c:symbol val="none"/>
          </c:marker>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snap'!$E$45:$L$45</c:f>
              <c:strCache>
                <c:ptCount val="7"/>
                <c:pt idx="0">
                  <c:v>Q3 21</c:v>
                </c:pt>
                <c:pt idx="1">
                  <c:v>Q4 21</c:v>
                </c:pt>
                <c:pt idx="2">
                  <c:v>Q1 22</c:v>
                </c:pt>
                <c:pt idx="3">
                  <c:v>Q2 22</c:v>
                </c:pt>
                <c:pt idx="4">
                  <c:v>Q3 22</c:v>
                </c:pt>
                <c:pt idx="5">
                  <c:v>Q1 23</c:v>
                </c:pt>
                <c:pt idx="6">
                  <c:v>Q2 23</c:v>
                </c:pt>
              </c:strCache>
            </c:strRef>
          </c:cat>
          <c:val>
            <c:numRef>
              <c:f>'Earnings snap'!$E$46:$L$46</c:f>
              <c:numCache>
                <c:formatCode>0.0%</c:formatCode>
                <c:ptCount val="7"/>
                <c:pt idx="0">
                  <c:v>0.2371859296482412</c:v>
                </c:pt>
                <c:pt idx="1">
                  <c:v>0.29712388118661293</c:v>
                </c:pt>
                <c:pt idx="2">
                  <c:v>0.28086574005694231</c:v>
                </c:pt>
                <c:pt idx="3">
                  <c:v>0.38030472845212815</c:v>
                </c:pt>
                <c:pt idx="4">
                  <c:v>0.41926065975164017</c:v>
                </c:pt>
                <c:pt idx="5">
                  <c:v>0.41731964931233639</c:v>
                </c:pt>
                <c:pt idx="6">
                  <c:v>0.43383458646616541</c:v>
                </c:pt>
              </c:numCache>
            </c:numRef>
          </c:val>
          <c:smooth val="0"/>
          <c:extLst>
            <c:ext xmlns:c16="http://schemas.microsoft.com/office/drawing/2014/chart" uri="{C3380CC4-5D6E-409C-BE32-E72D297353CC}">
              <c16:uniqueId val="{00000000-CF1F-419D-B38C-234EC10FEC34}"/>
            </c:ext>
          </c:extLst>
        </c:ser>
        <c:dLbls>
          <c:showLegendKey val="0"/>
          <c:showVal val="0"/>
          <c:showCatName val="0"/>
          <c:showSerName val="0"/>
          <c:showPercent val="0"/>
          <c:showBubbleSize val="0"/>
        </c:dLbls>
        <c:smooth val="0"/>
        <c:axId val="18651279"/>
        <c:axId val="18650863"/>
      </c:lineChart>
      <c:catAx>
        <c:axId val="18651279"/>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18650863"/>
        <c:crosses val="autoZero"/>
        <c:auto val="1"/>
        <c:lblAlgn val="ctr"/>
        <c:lblOffset val="100"/>
        <c:noMultiLvlLbl val="0"/>
      </c:catAx>
      <c:valAx>
        <c:axId val="18650863"/>
        <c:scaling>
          <c:orientation val="minMax"/>
        </c:scaling>
        <c:delete val="1"/>
        <c:axPos val="l"/>
        <c:numFmt formatCode="0.0%" sourceLinked="1"/>
        <c:majorTickMark val="out"/>
        <c:minorTickMark val="none"/>
        <c:tickLblPos val="nextTo"/>
        <c:crossAx val="18651279"/>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panose="02000000000000000000" pitchFamily="2" charset="0"/>
          <a:ea typeface="Roboto" panose="02000000000000000000" pitchFamily="2" charset="0"/>
          <a:cs typeface="Helvetica Neue"/>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445006884316703E-2"/>
          <c:y val="5.5109459536757062E-2"/>
          <c:w val="0.93868415404541938"/>
          <c:h val="0.82047728657905172"/>
        </c:manualLayout>
      </c:layout>
      <c:lineChart>
        <c:grouping val="standard"/>
        <c:varyColors val="0"/>
        <c:ser>
          <c:idx val="0"/>
          <c:order val="0"/>
          <c:tx>
            <c:strRef>
              <c:f>'Earnings snap'!$B$50</c:f>
              <c:strCache>
                <c:ptCount val="1"/>
                <c:pt idx="0">
                  <c:v>Implied interest yield (interest bearing)</c:v>
                </c:pt>
              </c:strCache>
            </c:strRef>
          </c:tx>
          <c:spPr>
            <a:ln w="25400" cap="rnd">
              <a:solidFill>
                <a:srgbClr val="263238"/>
              </a:solidFill>
              <a:prstDash val="solid"/>
              <a:round/>
            </a:ln>
            <a:effectLst/>
          </c:spPr>
          <c:marker>
            <c:symbol val="none"/>
          </c:marker>
          <c:dLbls>
            <c:spPr>
              <a:noFill/>
              <a:ln>
                <a:noFill/>
              </a:ln>
              <a:effectLst/>
            </c:spPr>
            <c:txPr>
              <a:bodyPr rot="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snap'!$E$45:$L$45</c:f>
              <c:strCache>
                <c:ptCount val="7"/>
                <c:pt idx="0">
                  <c:v>Q3 21</c:v>
                </c:pt>
                <c:pt idx="1">
                  <c:v>Q4 21</c:v>
                </c:pt>
                <c:pt idx="2">
                  <c:v>Q1 22</c:v>
                </c:pt>
                <c:pt idx="3">
                  <c:v>Q2 22</c:v>
                </c:pt>
                <c:pt idx="4">
                  <c:v>Q3 22</c:v>
                </c:pt>
                <c:pt idx="5">
                  <c:v>Q1 23</c:v>
                </c:pt>
                <c:pt idx="6">
                  <c:v>Q2 23</c:v>
                </c:pt>
              </c:strCache>
            </c:strRef>
          </c:cat>
          <c:val>
            <c:numRef>
              <c:f>'Earnings snap'!$E$50:$L$50</c:f>
              <c:numCache>
                <c:formatCode>0.0%</c:formatCode>
                <c:ptCount val="7"/>
                <c:pt idx="0">
                  <c:v>0.98333333333333328</c:v>
                </c:pt>
                <c:pt idx="1">
                  <c:v>1.0342117647058824</c:v>
                </c:pt>
                <c:pt idx="2">
                  <c:v>0.97167529411764708</c:v>
                </c:pt>
                <c:pt idx="3">
                  <c:v>1.0831911111111112</c:v>
                </c:pt>
                <c:pt idx="4">
                  <c:v>1.1788656716417909</c:v>
                </c:pt>
                <c:pt idx="5">
                  <c:v>1.0916991304347825</c:v>
                </c:pt>
                <c:pt idx="6">
                  <c:v>1.0436173913043478</c:v>
                </c:pt>
              </c:numCache>
            </c:numRef>
          </c:val>
          <c:smooth val="0"/>
          <c:extLst>
            <c:ext xmlns:c16="http://schemas.microsoft.com/office/drawing/2014/chart" uri="{C3380CC4-5D6E-409C-BE32-E72D297353CC}">
              <c16:uniqueId val="{00000000-6501-4C8B-B18D-3EBF5347EA6E}"/>
            </c:ext>
          </c:extLst>
        </c:ser>
        <c:dLbls>
          <c:showLegendKey val="0"/>
          <c:showVal val="0"/>
          <c:showCatName val="0"/>
          <c:showSerName val="0"/>
          <c:showPercent val="0"/>
          <c:showBubbleSize val="0"/>
        </c:dLbls>
        <c:smooth val="0"/>
        <c:axId val="18651279"/>
        <c:axId val="18650863"/>
      </c:lineChart>
      <c:catAx>
        <c:axId val="18651279"/>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18650863"/>
        <c:crosses val="autoZero"/>
        <c:auto val="1"/>
        <c:lblAlgn val="ctr"/>
        <c:lblOffset val="100"/>
        <c:noMultiLvlLbl val="0"/>
      </c:catAx>
      <c:valAx>
        <c:axId val="18650863"/>
        <c:scaling>
          <c:orientation val="minMax"/>
        </c:scaling>
        <c:delete val="1"/>
        <c:axPos val="l"/>
        <c:numFmt formatCode="0.0%" sourceLinked="1"/>
        <c:majorTickMark val="out"/>
        <c:minorTickMark val="none"/>
        <c:tickLblPos val="nextTo"/>
        <c:crossAx val="18651279"/>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panose="02000000000000000000" pitchFamily="2" charset="0"/>
          <a:ea typeface="Roboto" panose="02000000000000000000" pitchFamily="2" charset="0"/>
          <a:cs typeface="Helvetica Neue"/>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'Earnings snap'!$B$85</c:f>
              <c:strCache>
                <c:ptCount val="1"/>
                <c:pt idx="0">
                  <c:v>Overall NPL +90 day </c:v>
                </c:pt>
              </c:strCache>
            </c:strRef>
          </c:tx>
          <c:spPr>
            <a:ln w="25400" cap="rnd">
              <a:solidFill>
                <a:srgbClr val="26323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snap'!$D$71:$L$71</c:f>
              <c:strCache>
                <c:ptCount val="8"/>
                <c:pt idx="0">
                  <c:v>Q2 21</c:v>
                </c:pt>
                <c:pt idx="1">
                  <c:v>Q3 21</c:v>
                </c:pt>
                <c:pt idx="2">
                  <c:v>Q4 21</c:v>
                </c:pt>
                <c:pt idx="3">
                  <c:v>Q1 22</c:v>
                </c:pt>
                <c:pt idx="4">
                  <c:v>Q2 22</c:v>
                </c:pt>
                <c:pt idx="5">
                  <c:v>Q3 22</c:v>
                </c:pt>
                <c:pt idx="6">
                  <c:v>Q1 23</c:v>
                </c:pt>
                <c:pt idx="7">
                  <c:v>Q2 23</c:v>
                </c:pt>
              </c:strCache>
            </c:strRef>
          </c:cat>
          <c:val>
            <c:numRef>
              <c:f>'Earnings snap'!$D$85:$L$85</c:f>
              <c:numCache>
                <c:formatCode>0.0%</c:formatCode>
                <c:ptCount val="8"/>
                <c:pt idx="0">
                  <c:v>0.03</c:v>
                </c:pt>
                <c:pt idx="1">
                  <c:v>3.2000000000000001E-2</c:v>
                </c:pt>
                <c:pt idx="2">
                  <c:v>3.1E-2</c:v>
                </c:pt>
                <c:pt idx="3">
                  <c:v>3.5000000000000003E-2</c:v>
                </c:pt>
                <c:pt idx="4">
                  <c:v>4.1000000000000002E-2</c:v>
                </c:pt>
                <c:pt idx="5">
                  <c:v>4.7E-2</c:v>
                </c:pt>
                <c:pt idx="6">
                  <c:v>5.5E-2</c:v>
                </c:pt>
                <c:pt idx="7">
                  <c:v>5.8999999999999997E-2</c:v>
                </c:pt>
              </c:numCache>
            </c:numRef>
          </c:val>
          <c:smooth val="0"/>
          <c:extLst>
            <c:ext xmlns:c16="http://schemas.microsoft.com/office/drawing/2014/chart" uri="{C3380CC4-5D6E-409C-BE32-E72D297353CC}">
              <c16:uniqueId val="{00000000-4444-409D-9DF2-8E9C5CFD89FC}"/>
            </c:ext>
          </c:extLst>
        </c:ser>
        <c:ser>
          <c:idx val="1"/>
          <c:order val="1"/>
          <c:tx>
            <c:strRef>
              <c:f>'Earnings snap'!$B$86</c:f>
              <c:strCache>
                <c:ptCount val="1"/>
                <c:pt idx="0">
                  <c:v>Overall NPL 15-90 day</c:v>
                </c:pt>
              </c:strCache>
            </c:strRef>
          </c:tx>
          <c:spPr>
            <a:ln w="25400" cap="rnd">
              <a:solidFill>
                <a:srgbClr val="799098"/>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595959"/>
                    </a:solidFill>
                    <a:latin typeface="Helvetica Neue"/>
                    <a:ea typeface="Helvetica Neue"/>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snap'!$D$71:$L$71</c:f>
              <c:strCache>
                <c:ptCount val="8"/>
                <c:pt idx="0">
                  <c:v>Q2 21</c:v>
                </c:pt>
                <c:pt idx="1">
                  <c:v>Q3 21</c:v>
                </c:pt>
                <c:pt idx="2">
                  <c:v>Q4 21</c:v>
                </c:pt>
                <c:pt idx="3">
                  <c:v>Q1 22</c:v>
                </c:pt>
                <c:pt idx="4">
                  <c:v>Q2 22</c:v>
                </c:pt>
                <c:pt idx="5">
                  <c:v>Q3 22</c:v>
                </c:pt>
                <c:pt idx="6">
                  <c:v>Q1 23</c:v>
                </c:pt>
                <c:pt idx="7">
                  <c:v>Q2 23</c:v>
                </c:pt>
              </c:strCache>
            </c:strRef>
          </c:cat>
          <c:val>
            <c:numRef>
              <c:f>'Earnings snap'!$D$86:$L$86</c:f>
              <c:numCache>
                <c:formatCode>0.0%</c:formatCode>
                <c:ptCount val="8"/>
                <c:pt idx="0">
                  <c:v>2.1999999999999999E-2</c:v>
                </c:pt>
                <c:pt idx="1">
                  <c:v>2.3E-2</c:v>
                </c:pt>
                <c:pt idx="2">
                  <c:v>2.5999999999999999E-2</c:v>
                </c:pt>
                <c:pt idx="3">
                  <c:v>3.6999999999999998E-2</c:v>
                </c:pt>
                <c:pt idx="4">
                  <c:v>3.5999999999999997E-2</c:v>
                </c:pt>
                <c:pt idx="5">
                  <c:v>4.2000000000000003E-2</c:v>
                </c:pt>
                <c:pt idx="6">
                  <c:v>4.3999999999999997E-2</c:v>
                </c:pt>
                <c:pt idx="7">
                  <c:v>4.2999999999999997E-2</c:v>
                </c:pt>
              </c:numCache>
            </c:numRef>
          </c:val>
          <c:smooth val="0"/>
          <c:extLst>
            <c:ext xmlns:c16="http://schemas.microsoft.com/office/drawing/2014/chart" uri="{C3380CC4-5D6E-409C-BE32-E72D297353CC}">
              <c16:uniqueId val="{00000001-4444-409D-9DF2-8E9C5CFD89FC}"/>
            </c:ext>
          </c:extLst>
        </c:ser>
        <c:dLbls>
          <c:showLegendKey val="0"/>
          <c:showVal val="0"/>
          <c:showCatName val="0"/>
          <c:showSerName val="0"/>
          <c:showPercent val="0"/>
          <c:showBubbleSize val="0"/>
        </c:dLbls>
        <c:smooth val="0"/>
        <c:axId val="56202432"/>
        <c:axId val="56204928"/>
      </c:lineChart>
      <c:catAx>
        <c:axId val="56202432"/>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56204928"/>
        <c:crosses val="autoZero"/>
        <c:auto val="1"/>
        <c:lblAlgn val="ctr"/>
        <c:lblOffset val="100"/>
        <c:noMultiLvlLbl val="0"/>
      </c:catAx>
      <c:valAx>
        <c:axId val="56204928"/>
        <c:scaling>
          <c:orientation val="minMax"/>
        </c:scaling>
        <c:delete val="1"/>
        <c:axPos val="l"/>
        <c:numFmt formatCode="0.0%" sourceLinked="1"/>
        <c:majorTickMark val="out"/>
        <c:minorTickMark val="none"/>
        <c:tickLblPos val="nextTo"/>
        <c:crossAx val="5620243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'Earnings snap'!$B$62</c:f>
              <c:strCache>
                <c:ptCount val="1"/>
                <c:pt idx="0">
                  <c:v>Gross profit margin</c:v>
                </c:pt>
              </c:strCache>
            </c:strRef>
          </c:tx>
          <c:spPr>
            <a:ln w="25400" cap="rnd">
              <a:solidFill>
                <a:srgbClr val="263238"/>
              </a:solidFill>
              <a:prstDash val="solid"/>
              <a:round/>
            </a:ln>
            <a:effectLst/>
          </c:spPr>
          <c:marker>
            <c:symbol val="none"/>
          </c:marker>
          <c:dLbls>
            <c:spPr>
              <a:noFill/>
              <a:ln>
                <a:noFill/>
              </a:ln>
              <a:effectLst/>
            </c:spPr>
            <c:txPr>
              <a:bodyPr rot="0" spcFirstLastPara="1" vertOverflow="ellipsis" vert="horz" wrap="square" anchor="ctr" anchorCtr="1"/>
              <a:lstStyle/>
              <a:p>
                <a:pPr>
                  <a:defRPr sz="9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'Earnings snap'!$C$61:$L$61</c:f>
              <c:strCache>
                <c:ptCount val="9"/>
                <c:pt idx="0">
                  <c:v>Q4 20</c:v>
                </c:pt>
                <c:pt idx="1">
                  <c:v>Q1 21</c:v>
                </c:pt>
                <c:pt idx="2">
                  <c:v>Q2 21</c:v>
                </c:pt>
                <c:pt idx="3">
                  <c:v>Q3 21</c:v>
                </c:pt>
                <c:pt idx="4">
                  <c:v>Q4 21</c:v>
                </c:pt>
                <c:pt idx="5">
                  <c:v>Q1 22</c:v>
                </c:pt>
                <c:pt idx="6">
                  <c:v>Q2 22</c:v>
                </c:pt>
                <c:pt idx="7">
                  <c:v>Q4 22</c:v>
                </c:pt>
                <c:pt idx="8">
                  <c:v>Q1 23</c:v>
                </c:pt>
              </c:strCache>
            </c:strRef>
          </c:cat>
          <c:val>
            <c:numRef>
              <c:f>'Earnings snap'!$C$62:$L$62</c:f>
              <c:numCache>
                <c:formatCode>0.0%</c:formatCode>
                <c:ptCount val="9"/>
                <c:pt idx="0">
                  <c:v>0.37759131293188558</c:v>
                </c:pt>
                <c:pt idx="1">
                  <c:v>0.47224489795918362</c:v>
                </c:pt>
                <c:pt idx="2">
                  <c:v>0.49509074680154724</c:v>
                </c:pt>
                <c:pt idx="3">
                  <c:v>0.4655853607818673</c:v>
                </c:pt>
                <c:pt idx="4">
                  <c:v>0.3567742239833947</c:v>
                </c:pt>
                <c:pt idx="5">
                  <c:v>0.33523887254393481</c:v>
                </c:pt>
                <c:pt idx="6">
                  <c:v>0.31405083619783325</c:v>
                </c:pt>
                <c:pt idx="7">
                  <c:v>0.39956159947926995</c:v>
                </c:pt>
                <c:pt idx="8">
                  <c:v>0.40305933934483157</c:v>
                </c:pt>
              </c:numCache>
            </c:numRef>
          </c:val>
          <c:smooth val="0"/>
          <c:extLst>
            <c:ext xmlns:c16="http://schemas.microsoft.com/office/drawing/2014/chart" uri="{C3380CC4-5D6E-409C-BE32-E72D297353CC}">
              <c16:uniqueId val="{00000000-3166-47FE-AEE1-2C37DF464D4A}"/>
            </c:ext>
          </c:extLst>
        </c:ser>
        <c:dLbls>
          <c:showLegendKey val="0"/>
          <c:showVal val="0"/>
          <c:showCatName val="0"/>
          <c:showSerName val="0"/>
          <c:showPercent val="0"/>
          <c:showBubbleSize val="0"/>
        </c:dLbls>
        <c:smooth val="0"/>
        <c:axId val="1389562240"/>
        <c:axId val="1389559744"/>
      </c:lineChart>
      <c:catAx>
        <c:axId val="1389562240"/>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Roboto" panose="02000000000000000000" pitchFamily="2" charset="0"/>
                <a:ea typeface="Roboto" panose="02000000000000000000" pitchFamily="2" charset="0"/>
                <a:cs typeface="Helvetica Neue"/>
              </a:defRPr>
            </a:pPr>
            <a:endParaRPr lang="en-US"/>
          </a:p>
        </c:txPr>
        <c:crossAx val="1389559744"/>
        <c:crosses val="autoZero"/>
        <c:auto val="1"/>
        <c:lblAlgn val="ctr"/>
        <c:lblOffset val="100"/>
        <c:noMultiLvlLbl val="0"/>
      </c:catAx>
      <c:valAx>
        <c:axId val="1389559744"/>
        <c:scaling>
          <c:orientation val="minMax"/>
        </c:scaling>
        <c:delete val="1"/>
        <c:axPos val="l"/>
        <c:numFmt formatCode="0.0%" sourceLinked="1"/>
        <c:majorTickMark val="out"/>
        <c:minorTickMark val="none"/>
        <c:tickLblPos val="nextTo"/>
        <c:crossAx val="1389562240"/>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Roboto" panose="02000000000000000000" pitchFamily="2" charset="0"/>
          <a:ea typeface="Roboto" panose="02000000000000000000" pitchFamily="2" charset="0"/>
          <a:cs typeface="Helvetica Neue"/>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'Earnings snap'!$T$8</c:f>
              <c:strCache>
                <c:ptCount val="1"/>
                <c:pt idx="0">
                  <c:v>Banco Inter</c:v>
                </c:pt>
              </c:strCache>
            </c:strRef>
          </c:tx>
          <c:spPr>
            <a:ln w="25400" cap="rnd">
              <a:solidFill>
                <a:srgbClr val="263238"/>
              </a:solidFill>
              <a:prstDash val="solid"/>
              <a:round/>
            </a:ln>
            <a:effectLst/>
          </c:spPr>
          <c:marker>
            <c:symbol val="none"/>
          </c:marker>
          <c:cat>
            <c:strRef>
              <c:f>'Earnings snap'!$AE$7:$AL$7</c:f>
              <c:strCache>
                <c:ptCount val="8"/>
                <c:pt idx="0">
                  <c:v>Q3 21</c:v>
                </c:pt>
                <c:pt idx="1">
                  <c:v>Q4 21</c:v>
                </c:pt>
                <c:pt idx="2">
                  <c:v>Q1 22</c:v>
                </c:pt>
                <c:pt idx="3">
                  <c:v>Q2 22</c:v>
                </c:pt>
                <c:pt idx="4">
                  <c:v>Q3 22</c:v>
                </c:pt>
                <c:pt idx="5">
                  <c:v>Q4 22</c:v>
                </c:pt>
                <c:pt idx="6">
                  <c:v>Q1 23</c:v>
                </c:pt>
                <c:pt idx="7">
                  <c:v>Q2 23</c:v>
                </c:pt>
              </c:strCache>
            </c:strRef>
          </c:cat>
          <c:val>
            <c:numRef>
              <c:f>'Earnings snap'!$AE$8:$AL$8</c:f>
              <c:numCache>
                <c:formatCode>0.0%</c:formatCode>
                <c:ptCount val="8"/>
                <c:pt idx="0">
                  <c:v>2.842553172693282E-2</c:v>
                </c:pt>
                <c:pt idx="1">
                  <c:v>2.842553172693282E-2</c:v>
                </c:pt>
                <c:pt idx="2">
                  <c:v>3.3000000000000002E-2</c:v>
                </c:pt>
                <c:pt idx="3">
                  <c:v>3.8745027931325456E-2</c:v>
                </c:pt>
                <c:pt idx="4">
                  <c:v>3.9935733007072323E-2</c:v>
                </c:pt>
                <c:pt idx="5">
                  <c:v>4.4035058258035567E-2</c:v>
                </c:pt>
                <c:pt idx="6">
                  <c:v>4.6662962679196812E-2</c:v>
                </c:pt>
                <c:pt idx="7">
                  <c:v>4.9425852547570676E-2</c:v>
                </c:pt>
              </c:numCache>
            </c:numRef>
          </c:val>
          <c:smooth val="0"/>
          <c:extLst>
            <c:ext xmlns:c16="http://schemas.microsoft.com/office/drawing/2014/chart" uri="{C3380CC4-5D6E-409C-BE32-E72D297353CC}">
              <c16:uniqueId val="{00000000-CAC8-4A1C-AAA9-AE5C1C31D4AE}"/>
            </c:ext>
          </c:extLst>
        </c:ser>
        <c:ser>
          <c:idx val="1"/>
          <c:order val="1"/>
          <c:tx>
            <c:strRef>
              <c:f>'Earnings snap'!$T$9</c:f>
              <c:strCache>
                <c:ptCount val="1"/>
                <c:pt idx="0">
                  <c:v>Nubank</c:v>
                </c:pt>
              </c:strCache>
            </c:strRef>
          </c:tx>
          <c:spPr>
            <a:ln w="25400" cap="rnd">
              <a:solidFill>
                <a:srgbClr val="799098"/>
              </a:solidFill>
              <a:prstDash val="solid"/>
              <a:round/>
            </a:ln>
            <a:effectLst/>
          </c:spPr>
          <c:marker>
            <c:symbol val="none"/>
          </c:marker>
          <c:cat>
            <c:strRef>
              <c:f>'Earnings snap'!$AE$7:$AL$7</c:f>
              <c:strCache>
                <c:ptCount val="8"/>
                <c:pt idx="0">
                  <c:v>Q3 21</c:v>
                </c:pt>
                <c:pt idx="1">
                  <c:v>Q4 21</c:v>
                </c:pt>
                <c:pt idx="2">
                  <c:v>Q1 22</c:v>
                </c:pt>
                <c:pt idx="3">
                  <c:v>Q2 22</c:v>
                </c:pt>
                <c:pt idx="4">
                  <c:v>Q3 22</c:v>
                </c:pt>
                <c:pt idx="5">
                  <c:v>Q4 22</c:v>
                </c:pt>
                <c:pt idx="6">
                  <c:v>Q1 23</c:v>
                </c:pt>
                <c:pt idx="7">
                  <c:v>Q2 23</c:v>
                </c:pt>
              </c:strCache>
            </c:strRef>
          </c:cat>
          <c:val>
            <c:numRef>
              <c:f>'Earnings snap'!$AE$9:$AL$9</c:f>
              <c:numCache>
                <c:formatCode>0.0%</c:formatCode>
                <c:ptCount val="8"/>
                <c:pt idx="0">
                  <c:v>3.2000000000000001E-2</c:v>
                </c:pt>
                <c:pt idx="1">
                  <c:v>3.1E-2</c:v>
                </c:pt>
                <c:pt idx="2">
                  <c:v>3.5000000000000003E-2</c:v>
                </c:pt>
                <c:pt idx="3">
                  <c:v>4.1000000000000002E-2</c:v>
                </c:pt>
                <c:pt idx="4">
                  <c:v>4.7E-2</c:v>
                </c:pt>
                <c:pt idx="5">
                  <c:v>5.1999999999999998E-2</c:v>
                </c:pt>
                <c:pt idx="6">
                  <c:v>5.5E-2</c:v>
                </c:pt>
                <c:pt idx="7">
                  <c:v>5.8999999999999997E-2</c:v>
                </c:pt>
              </c:numCache>
            </c:numRef>
          </c:val>
          <c:smooth val="0"/>
          <c:extLst>
            <c:ext xmlns:c16="http://schemas.microsoft.com/office/drawing/2014/chart" uri="{C3380CC4-5D6E-409C-BE32-E72D297353CC}">
              <c16:uniqueId val="{00000001-CAC8-4A1C-AAA9-AE5C1C31D4AE}"/>
            </c:ext>
          </c:extLst>
        </c:ser>
        <c:ser>
          <c:idx val="2"/>
          <c:order val="2"/>
          <c:tx>
            <c:strRef>
              <c:f>'Earnings snap'!$T$10</c:f>
              <c:strCache>
                <c:ptCount val="1"/>
                <c:pt idx="0">
                  <c:v>Banco Pan</c:v>
                </c:pt>
              </c:strCache>
            </c:strRef>
          </c:tx>
          <c:spPr>
            <a:ln w="25400" cap="rnd">
              <a:solidFill>
                <a:srgbClr val="F9663E"/>
              </a:solidFill>
              <a:prstDash val="solid"/>
              <a:round/>
            </a:ln>
            <a:effectLst/>
          </c:spPr>
          <c:marker>
            <c:symbol val="none"/>
          </c:marker>
          <c:cat>
            <c:strRef>
              <c:f>'Earnings snap'!$AE$7:$AL$7</c:f>
              <c:strCache>
                <c:ptCount val="8"/>
                <c:pt idx="0">
                  <c:v>Q3 21</c:v>
                </c:pt>
                <c:pt idx="1">
                  <c:v>Q4 21</c:v>
                </c:pt>
                <c:pt idx="2">
                  <c:v>Q1 22</c:v>
                </c:pt>
                <c:pt idx="3">
                  <c:v>Q2 22</c:v>
                </c:pt>
                <c:pt idx="4">
                  <c:v>Q3 22</c:v>
                </c:pt>
                <c:pt idx="5">
                  <c:v>Q4 22</c:v>
                </c:pt>
                <c:pt idx="6">
                  <c:v>Q1 23</c:v>
                </c:pt>
                <c:pt idx="7">
                  <c:v>Q2 23</c:v>
                </c:pt>
              </c:strCache>
            </c:strRef>
          </c:cat>
          <c:val>
            <c:numRef>
              <c:f>'Earnings snap'!$AE$10:$AL$10</c:f>
              <c:numCache>
                <c:formatCode>0.0%</c:formatCode>
                <c:ptCount val="8"/>
                <c:pt idx="0">
                  <c:v>5.8000000000000003E-2</c:v>
                </c:pt>
                <c:pt idx="1">
                  <c:v>6.3E-2</c:v>
                </c:pt>
                <c:pt idx="2">
                  <c:v>6.8000000000000005E-2</c:v>
                </c:pt>
                <c:pt idx="3">
                  <c:v>6.7000000000000004E-2</c:v>
                </c:pt>
                <c:pt idx="4">
                  <c:v>6.8378363248561586E-2</c:v>
                </c:pt>
                <c:pt idx="5">
                  <c:v>7.0999999999999994E-2</c:v>
                </c:pt>
                <c:pt idx="6">
                  <c:v>7.1999999999999995E-2</c:v>
                </c:pt>
                <c:pt idx="7">
                  <c:v>0.08</c:v>
                </c:pt>
              </c:numCache>
            </c:numRef>
          </c:val>
          <c:smooth val="0"/>
          <c:extLst>
            <c:ext xmlns:c16="http://schemas.microsoft.com/office/drawing/2014/chart" uri="{C3380CC4-5D6E-409C-BE32-E72D297353CC}">
              <c16:uniqueId val="{00000002-CAC8-4A1C-AAA9-AE5C1C31D4AE}"/>
            </c:ext>
          </c:extLst>
        </c:ser>
        <c:ser>
          <c:idx val="3"/>
          <c:order val="3"/>
          <c:tx>
            <c:strRef>
              <c:f>'Earnings snap'!$T$11</c:f>
              <c:strCache>
                <c:ptCount val="1"/>
                <c:pt idx="0">
                  <c:v>Itau</c:v>
                </c:pt>
              </c:strCache>
            </c:strRef>
          </c:tx>
          <c:spPr>
            <a:ln w="25400" cap="rnd">
              <a:solidFill>
                <a:srgbClr val="C7FE02"/>
              </a:solidFill>
              <a:prstDash val="solid"/>
              <a:round/>
            </a:ln>
            <a:effectLst/>
          </c:spPr>
          <c:marker>
            <c:symbol val="none"/>
          </c:marker>
          <c:cat>
            <c:strRef>
              <c:f>'Earnings snap'!$AE$7:$AL$7</c:f>
              <c:strCache>
                <c:ptCount val="8"/>
                <c:pt idx="0">
                  <c:v>Q3 21</c:v>
                </c:pt>
                <c:pt idx="1">
                  <c:v>Q4 21</c:v>
                </c:pt>
                <c:pt idx="2">
                  <c:v>Q1 22</c:v>
                </c:pt>
                <c:pt idx="3">
                  <c:v>Q2 22</c:v>
                </c:pt>
                <c:pt idx="4">
                  <c:v>Q3 22</c:v>
                </c:pt>
                <c:pt idx="5">
                  <c:v>Q4 22</c:v>
                </c:pt>
                <c:pt idx="6">
                  <c:v>Q1 23</c:v>
                </c:pt>
                <c:pt idx="7">
                  <c:v>Q2 23</c:v>
                </c:pt>
              </c:strCache>
            </c:strRef>
          </c:cat>
          <c:val>
            <c:numRef>
              <c:f>'Earnings snap'!$AE$11:$AL$11</c:f>
              <c:numCache>
                <c:formatCode>0.0%</c:formatCode>
                <c:ptCount val="8"/>
                <c:pt idx="0">
                  <c:v>2.81E-2</c:v>
                </c:pt>
                <c:pt idx="1">
                  <c:v>2.75E-2</c:v>
                </c:pt>
                <c:pt idx="2">
                  <c:v>2.93E-2</c:v>
                </c:pt>
                <c:pt idx="3">
                  <c:v>3.04E-2</c:v>
                </c:pt>
                <c:pt idx="4">
                  <c:v>3.2399999999999998E-2</c:v>
                </c:pt>
                <c:pt idx="5">
                  <c:v>3.4200000000000001E-2</c:v>
                </c:pt>
                <c:pt idx="6">
                  <c:v>3.39E-2</c:v>
                </c:pt>
                <c:pt idx="7">
                  <c:v>3.5000000000000003E-2</c:v>
                </c:pt>
              </c:numCache>
            </c:numRef>
          </c:val>
          <c:smooth val="0"/>
          <c:extLst>
            <c:ext xmlns:c16="http://schemas.microsoft.com/office/drawing/2014/chart" uri="{C3380CC4-5D6E-409C-BE32-E72D297353CC}">
              <c16:uniqueId val="{00000003-CAC8-4A1C-AAA9-AE5C1C31D4AE}"/>
            </c:ext>
          </c:extLst>
        </c:ser>
        <c:ser>
          <c:idx val="4"/>
          <c:order val="4"/>
          <c:tx>
            <c:strRef>
              <c:f>'Earnings snap'!$T$12</c:f>
              <c:strCache>
                <c:ptCount val="1"/>
                <c:pt idx="0">
                  <c:v>Bradesco</c:v>
                </c:pt>
              </c:strCache>
            </c:strRef>
          </c:tx>
          <c:spPr>
            <a:ln w="25400" cap="rnd">
              <a:solidFill>
                <a:srgbClr val="00C994"/>
              </a:solidFill>
              <a:prstDash val="solid"/>
              <a:round/>
            </a:ln>
            <a:effectLst/>
          </c:spPr>
          <c:marker>
            <c:symbol val="none"/>
          </c:marker>
          <c:cat>
            <c:strRef>
              <c:f>'Earnings snap'!$AE$7:$AL$7</c:f>
              <c:strCache>
                <c:ptCount val="8"/>
                <c:pt idx="0">
                  <c:v>Q3 21</c:v>
                </c:pt>
                <c:pt idx="1">
                  <c:v>Q4 21</c:v>
                </c:pt>
                <c:pt idx="2">
                  <c:v>Q1 22</c:v>
                </c:pt>
                <c:pt idx="3">
                  <c:v>Q2 22</c:v>
                </c:pt>
                <c:pt idx="4">
                  <c:v>Q3 22</c:v>
                </c:pt>
                <c:pt idx="5">
                  <c:v>Q4 22</c:v>
                </c:pt>
                <c:pt idx="6">
                  <c:v>Q1 23</c:v>
                </c:pt>
                <c:pt idx="7">
                  <c:v>Q2 23</c:v>
                </c:pt>
              </c:strCache>
            </c:strRef>
          </c:cat>
          <c:val>
            <c:numRef>
              <c:f>'Earnings snap'!$AE$12:$AL$12</c:f>
              <c:numCache>
                <c:formatCode>0.0%</c:formatCode>
                <c:ptCount val="8"/>
                <c:pt idx="0">
                  <c:v>2.6000000000000002E-2</c:v>
                </c:pt>
                <c:pt idx="1">
                  <c:v>2.7999999999999997E-2</c:v>
                </c:pt>
                <c:pt idx="2">
                  <c:v>3.2099999999999997E-2</c:v>
                </c:pt>
                <c:pt idx="3">
                  <c:v>3.5000000000000003E-2</c:v>
                </c:pt>
                <c:pt idx="4">
                  <c:v>3.9E-2</c:v>
                </c:pt>
                <c:pt idx="5">
                  <c:v>4.2999999999999997E-2</c:v>
                </c:pt>
                <c:pt idx="6">
                  <c:v>5.0999999999999997E-2</c:v>
                </c:pt>
                <c:pt idx="7">
                  <c:v>5.8999999999999997E-2</c:v>
                </c:pt>
              </c:numCache>
            </c:numRef>
          </c:val>
          <c:smooth val="0"/>
          <c:extLst>
            <c:ext xmlns:c16="http://schemas.microsoft.com/office/drawing/2014/chart" uri="{C3380CC4-5D6E-409C-BE32-E72D297353CC}">
              <c16:uniqueId val="{00000004-CAC8-4A1C-AAA9-AE5C1C31D4AE}"/>
            </c:ext>
          </c:extLst>
        </c:ser>
        <c:ser>
          <c:idx val="5"/>
          <c:order val="5"/>
          <c:tx>
            <c:strRef>
              <c:f>'Earnings snap'!$T$13</c:f>
              <c:strCache>
                <c:ptCount val="1"/>
                <c:pt idx="0">
                  <c:v>Market (Central Bank)</c:v>
                </c:pt>
              </c:strCache>
            </c:strRef>
          </c:tx>
          <c:spPr>
            <a:ln w="25400" cap="rnd">
              <a:solidFill>
                <a:srgbClr val="263238"/>
              </a:solidFill>
              <a:prstDash val="dash"/>
              <a:round/>
            </a:ln>
            <a:effectLst/>
          </c:spPr>
          <c:marker>
            <c:symbol val="none"/>
          </c:marker>
          <c:cat>
            <c:strRef>
              <c:f>'Earnings snap'!$AE$7:$AL$7</c:f>
              <c:strCache>
                <c:ptCount val="8"/>
                <c:pt idx="0">
                  <c:v>Q3 21</c:v>
                </c:pt>
                <c:pt idx="1">
                  <c:v>Q4 21</c:v>
                </c:pt>
                <c:pt idx="2">
                  <c:v>Q1 22</c:v>
                </c:pt>
                <c:pt idx="3">
                  <c:v>Q2 22</c:v>
                </c:pt>
                <c:pt idx="4">
                  <c:v>Q3 22</c:v>
                </c:pt>
                <c:pt idx="5">
                  <c:v>Q4 22</c:v>
                </c:pt>
                <c:pt idx="6">
                  <c:v>Q1 23</c:v>
                </c:pt>
                <c:pt idx="7">
                  <c:v>Q2 23</c:v>
                </c:pt>
              </c:strCache>
            </c:strRef>
          </c:cat>
          <c:val>
            <c:numRef>
              <c:f>'Earnings snap'!$AE$13:$AL$13</c:f>
              <c:numCache>
                <c:formatCode>0.0%</c:formatCode>
                <c:ptCount val="8"/>
                <c:pt idx="0">
                  <c:v>2.3E-2</c:v>
                </c:pt>
                <c:pt idx="1">
                  <c:v>2.3E-2</c:v>
                </c:pt>
                <c:pt idx="2">
                  <c:v>2.5999999999999999E-2</c:v>
                </c:pt>
                <c:pt idx="3">
                  <c:v>2.7E-2</c:v>
                </c:pt>
                <c:pt idx="4">
                  <c:v>2.8000000000000001E-2</c:v>
                </c:pt>
                <c:pt idx="5">
                  <c:v>0.03</c:v>
                </c:pt>
                <c:pt idx="6">
                  <c:v>3.3000000000000002E-2</c:v>
                </c:pt>
                <c:pt idx="7">
                  <c:v>3.5999999999999997E-2</c:v>
                </c:pt>
              </c:numCache>
            </c:numRef>
          </c:val>
          <c:smooth val="0"/>
          <c:extLst>
            <c:ext xmlns:c16="http://schemas.microsoft.com/office/drawing/2014/chart" uri="{C3380CC4-5D6E-409C-BE32-E72D297353CC}">
              <c16:uniqueId val="{00000005-CAC8-4A1C-AAA9-AE5C1C31D4AE}"/>
            </c:ext>
          </c:extLst>
        </c:ser>
        <c:dLbls>
          <c:showLegendKey val="0"/>
          <c:showVal val="0"/>
          <c:showCatName val="0"/>
          <c:showSerName val="0"/>
          <c:showPercent val="0"/>
          <c:showBubbleSize val="0"/>
        </c:dLbls>
        <c:smooth val="0"/>
        <c:axId val="1987949791"/>
        <c:axId val="1192862671"/>
      </c:lineChart>
      <c:catAx>
        <c:axId val="1987949791"/>
        <c:scaling>
          <c:orientation val="minMax"/>
        </c:scaling>
        <c:delete val="0"/>
        <c:axPos val="b"/>
        <c:numFmt formatCode="General" sourceLinked="1"/>
        <c:majorTickMark val="out"/>
        <c:minorTickMark val="none"/>
        <c:tickLblPos val="nextTo"/>
        <c:spPr>
          <a:noFill/>
          <a:ln w="9525" cap="flat" cmpd="sng" algn="ctr">
            <a:solidFill>
              <a:srgbClr val="B3B3B3"/>
            </a:solidFill>
            <a:round/>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192862671"/>
        <c:crosses val="autoZero"/>
        <c:auto val="1"/>
        <c:lblAlgn val="ctr"/>
        <c:lblOffset val="100"/>
        <c:noMultiLvlLbl val="0"/>
      </c:catAx>
      <c:valAx>
        <c:axId val="1192862671"/>
        <c:scaling>
          <c:orientation val="minMax"/>
        </c:scaling>
        <c:delete val="0"/>
        <c:axPos val="l"/>
        <c:numFmt formatCode="0.0%" sourceLinked="1"/>
        <c:majorTickMark val="out"/>
        <c:minorTickMark val="none"/>
        <c:tickLblPos val="nextTo"/>
        <c:spPr>
          <a:noFill/>
          <a:ln>
            <a:solidFill>
              <a:srgbClr val="B3B3B3"/>
            </a:solidFill>
          </a:ln>
          <a:effectLst/>
        </c:spPr>
        <c:txPr>
          <a:bodyPr rot="-6000000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crossAx val="1987949791"/>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rgbClr val="595959"/>
              </a:solidFill>
              <a:latin typeface="Helvetica Neue"/>
              <a:ea typeface="Helvetica Neue"/>
              <a:cs typeface="Helvetica Neue"/>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solidFill>
            <a:srgbClr val="595959"/>
          </a:solidFill>
          <a:latin typeface="Helvetica Neue"/>
          <a:ea typeface="Helvetica Neue"/>
          <a:cs typeface="Helvetica Neue"/>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solidFill>
              <a:srgbClr val="9999FF"/>
            </a:solidFill>
          </c:spPr>
          <c:dPt>
            <c:idx val="0"/>
            <c:bubble3D val="0"/>
            <c:spPr>
              <a:solidFill>
                <a:srgbClr val="9999FF"/>
              </a:solidFill>
              <a:ln w="25400">
                <a:noFill/>
              </a:ln>
              <a:effectLst/>
            </c:spPr>
            <c:extLst>
              <c:ext xmlns:c16="http://schemas.microsoft.com/office/drawing/2014/chart" uri="{C3380CC4-5D6E-409C-BE32-E72D297353CC}">
                <c16:uniqueId val="{00000004-3389-431E-9138-B61BFB0EA79C}"/>
              </c:ext>
            </c:extLst>
          </c:dPt>
          <c:dPt>
            <c:idx val="1"/>
            <c:bubble3D val="0"/>
            <c:spPr>
              <a:solidFill>
                <a:srgbClr val="002060"/>
              </a:solidFill>
              <a:ln w="25400">
                <a:noFill/>
              </a:ln>
              <a:effectLst/>
            </c:spPr>
            <c:extLst>
              <c:ext xmlns:c16="http://schemas.microsoft.com/office/drawing/2014/chart" uri="{C3380CC4-5D6E-409C-BE32-E72D297353CC}">
                <c16:uniqueId val="{00000005-3389-431E-9138-B61BFB0EA79C}"/>
              </c:ext>
            </c:extLst>
          </c:dPt>
          <c:dLbls>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Drivers!$A$385:$A$386</c:f>
              <c:strCache>
                <c:ptCount val="2"/>
                <c:pt idx="0">
                  <c:v>Personal Loans</c:v>
                </c:pt>
                <c:pt idx="1">
                  <c:v>Credit card</c:v>
                </c:pt>
              </c:strCache>
            </c:strRef>
          </c:cat>
          <c:val>
            <c:numRef>
              <c:f>Drivers!$F$385:$F$386</c:f>
              <c:numCache>
                <c:formatCode>0%</c:formatCode>
                <c:ptCount val="2"/>
                <c:pt idx="0">
                  <c:v>0.19995782645586591</c:v>
                </c:pt>
                <c:pt idx="1">
                  <c:v>0.80004217354413421</c:v>
                </c:pt>
              </c:numCache>
            </c:numRef>
          </c:val>
          <c:extLst>
            <c:ext xmlns:c16="http://schemas.microsoft.com/office/drawing/2014/chart" uri="{C3380CC4-5D6E-409C-BE32-E72D297353CC}">
              <c16:uniqueId val="{00000000-3389-431E-9138-B61BFB0EA79C}"/>
            </c:ext>
          </c:extLst>
        </c:ser>
        <c:dLbls>
          <c:dLblPos val="outEnd"/>
          <c:showLegendKey val="0"/>
          <c:showVal val="1"/>
          <c:showCatName val="0"/>
          <c:showSerName val="0"/>
          <c:showPercent val="0"/>
          <c:showBubbleSize val="0"/>
          <c:showLeaderLines val="1"/>
        </c:dLbls>
        <c:firstSliceAng val="0"/>
      </c:pieChart>
      <c:spPr>
        <a:noFill/>
        <a:ln w="25400">
          <a:noFill/>
        </a:ln>
        <a:effectLst/>
      </c:spPr>
    </c:plotArea>
    <c:legend>
      <c:legendPos val="b"/>
      <c:overlay val="0"/>
      <c:spPr>
        <a:noFill/>
        <a:ln w="25400">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000080"/>
            </a:solidFill>
            <a:ln w="25400">
              <a:noFill/>
            </a:ln>
            <a:effectLst/>
          </c:spPr>
          <c:invertIfNegative val="0"/>
          <c:cat>
            <c:strRef>
              <c:f>Analysis!$B$77:$B$81</c:f>
              <c:strCache>
                <c:ptCount val="5"/>
                <c:pt idx="0">
                  <c:v>Itau, Bradesco, Santander</c:v>
                </c:pt>
                <c:pt idx="1">
                  <c:v>Nubank</c:v>
                </c:pt>
                <c:pt idx="2">
                  <c:v>Inter</c:v>
                </c:pt>
                <c:pt idx="3">
                  <c:v>PicPay</c:v>
                </c:pt>
                <c:pt idx="4">
                  <c:v>Pagbank</c:v>
                </c:pt>
              </c:strCache>
            </c:strRef>
          </c:cat>
          <c:val>
            <c:numRef>
              <c:f>Analysis!$C$77:$C$81</c:f>
              <c:numCache>
                <c:formatCode>0.0</c:formatCode>
                <c:ptCount val="5"/>
                <c:pt idx="0">
                  <c:v>171.08333333333334</c:v>
                </c:pt>
                <c:pt idx="1">
                  <c:v>25.768871113017799</c:v>
                </c:pt>
                <c:pt idx="2">
                  <c:v>21</c:v>
                </c:pt>
                <c:pt idx="3" formatCode="General">
                  <c:v>6.4</c:v>
                </c:pt>
                <c:pt idx="4" formatCode="General">
                  <c:v>6.3</c:v>
                </c:pt>
              </c:numCache>
            </c:numRef>
          </c:val>
          <c:extLst>
            <c:ext xmlns:c16="http://schemas.microsoft.com/office/drawing/2014/chart" uri="{C3380CC4-5D6E-409C-BE32-E72D297353CC}">
              <c16:uniqueId val="{00000000-C603-4D5C-9ABF-0425205BD066}"/>
            </c:ext>
          </c:extLst>
        </c:ser>
        <c:dLbls>
          <c:showLegendKey val="0"/>
          <c:showVal val="0"/>
          <c:showCatName val="0"/>
          <c:showSerName val="0"/>
          <c:showPercent val="0"/>
          <c:showBubbleSize val="0"/>
        </c:dLbls>
        <c:gapWidth val="219"/>
        <c:overlap val="-27"/>
        <c:axId val="2091848975"/>
        <c:axId val="2091849807"/>
      </c:barChart>
      <c:catAx>
        <c:axId val="2091848975"/>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2091849807"/>
        <c:crosses val="autoZero"/>
        <c:auto val="1"/>
        <c:lblAlgn val="ctr"/>
        <c:lblOffset val="100"/>
        <c:noMultiLvlLbl val="0"/>
      </c:catAx>
      <c:valAx>
        <c:axId val="2091849807"/>
        <c:scaling>
          <c:orientation val="minMax"/>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US"/>
                  <a:t>BRL / month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0.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2091848975"/>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Drivers!$A$396</c:f>
              <c:strCache>
                <c:ptCount val="1"/>
                <c:pt idx="0">
                  <c:v>Personal Loans</c:v>
                </c:pt>
              </c:strCache>
            </c:strRef>
          </c:tx>
          <c:spPr>
            <a:ln w="25400" cap="rnd">
              <a:solidFill>
                <a:srgbClr val="333399"/>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Drivers!$D$1:$F$1</c:f>
              <c:numCache>
                <c:formatCode>General</c:formatCode>
                <c:ptCount val="3"/>
                <c:pt idx="0">
                  <c:v>2019</c:v>
                </c:pt>
                <c:pt idx="1">
                  <c:v>2020</c:v>
                </c:pt>
                <c:pt idx="2">
                  <c:v>2021</c:v>
                </c:pt>
              </c:numCache>
            </c:numRef>
          </c:cat>
          <c:val>
            <c:numRef>
              <c:f>Drivers!$D$396:$F$396</c:f>
              <c:numCache>
                <c:formatCode>0.0%</c:formatCode>
                <c:ptCount val="3"/>
                <c:pt idx="0">
                  <c:v>0.14827586206896551</c:v>
                </c:pt>
                <c:pt idx="1">
                  <c:v>0.19226436781609196</c:v>
                </c:pt>
                <c:pt idx="2">
                  <c:v>0.13491684870397805</c:v>
                </c:pt>
              </c:numCache>
            </c:numRef>
          </c:val>
          <c:smooth val="1"/>
          <c:extLst>
            <c:ext xmlns:c16="http://schemas.microsoft.com/office/drawing/2014/chart" uri="{C3380CC4-5D6E-409C-BE32-E72D297353CC}">
              <c16:uniqueId val="{00000000-4CB2-4F70-AC7B-E6B16F1A2BA1}"/>
            </c:ext>
          </c:extLst>
        </c:ser>
        <c:dLbls>
          <c:showLegendKey val="0"/>
          <c:showVal val="0"/>
          <c:showCatName val="0"/>
          <c:showSerName val="0"/>
          <c:showPercent val="0"/>
          <c:showBubbleSize val="0"/>
        </c:dLbls>
        <c:smooth val="0"/>
        <c:axId val="2043107024"/>
        <c:axId val="2043104112"/>
      </c:lineChart>
      <c:catAx>
        <c:axId val="20431070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2043104112"/>
        <c:crosses val="autoZero"/>
        <c:auto val="1"/>
        <c:lblAlgn val="ctr"/>
        <c:lblOffset val="100"/>
        <c:noMultiLvlLbl val="0"/>
      </c:catAx>
      <c:valAx>
        <c:axId val="2043104112"/>
        <c:scaling>
          <c:orientation val="minMax"/>
          <c:min val="0.1"/>
        </c:scaling>
        <c:delete val="0"/>
        <c:axPos val="l"/>
        <c:majorGridlines>
          <c:spPr>
            <a:ln w="3175" cap="flat" cmpd="sng" algn="ctr">
              <a:solidFill>
                <a:srgbClr val="C0C0C0"/>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204310702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Drivers!$A$466</c:f>
              <c:strCache>
                <c:ptCount val="1"/>
                <c:pt idx="0">
                  <c:v>Credit card penetration</c:v>
                </c:pt>
              </c:strCache>
            </c:strRef>
          </c:tx>
          <c:spPr>
            <a:ln w="25400" cap="rnd">
              <a:solidFill>
                <a:srgbClr val="333399"/>
              </a:solidFill>
              <a:prstDash val="solid"/>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Drivers!$F$465:$O$465</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Drivers!$F$466:$O$466</c:f>
              <c:numCache>
                <c:formatCode>0.00%</c:formatCode>
                <c:ptCount val="10"/>
                <c:pt idx="0">
                  <c:v>0.41896368880570228</c:v>
                </c:pt>
                <c:pt idx="1">
                  <c:v>0.44463439004951316</c:v>
                </c:pt>
                <c:pt idx="2">
                  <c:v>0.47030509129332404</c:v>
                </c:pt>
                <c:pt idx="3">
                  <c:v>0.49597579253713492</c:v>
                </c:pt>
                <c:pt idx="4">
                  <c:v>0.52164649378094574</c:v>
                </c:pt>
                <c:pt idx="5">
                  <c:v>0.54731719502475662</c:v>
                </c:pt>
                <c:pt idx="6">
                  <c:v>0.5729878962685675</c:v>
                </c:pt>
                <c:pt idx="7">
                  <c:v>0.59865859751237838</c:v>
                </c:pt>
                <c:pt idx="8">
                  <c:v>0.62432929875618925</c:v>
                </c:pt>
                <c:pt idx="9">
                  <c:v>0.65</c:v>
                </c:pt>
              </c:numCache>
            </c:numRef>
          </c:val>
          <c:smooth val="0"/>
          <c:extLst>
            <c:ext xmlns:c16="http://schemas.microsoft.com/office/drawing/2014/chart" uri="{C3380CC4-5D6E-409C-BE32-E72D297353CC}">
              <c16:uniqueId val="{00000000-CAF2-40D7-9ED8-A12A48F3AEAC}"/>
            </c:ext>
          </c:extLst>
        </c:ser>
        <c:ser>
          <c:idx val="2"/>
          <c:order val="1"/>
          <c:tx>
            <c:strRef>
              <c:f>Drivers!$A$467</c:f>
              <c:strCache>
                <c:ptCount val="1"/>
                <c:pt idx="0">
                  <c:v>Nubank's BR credit card market share</c:v>
                </c:pt>
              </c:strCache>
            </c:strRef>
          </c:tx>
          <c:spPr>
            <a:ln w="25400" cap="rnd">
              <a:solidFill>
                <a:srgbClr val="99CCFF"/>
              </a:solidFill>
              <a:prstDash val="solid"/>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Drivers!$F$465:$O$465</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Drivers!$F$467:$O$467</c:f>
              <c:numCache>
                <c:formatCode>0.0%</c:formatCode>
                <c:ptCount val="10"/>
                <c:pt idx="0">
                  <c:v>0.16712397800366768</c:v>
                </c:pt>
                <c:pt idx="1">
                  <c:v>0.20452538489773611</c:v>
                </c:pt>
                <c:pt idx="2">
                  <c:v>0.23092750647736504</c:v>
                </c:pt>
                <c:pt idx="3">
                  <c:v>0.25358592988256201</c:v>
                </c:pt>
                <c:pt idx="4">
                  <c:v>0.2763008295116276</c:v>
                </c:pt>
                <c:pt idx="5">
                  <c:v>0.27570456499247081</c:v>
                </c:pt>
                <c:pt idx="6">
                  <c:v>0.27187711459492164</c:v>
                </c:pt>
                <c:pt idx="7">
                  <c:v>0.26528293277636344</c:v>
                </c:pt>
                <c:pt idx="8">
                  <c:v>0.25926063917968822</c:v>
                </c:pt>
                <c:pt idx="9">
                  <c:v>0.25374391013334818</c:v>
                </c:pt>
              </c:numCache>
            </c:numRef>
          </c:val>
          <c:smooth val="0"/>
          <c:extLst>
            <c:ext xmlns:c16="http://schemas.microsoft.com/office/drawing/2014/chart" uri="{C3380CC4-5D6E-409C-BE32-E72D297353CC}">
              <c16:uniqueId val="{00000002-CAF2-40D7-9ED8-A12A48F3AEAC}"/>
            </c:ext>
          </c:extLst>
        </c:ser>
        <c:dLbls>
          <c:showLegendKey val="0"/>
          <c:showVal val="0"/>
          <c:showCatName val="0"/>
          <c:showSerName val="0"/>
          <c:showPercent val="0"/>
          <c:showBubbleSize val="0"/>
        </c:dLbls>
        <c:smooth val="0"/>
        <c:axId val="786701664"/>
        <c:axId val="786700416"/>
      </c:lineChart>
      <c:catAx>
        <c:axId val="78670166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86700416"/>
        <c:crosses val="autoZero"/>
        <c:auto val="1"/>
        <c:lblAlgn val="ctr"/>
        <c:lblOffset val="100"/>
        <c:noMultiLvlLbl val="0"/>
      </c:catAx>
      <c:valAx>
        <c:axId val="786700416"/>
        <c:scaling>
          <c:orientation val="minMax"/>
          <c:min val="0.2"/>
        </c:scaling>
        <c:delete val="0"/>
        <c:axPos val="l"/>
        <c:majorGridlines>
          <c:spPr>
            <a:ln w="3175" cap="flat" cmpd="sng" algn="ctr">
              <a:solidFill>
                <a:srgbClr val="C0C0C0"/>
              </a:solidFill>
              <a:prstDash val="solid"/>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86701664"/>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Drivers!$A$471</c:f>
              <c:strCache>
                <c:ptCount val="1"/>
                <c:pt idx="0">
                  <c:v>Credit Card loans Portfolion (RHS)</c:v>
                </c:pt>
              </c:strCache>
            </c:strRef>
          </c:tx>
          <c:spPr>
            <a:solidFill>
              <a:srgbClr val="000080"/>
            </a:solidFill>
            <a:ln w="25400">
              <a:noFill/>
            </a:ln>
            <a:effectLst/>
          </c:spPr>
          <c:invertIfNegative val="0"/>
          <c:cat>
            <c:numRef>
              <c:f>Drivers!$C$469:$O$469</c:f>
              <c:numCache>
                <c:formatCode>General</c:formatCode>
                <c:ptCount val="1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numCache>
            </c:numRef>
          </c:cat>
          <c:val>
            <c:numRef>
              <c:f>Drivers!$C$471:$O$471</c:f>
              <c:numCache>
                <c:formatCode>0.0</c:formatCode>
                <c:ptCount val="13"/>
                <c:pt idx="0" formatCode="General">
                  <c:v>1623.8</c:v>
                </c:pt>
                <c:pt idx="1">
                  <c:v>2786.5</c:v>
                </c:pt>
                <c:pt idx="2">
                  <c:v>2908.9</c:v>
                </c:pt>
                <c:pt idx="3">
                  <c:v>4647.4619666048238</c:v>
                </c:pt>
                <c:pt idx="4">
                  <c:v>7824.6608579088488</c:v>
                </c:pt>
                <c:pt idx="5">
                  <c:v>10995.443620988126</c:v>
                </c:pt>
                <c:pt idx="6">
                  <c:v>13981.130092435229</c:v>
                </c:pt>
                <c:pt idx="7">
                  <c:v>16107.092345573446</c:v>
                </c:pt>
                <c:pt idx="8">
                  <c:v>17794.859157207789</c:v>
                </c:pt>
                <c:pt idx="9">
                  <c:v>19379.501718123272</c:v>
                </c:pt>
                <c:pt idx="10">
                  <c:v>20834.906526168001</c:v>
                </c:pt>
                <c:pt idx="11">
                  <c:v>22387.403060721892</c:v>
                </c:pt>
                <c:pt idx="12">
                  <c:v>24043.061982415755</c:v>
                </c:pt>
              </c:numCache>
            </c:numRef>
          </c:val>
          <c:extLst>
            <c:ext xmlns:c16="http://schemas.microsoft.com/office/drawing/2014/chart" uri="{C3380CC4-5D6E-409C-BE32-E72D297353CC}">
              <c16:uniqueId val="{00000000-DE50-49AB-AAA9-EA6EFCE98934}"/>
            </c:ext>
          </c:extLst>
        </c:ser>
        <c:dLbls>
          <c:showLegendKey val="0"/>
          <c:showVal val="0"/>
          <c:showCatName val="0"/>
          <c:showSerName val="0"/>
          <c:showPercent val="0"/>
          <c:showBubbleSize val="0"/>
        </c:dLbls>
        <c:gapWidth val="219"/>
        <c:overlap val="-27"/>
        <c:axId val="295641264"/>
        <c:axId val="295645008"/>
      </c:barChart>
      <c:lineChart>
        <c:grouping val="standard"/>
        <c:varyColors val="0"/>
        <c:ser>
          <c:idx val="1"/>
          <c:order val="1"/>
          <c:tx>
            <c:strRef>
              <c:f>Drivers!$A$472</c:f>
              <c:strCache>
                <c:ptCount val="1"/>
                <c:pt idx="0">
                  <c:v>Interest income – credit card</c:v>
                </c:pt>
              </c:strCache>
            </c:strRef>
          </c:tx>
          <c:spPr>
            <a:ln w="25400" cap="rnd">
              <a:solidFill>
                <a:schemeClr val="accent5">
                  <a:lumMod val="40000"/>
                  <a:lumOff val="60000"/>
                </a:schemeClr>
              </a:solidFill>
              <a:prstDash val="solid"/>
              <a:round/>
            </a:ln>
            <a:effectLst/>
          </c:spPr>
          <c:marker>
            <c:symbol val="none"/>
          </c:marker>
          <c:cat>
            <c:numRef>
              <c:f>Drivers!$C$469:$O$469</c:f>
              <c:numCache>
                <c:formatCode>General</c:formatCode>
                <c:ptCount val="1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numCache>
            </c:numRef>
          </c:cat>
          <c:val>
            <c:numRef>
              <c:f>Drivers!$C$472:$O$472</c:f>
              <c:numCache>
                <c:formatCode>General</c:formatCode>
                <c:ptCount val="13"/>
                <c:pt idx="0">
                  <c:v>128.5</c:v>
                </c:pt>
                <c:pt idx="1">
                  <c:v>214.6</c:v>
                </c:pt>
                <c:pt idx="2">
                  <c:v>217.5</c:v>
                </c:pt>
                <c:pt idx="3">
                  <c:v>347.06493506493507</c:v>
                </c:pt>
                <c:pt idx="4">
                  <c:v>964.53937667560342</c:v>
                </c:pt>
                <c:pt idx="5">
                  <c:v>2127.9334497072377</c:v>
                </c:pt>
                <c:pt idx="6">
                  <c:v>2837.426988918663</c:v>
                </c:pt>
                <c:pt idx="7">
                  <c:v>3246.718403666594</c:v>
                </c:pt>
                <c:pt idx="8">
                  <c:v>3482.7307131603052</c:v>
                </c:pt>
                <c:pt idx="9">
                  <c:v>3511.5811045291521</c:v>
                </c:pt>
                <c:pt idx="10">
                  <c:v>3361.2706631228111</c:v>
                </c:pt>
                <c:pt idx="11">
                  <c:v>3623.5493988416129</c:v>
                </c:pt>
                <c:pt idx="12">
                  <c:v>3900.3540744425763</c:v>
                </c:pt>
              </c:numCache>
            </c:numRef>
          </c:val>
          <c:smooth val="0"/>
          <c:extLst>
            <c:ext xmlns:c16="http://schemas.microsoft.com/office/drawing/2014/chart" uri="{C3380CC4-5D6E-409C-BE32-E72D297353CC}">
              <c16:uniqueId val="{00000001-DE50-49AB-AAA9-EA6EFCE98934}"/>
            </c:ext>
          </c:extLst>
        </c:ser>
        <c:dLbls>
          <c:showLegendKey val="0"/>
          <c:showVal val="0"/>
          <c:showCatName val="0"/>
          <c:showSerName val="0"/>
          <c:showPercent val="0"/>
          <c:showBubbleSize val="0"/>
        </c:dLbls>
        <c:marker val="1"/>
        <c:smooth val="0"/>
        <c:axId val="296056096"/>
        <c:axId val="296061088"/>
      </c:lineChart>
      <c:catAx>
        <c:axId val="2960560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296061088"/>
        <c:crosses val="autoZero"/>
        <c:auto val="1"/>
        <c:lblAlgn val="ctr"/>
        <c:lblOffset val="100"/>
        <c:tickLblSkip val="2"/>
        <c:noMultiLvlLbl val="0"/>
      </c:catAx>
      <c:valAx>
        <c:axId val="296061088"/>
        <c:scaling>
          <c:orientation val="minMax"/>
        </c:scaling>
        <c:delete val="0"/>
        <c:axPos val="l"/>
        <c:majorGridlines>
          <c:spPr>
            <a:ln w="3175" cap="flat" cmpd="sng" algn="ctr">
              <a:solidFill>
                <a:srgbClr val="C0C0C0"/>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GB"/>
                  <a:t>USD 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296056096"/>
        <c:crosses val="autoZero"/>
        <c:crossBetween val="between"/>
      </c:valAx>
      <c:valAx>
        <c:axId val="2956450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r>
                  <a:rPr lang="en-GB"/>
                  <a:t>USD 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295641264"/>
        <c:crosses val="max"/>
        <c:crossBetween val="between"/>
      </c:valAx>
      <c:catAx>
        <c:axId val="295641264"/>
        <c:scaling>
          <c:orientation val="minMax"/>
        </c:scaling>
        <c:delete val="1"/>
        <c:axPos val="b"/>
        <c:numFmt formatCode="General" sourceLinked="1"/>
        <c:majorTickMark val="out"/>
        <c:minorTickMark val="none"/>
        <c:tickLblPos val="nextTo"/>
        <c:crossAx val="295645008"/>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Drivers!$A$499</c:f>
              <c:strCache>
                <c:ptCount val="1"/>
                <c:pt idx="0">
                  <c:v>Personal loans Portfolio</c:v>
                </c:pt>
              </c:strCache>
            </c:strRef>
          </c:tx>
          <c:spPr>
            <a:solidFill>
              <a:srgbClr val="000080"/>
            </a:solidFill>
            <a:ln w="25400">
              <a:noFill/>
            </a:ln>
            <a:effectLst/>
          </c:spPr>
          <c:invertIfNegative val="0"/>
          <c:cat>
            <c:numRef>
              <c:f>Drivers!$D$498:$O$498</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Drivers!$D$499:$O$499</c:f>
              <c:numCache>
                <c:formatCode>0</c:formatCode>
                <c:ptCount val="12"/>
                <c:pt idx="0">
                  <c:v>58</c:v>
                </c:pt>
                <c:pt idx="1">
                  <c:v>202.32558139534882</c:v>
                </c:pt>
                <c:pt idx="2">
                  <c:v>1194.81</c:v>
                </c:pt>
                <c:pt idx="3">
                  <c:v>1673</c:v>
                </c:pt>
                <c:pt idx="4">
                  <c:v>3073.7838046249276</c:v>
                </c:pt>
                <c:pt idx="5">
                  <c:v>4345.3200144218608</c:v>
                </c:pt>
                <c:pt idx="6">
                  <c:v>6029.4757547159606</c:v>
                </c:pt>
                <c:pt idx="7">
                  <c:v>7933.6431269120003</c:v>
                </c:pt>
                <c:pt idx="8">
                  <c:v>9737.6918370352851</c:v>
                </c:pt>
                <c:pt idx="9">
                  <c:v>11546.22763565226</c:v>
                </c:pt>
                <c:pt idx="10">
                  <c:v>13005.924106116374</c:v>
                </c:pt>
                <c:pt idx="11">
                  <c:v>14520.224548828932</c:v>
                </c:pt>
              </c:numCache>
            </c:numRef>
          </c:val>
          <c:extLst>
            <c:ext xmlns:c16="http://schemas.microsoft.com/office/drawing/2014/chart" uri="{C3380CC4-5D6E-409C-BE32-E72D297353CC}">
              <c16:uniqueId val="{00000001-1062-4461-B7EF-5AE313FD2880}"/>
            </c:ext>
          </c:extLst>
        </c:ser>
        <c:dLbls>
          <c:showLegendKey val="0"/>
          <c:showVal val="0"/>
          <c:showCatName val="0"/>
          <c:showSerName val="0"/>
          <c:showPercent val="0"/>
          <c:showBubbleSize val="0"/>
        </c:dLbls>
        <c:gapWidth val="150"/>
        <c:axId val="766262480"/>
        <c:axId val="766262064"/>
      </c:barChart>
      <c:lineChart>
        <c:grouping val="standard"/>
        <c:varyColors val="0"/>
        <c:ser>
          <c:idx val="0"/>
          <c:order val="0"/>
          <c:tx>
            <c:strRef>
              <c:f>Drivers!$A$500</c:f>
              <c:strCache>
                <c:ptCount val="1"/>
                <c:pt idx="0">
                  <c:v>Interest income – lending</c:v>
                </c:pt>
              </c:strCache>
            </c:strRef>
          </c:tx>
          <c:spPr>
            <a:ln w="25400" cap="rnd">
              <a:solidFill>
                <a:schemeClr val="accent5">
                  <a:lumMod val="40000"/>
                  <a:lumOff val="60000"/>
                </a:schemeClr>
              </a:solidFill>
              <a:prstDash val="solid"/>
              <a:round/>
            </a:ln>
            <a:effectLst/>
          </c:spPr>
          <c:marker>
            <c:symbol val="none"/>
          </c:marker>
          <c:cat>
            <c:numRef>
              <c:f>Drivers!$D$498:$O$498</c:f>
              <c:numCache>
                <c:formatCode>General</c:formatCode>
                <c:ptCount val="12"/>
                <c:pt idx="0">
                  <c:v>2019</c:v>
                </c:pt>
                <c:pt idx="1">
                  <c:v>2020</c:v>
                </c:pt>
                <c:pt idx="2">
                  <c:v>2021</c:v>
                </c:pt>
                <c:pt idx="3">
                  <c:v>2022</c:v>
                </c:pt>
                <c:pt idx="4">
                  <c:v>2023</c:v>
                </c:pt>
                <c:pt idx="5">
                  <c:v>2024</c:v>
                </c:pt>
                <c:pt idx="6">
                  <c:v>2025</c:v>
                </c:pt>
                <c:pt idx="7">
                  <c:v>2026</c:v>
                </c:pt>
                <c:pt idx="8">
                  <c:v>2027</c:v>
                </c:pt>
                <c:pt idx="9">
                  <c:v>2028</c:v>
                </c:pt>
                <c:pt idx="10">
                  <c:v>2029</c:v>
                </c:pt>
                <c:pt idx="11">
                  <c:v>2030</c:v>
                </c:pt>
              </c:numCache>
            </c:numRef>
          </c:cat>
          <c:val>
            <c:numRef>
              <c:f>Drivers!$D$500:$O$500</c:f>
              <c:numCache>
                <c:formatCode>0</c:formatCode>
                <c:ptCount val="12"/>
                <c:pt idx="0">
                  <c:v>8.6</c:v>
                </c:pt>
                <c:pt idx="1">
                  <c:v>38.9</c:v>
                </c:pt>
                <c:pt idx="2">
                  <c:v>292.70100000000002</c:v>
                </c:pt>
                <c:pt idx="3">
                  <c:v>932.19600000000003</c:v>
                </c:pt>
                <c:pt idx="4">
                  <c:v>1495.1153443966684</c:v>
                </c:pt>
                <c:pt idx="5">
                  <c:v>2210.5730526404723</c:v>
                </c:pt>
                <c:pt idx="6">
                  <c:v>2995.7823982901446</c:v>
                </c:pt>
                <c:pt idx="7">
                  <c:v>3747.2948319911425</c:v>
                </c:pt>
                <c:pt idx="8">
                  <c:v>4518.2390532819763</c:v>
                </c:pt>
                <c:pt idx="9">
                  <c:v>5441.9112288121569</c:v>
                </c:pt>
                <c:pt idx="10">
                  <c:v>6277.5387976112988</c:v>
                </c:pt>
                <c:pt idx="11">
                  <c:v>7037.9357356394248</c:v>
                </c:pt>
              </c:numCache>
            </c:numRef>
          </c:val>
          <c:smooth val="0"/>
          <c:extLst>
            <c:ext xmlns:c16="http://schemas.microsoft.com/office/drawing/2014/chart" uri="{C3380CC4-5D6E-409C-BE32-E72D297353CC}">
              <c16:uniqueId val="{00000000-1062-4461-B7EF-5AE313FD2880}"/>
            </c:ext>
          </c:extLst>
        </c:ser>
        <c:dLbls>
          <c:showLegendKey val="0"/>
          <c:showVal val="0"/>
          <c:showCatName val="0"/>
          <c:showSerName val="0"/>
          <c:showPercent val="0"/>
          <c:showBubbleSize val="0"/>
        </c:dLbls>
        <c:marker val="1"/>
        <c:smooth val="0"/>
        <c:axId val="296056096"/>
        <c:axId val="296061088"/>
      </c:lineChart>
      <c:catAx>
        <c:axId val="2960560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296061088"/>
        <c:crosses val="autoZero"/>
        <c:auto val="1"/>
        <c:lblAlgn val="ctr"/>
        <c:lblOffset val="100"/>
        <c:tickLblSkip val="1"/>
        <c:noMultiLvlLbl val="0"/>
      </c:catAx>
      <c:valAx>
        <c:axId val="296061088"/>
        <c:scaling>
          <c:orientation val="minMax"/>
        </c:scaling>
        <c:delete val="0"/>
        <c:axPos val="l"/>
        <c:majorGridlines>
          <c:spPr>
            <a:ln w="3175" cap="flat" cmpd="sng" algn="ctr">
              <a:solidFill>
                <a:srgbClr val="C0C0C0"/>
              </a:solidFill>
              <a:prstDash val="solid"/>
              <a:round/>
            </a:ln>
            <a:effectLst/>
          </c:spPr>
        </c:majorGridlines>
        <c:numFmt formatCode="#,##0" sourceLinked="0"/>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296056096"/>
        <c:crosses val="autoZero"/>
        <c:crossBetween val="between"/>
      </c:valAx>
      <c:valAx>
        <c:axId val="766262064"/>
        <c:scaling>
          <c:orientation val="minMax"/>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766262480"/>
        <c:crosses val="max"/>
        <c:crossBetween val="between"/>
      </c:valAx>
      <c:catAx>
        <c:axId val="766262480"/>
        <c:scaling>
          <c:orientation val="minMax"/>
        </c:scaling>
        <c:delete val="1"/>
        <c:axPos val="b"/>
        <c:numFmt formatCode="General" sourceLinked="1"/>
        <c:majorTickMark val="out"/>
        <c:minorTickMark val="none"/>
        <c:tickLblPos val="nextTo"/>
        <c:crossAx val="766262064"/>
        <c:crosses val="autoZero"/>
        <c:auto val="1"/>
        <c:lblAlgn val="ctr"/>
        <c:lblOffset val="100"/>
        <c:noMultiLvlLbl val="0"/>
      </c:cat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Drivers!$A$519</c:f>
              <c:strCache>
                <c:ptCount val="1"/>
                <c:pt idx="0">
                  <c:v>Banking Revenues</c:v>
                </c:pt>
              </c:strCache>
            </c:strRef>
          </c:tx>
          <c:spPr>
            <a:ln w="25400" cap="rnd">
              <a:solidFill>
                <a:srgbClr val="333399"/>
              </a:solidFill>
              <a:prstDash val="solid"/>
              <a:round/>
            </a:ln>
            <a:effectLst/>
          </c:spPr>
          <c:marker>
            <c:symbol val="none"/>
          </c:marker>
          <c:cat>
            <c:numRef>
              <c:f>Drivers!$F$518:$O$518</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Drivers!$F$519:$O$519</c:f>
              <c:numCache>
                <c:formatCode>0%</c:formatCode>
                <c:ptCount val="10"/>
                <c:pt idx="0">
                  <c:v>1</c:v>
                </c:pt>
                <c:pt idx="1">
                  <c:v>0.9825175455785744</c:v>
                </c:pt>
                <c:pt idx="2">
                  <c:v>0.98304200444836409</c:v>
                </c:pt>
                <c:pt idx="3">
                  <c:v>0.98086859331609655</c:v>
                </c:pt>
                <c:pt idx="4">
                  <c:v>0.97794475319981722</c:v>
                </c:pt>
                <c:pt idx="5">
                  <c:v>0.9759543305575803</c:v>
                </c:pt>
                <c:pt idx="6">
                  <c:v>0.97350810388282261</c:v>
                </c:pt>
                <c:pt idx="7">
                  <c:v>0.97196551941702181</c:v>
                </c:pt>
                <c:pt idx="8">
                  <c:v>0.97116088303875592</c:v>
                </c:pt>
                <c:pt idx="9">
                  <c:v>0.97034729984522072</c:v>
                </c:pt>
              </c:numCache>
            </c:numRef>
          </c:val>
          <c:smooth val="0"/>
          <c:extLst>
            <c:ext xmlns:c16="http://schemas.microsoft.com/office/drawing/2014/chart" uri="{C3380CC4-5D6E-409C-BE32-E72D297353CC}">
              <c16:uniqueId val="{00000000-C342-4CF1-90F8-CAC07039D50B}"/>
            </c:ext>
          </c:extLst>
        </c:ser>
        <c:ser>
          <c:idx val="1"/>
          <c:order val="1"/>
          <c:tx>
            <c:strRef>
              <c:f>Drivers!$A$520</c:f>
              <c:strCache>
                <c:ptCount val="1"/>
                <c:pt idx="0">
                  <c:v>Other businesses</c:v>
                </c:pt>
              </c:strCache>
            </c:strRef>
          </c:tx>
          <c:spPr>
            <a:ln w="25400" cap="rnd">
              <a:solidFill>
                <a:srgbClr val="99CCFF"/>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Drivers!$F$518:$O$518</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Drivers!$F$520:$O$520</c:f>
              <c:numCache>
                <c:formatCode>0%</c:formatCode>
                <c:ptCount val="10"/>
                <c:pt idx="0">
                  <c:v>0</c:v>
                </c:pt>
                <c:pt idx="1">
                  <c:v>1.7482454421425604E-2</c:v>
                </c:pt>
                <c:pt idx="2">
                  <c:v>1.6957995551635983E-2</c:v>
                </c:pt>
                <c:pt idx="3">
                  <c:v>1.9131406683903361E-2</c:v>
                </c:pt>
                <c:pt idx="4">
                  <c:v>2.2055246800182678E-2</c:v>
                </c:pt>
                <c:pt idx="5">
                  <c:v>2.4045669442419711E-2</c:v>
                </c:pt>
                <c:pt idx="6">
                  <c:v>2.6491896117177303E-2</c:v>
                </c:pt>
                <c:pt idx="7">
                  <c:v>2.8034480582978319E-2</c:v>
                </c:pt>
                <c:pt idx="8">
                  <c:v>2.8839116961244034E-2</c:v>
                </c:pt>
                <c:pt idx="9">
                  <c:v>2.9652700154779249E-2</c:v>
                </c:pt>
              </c:numCache>
            </c:numRef>
          </c:val>
          <c:smooth val="0"/>
          <c:extLst>
            <c:ext xmlns:c16="http://schemas.microsoft.com/office/drawing/2014/chart" uri="{C3380CC4-5D6E-409C-BE32-E72D297353CC}">
              <c16:uniqueId val="{00000001-C342-4CF1-90F8-CAC07039D50B}"/>
            </c:ext>
          </c:extLst>
        </c:ser>
        <c:dLbls>
          <c:showLegendKey val="0"/>
          <c:showVal val="0"/>
          <c:showCatName val="0"/>
          <c:showSerName val="0"/>
          <c:showPercent val="0"/>
          <c:showBubbleSize val="0"/>
        </c:dLbls>
        <c:smooth val="0"/>
        <c:axId val="881204752"/>
        <c:axId val="881215152"/>
      </c:lineChart>
      <c:catAx>
        <c:axId val="8812047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81215152"/>
        <c:crosses val="autoZero"/>
        <c:auto val="1"/>
        <c:lblAlgn val="ctr"/>
        <c:lblOffset val="100"/>
        <c:noMultiLvlLbl val="0"/>
      </c:catAx>
      <c:valAx>
        <c:axId val="881215152"/>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881204752"/>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Drivers!$A$292</c:f>
              <c:strCache>
                <c:ptCount val="1"/>
                <c:pt idx="0">
                  <c:v>Credit card</c:v>
                </c:pt>
              </c:strCache>
            </c:strRef>
          </c:tx>
          <c:spPr>
            <a:ln w="25400" cap="rnd">
              <a:solidFill>
                <a:srgbClr val="333399"/>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Drivers!$B$291:$G$291</c:f>
              <c:numCache>
                <c:formatCode>General</c:formatCode>
                <c:ptCount val="6"/>
                <c:pt idx="0">
                  <c:v>2020</c:v>
                </c:pt>
                <c:pt idx="1">
                  <c:v>2021</c:v>
                </c:pt>
                <c:pt idx="2">
                  <c:v>2022</c:v>
                </c:pt>
                <c:pt idx="3">
                  <c:v>2023</c:v>
                </c:pt>
                <c:pt idx="4">
                  <c:v>2024</c:v>
                </c:pt>
                <c:pt idx="5">
                  <c:v>2025</c:v>
                </c:pt>
              </c:numCache>
            </c:numRef>
          </c:cat>
          <c:val>
            <c:numRef>
              <c:f>Drivers!$B$292:$G$292</c:f>
              <c:numCache>
                <c:formatCode>0%</c:formatCode>
                <c:ptCount val="6"/>
                <c:pt idx="0">
                  <c:v>1.9954128440366974E-2</c:v>
                </c:pt>
                <c:pt idx="1">
                  <c:v>2.9462218596344233E-2</c:v>
                </c:pt>
                <c:pt idx="2">
                  <c:v>7.6187944445150341E-2</c:v>
                </c:pt>
                <c:pt idx="3">
                  <c:v>0.15715904355297175</c:v>
                </c:pt>
                <c:pt idx="4">
                  <c:v>0.19677024888478936</c:v>
                </c:pt>
                <c:pt idx="5">
                  <c:v>0.21220381723311071</c:v>
                </c:pt>
              </c:numCache>
            </c:numRef>
          </c:val>
          <c:smooth val="0"/>
          <c:extLst>
            <c:ext xmlns:c16="http://schemas.microsoft.com/office/drawing/2014/chart" uri="{C3380CC4-5D6E-409C-BE32-E72D297353CC}">
              <c16:uniqueId val="{00000000-CF6E-4818-9259-31D1CCC71AB3}"/>
            </c:ext>
          </c:extLst>
        </c:ser>
        <c:ser>
          <c:idx val="1"/>
          <c:order val="1"/>
          <c:tx>
            <c:strRef>
              <c:f>Drivers!$A$293</c:f>
              <c:strCache>
                <c:ptCount val="1"/>
                <c:pt idx="0">
                  <c:v>Personal loans</c:v>
                </c:pt>
              </c:strCache>
            </c:strRef>
          </c:tx>
          <c:spPr>
            <a:ln w="25400" cap="rnd">
              <a:solidFill>
                <a:srgbClr val="99CCFF"/>
              </a:solidFill>
              <a:prstDash val="solid"/>
              <a:round/>
            </a:ln>
            <a:effectLst/>
          </c:spPr>
          <c:marker>
            <c:symbol val="none"/>
          </c:marker>
          <c:dLbls>
            <c:dLbl>
              <c:idx val="0"/>
              <c:layout>
                <c:manualLayout>
                  <c:x val="-5.0222222222222244E-2"/>
                  <c:y val="-4.7708151064450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6E-4818-9259-31D1CCC71AB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Drivers!$B$291:$G$291</c:f>
              <c:numCache>
                <c:formatCode>General</c:formatCode>
                <c:ptCount val="6"/>
                <c:pt idx="0">
                  <c:v>2020</c:v>
                </c:pt>
                <c:pt idx="1">
                  <c:v>2021</c:v>
                </c:pt>
                <c:pt idx="2">
                  <c:v>2022</c:v>
                </c:pt>
                <c:pt idx="3">
                  <c:v>2023</c:v>
                </c:pt>
                <c:pt idx="4">
                  <c:v>2024</c:v>
                </c:pt>
                <c:pt idx="5">
                  <c:v>2025</c:v>
                </c:pt>
              </c:numCache>
            </c:numRef>
          </c:cat>
          <c:val>
            <c:numRef>
              <c:f>Drivers!$B$293:$G$293</c:f>
              <c:numCache>
                <c:formatCode>0%</c:formatCode>
                <c:ptCount val="6"/>
                <c:pt idx="0">
                  <c:v>2.6462585034013604E-3</c:v>
                </c:pt>
                <c:pt idx="1">
                  <c:v>1.8055541376679883E-2</c:v>
                </c:pt>
                <c:pt idx="2">
                  <c:v>5.2673072398810312E-2</c:v>
                </c:pt>
                <c:pt idx="3">
                  <c:v>7.3638792022514027E-2</c:v>
                </c:pt>
                <c:pt idx="4">
                  <c:v>9.5920881537683883E-2</c:v>
                </c:pt>
                <c:pt idx="5">
                  <c:v>0.11576133718983117</c:v>
                </c:pt>
              </c:numCache>
            </c:numRef>
          </c:val>
          <c:smooth val="0"/>
          <c:extLst>
            <c:ext xmlns:c16="http://schemas.microsoft.com/office/drawing/2014/chart" uri="{C3380CC4-5D6E-409C-BE32-E72D297353CC}">
              <c16:uniqueId val="{00000001-CF6E-4818-9259-31D1CCC71AB3}"/>
            </c:ext>
          </c:extLst>
        </c:ser>
        <c:dLbls>
          <c:showLegendKey val="0"/>
          <c:showVal val="0"/>
          <c:showCatName val="0"/>
          <c:showSerName val="0"/>
          <c:showPercent val="0"/>
          <c:showBubbleSize val="0"/>
        </c:dLbls>
        <c:smooth val="0"/>
        <c:axId val="104029488"/>
        <c:axId val="104029904"/>
      </c:lineChart>
      <c:catAx>
        <c:axId val="104029488"/>
        <c:scaling>
          <c:orientation val="minMax"/>
        </c:scaling>
        <c:delete val="0"/>
        <c:axPos val="b"/>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04029904"/>
        <c:crosses val="autoZero"/>
        <c:auto val="1"/>
        <c:lblAlgn val="ctr"/>
        <c:lblOffset val="100"/>
        <c:noMultiLvlLbl val="0"/>
      </c:catAx>
      <c:valAx>
        <c:axId val="104029904"/>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104029488"/>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spPr>
            <a:solidFill>
              <a:srgbClr val="333399"/>
            </a:solidFill>
            <a:ln w="25400">
              <a:solidFill>
                <a:srgbClr val="333399"/>
              </a:solidFill>
              <a:prstDash val="solid"/>
            </a:ln>
            <a:effectLst/>
          </c:spPr>
          <c:invertIfNegative val="0"/>
          <c:cat>
            <c:numRef>
              <c:f>Analysis!$F$109:$N$109</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Analysis!$F$111:$N$111</c:f>
              <c:numCache>
                <c:formatCode>General</c:formatCode>
                <c:ptCount val="9"/>
                <c:pt idx="0">
                  <c:v>0.49765798503160502</c:v>
                </c:pt>
                <c:pt idx="1">
                  <c:v>0.86079301929473906</c:v>
                </c:pt>
                <c:pt idx="2">
                  <c:v>0.81865223570289192</c:v>
                </c:pt>
                <c:pt idx="3">
                  <c:v>0.505436019294211</c:v>
                </c:pt>
                <c:pt idx="4">
                  <c:v>0.66002037342098796</c:v>
                </c:pt>
                <c:pt idx="5">
                  <c:v>1.10035903296937</c:v>
                </c:pt>
                <c:pt idx="6">
                  <c:v>1.5116587412167699</c:v>
                </c:pt>
                <c:pt idx="7">
                  <c:v>2.0580437370142599</c:v>
                </c:pt>
                <c:pt idx="8">
                  <c:v>2.4375236927837802</c:v>
                </c:pt>
              </c:numCache>
            </c:numRef>
          </c:val>
          <c:extLst>
            <c:ext xmlns:c16="http://schemas.microsoft.com/office/drawing/2014/chart" uri="{C3380CC4-5D6E-409C-BE32-E72D297353CC}">
              <c16:uniqueId val="{00000002-D64D-4774-80F8-1D29DE26A247}"/>
            </c:ext>
          </c:extLst>
        </c:ser>
        <c:dLbls>
          <c:showLegendKey val="0"/>
          <c:showVal val="0"/>
          <c:showCatName val="0"/>
          <c:showSerName val="0"/>
          <c:showPercent val="0"/>
          <c:showBubbleSize val="0"/>
        </c:dLbls>
        <c:gapWidth val="150"/>
        <c:axId val="994865375"/>
        <c:axId val="994883263"/>
      </c:barChart>
      <c:lineChart>
        <c:grouping val="standard"/>
        <c:varyColors val="0"/>
        <c:ser>
          <c:idx val="0"/>
          <c:order val="0"/>
          <c:spPr>
            <a:ln w="25400" cap="rnd">
              <a:solidFill>
                <a:srgbClr val="9999FF"/>
              </a:solidFill>
              <a:prstDash val="solid"/>
              <a:round/>
            </a:ln>
            <a:effectLst/>
          </c:spPr>
          <c:marker>
            <c:symbol val="none"/>
          </c:marker>
          <c:dLbls>
            <c:dLbl>
              <c:idx val="8"/>
              <c:layout>
                <c:manualLayout>
                  <c:x val="6.2637795275590552E-3"/>
                  <c:y val="-3.6134076990376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4D-4774-80F8-1D29DE26A24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Analysis!$F$109:$N$109</c:f>
              <c:numCache>
                <c:formatCode>General</c:formatCode>
                <c:ptCount val="9"/>
                <c:pt idx="0">
                  <c:v>2012</c:v>
                </c:pt>
                <c:pt idx="1">
                  <c:v>2013</c:v>
                </c:pt>
                <c:pt idx="2">
                  <c:v>2014</c:v>
                </c:pt>
                <c:pt idx="3">
                  <c:v>2015</c:v>
                </c:pt>
                <c:pt idx="4">
                  <c:v>2016</c:v>
                </c:pt>
                <c:pt idx="5">
                  <c:v>2017</c:v>
                </c:pt>
                <c:pt idx="6">
                  <c:v>2018</c:v>
                </c:pt>
                <c:pt idx="7">
                  <c:v>2019</c:v>
                </c:pt>
                <c:pt idx="8">
                  <c:v>2020</c:v>
                </c:pt>
              </c:numCache>
            </c:numRef>
          </c:cat>
          <c:val>
            <c:numRef>
              <c:f>Analysis!$F$110:$N$110</c:f>
              <c:numCache>
                <c:formatCode>0%</c:formatCode>
                <c:ptCount val="9"/>
                <c:pt idx="0">
                  <c:v>0.245</c:v>
                </c:pt>
                <c:pt idx="1">
                  <c:v>0.2099</c:v>
                </c:pt>
                <c:pt idx="2">
                  <c:v>0.11</c:v>
                </c:pt>
                <c:pt idx="3">
                  <c:v>6.0400000000000002E-2</c:v>
                </c:pt>
                <c:pt idx="4">
                  <c:v>0.25</c:v>
                </c:pt>
                <c:pt idx="5">
                  <c:v>0.2964</c:v>
                </c:pt>
                <c:pt idx="6">
                  <c:v>0.28660000000000002</c:v>
                </c:pt>
                <c:pt idx="7">
                  <c:v>0.27139999999999997</c:v>
                </c:pt>
                <c:pt idx="8">
                  <c:v>0.252</c:v>
                </c:pt>
              </c:numCache>
            </c:numRef>
          </c:val>
          <c:smooth val="0"/>
          <c:extLst>
            <c:ext xmlns:c16="http://schemas.microsoft.com/office/drawing/2014/chart" uri="{C3380CC4-5D6E-409C-BE32-E72D297353CC}">
              <c16:uniqueId val="{00000000-D64D-4774-80F8-1D29DE26A247}"/>
            </c:ext>
          </c:extLst>
        </c:ser>
        <c:dLbls>
          <c:showLegendKey val="0"/>
          <c:showVal val="0"/>
          <c:showCatName val="0"/>
          <c:showSerName val="0"/>
          <c:showPercent val="0"/>
          <c:showBubbleSize val="0"/>
        </c:dLbls>
        <c:marker val="1"/>
        <c:smooth val="0"/>
        <c:axId val="515831439"/>
        <c:axId val="515830191"/>
      </c:lineChart>
      <c:catAx>
        <c:axId val="51583143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515830191"/>
        <c:crosses val="autoZero"/>
        <c:auto val="1"/>
        <c:lblAlgn val="ctr"/>
        <c:lblOffset val="100"/>
        <c:noMultiLvlLbl val="0"/>
      </c:catAx>
      <c:valAx>
        <c:axId val="515830191"/>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515831439"/>
        <c:crosses val="autoZero"/>
        <c:crossBetween val="between"/>
      </c:valAx>
      <c:valAx>
        <c:axId val="994883263"/>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994865375"/>
        <c:crosses val="max"/>
        <c:crossBetween val="between"/>
      </c:valAx>
      <c:catAx>
        <c:axId val="994865375"/>
        <c:scaling>
          <c:orientation val="minMax"/>
        </c:scaling>
        <c:delete val="1"/>
        <c:axPos val="b"/>
        <c:numFmt formatCode="General" sourceLinked="1"/>
        <c:majorTickMark val="out"/>
        <c:minorTickMark val="none"/>
        <c:tickLblPos val="nextTo"/>
        <c:crossAx val="994883263"/>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Analysis!$B$114</c:f>
              <c:strCache>
                <c:ptCount val="1"/>
                <c:pt idx="0">
                  <c:v>Nubank</c:v>
                </c:pt>
              </c:strCache>
            </c:strRef>
          </c:tx>
          <c:spPr>
            <a:ln w="25400" cap="rnd">
              <a:solidFill>
                <a:srgbClr val="333399"/>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Analysis!$C$113:$F$113</c:f>
              <c:strCache>
                <c:ptCount val="4"/>
                <c:pt idx="0">
                  <c:v>2018</c:v>
                </c:pt>
                <c:pt idx="1">
                  <c:v>2019</c:v>
                </c:pt>
                <c:pt idx="2">
                  <c:v>2020</c:v>
                </c:pt>
                <c:pt idx="3">
                  <c:v>3Q21</c:v>
                </c:pt>
              </c:strCache>
            </c:strRef>
          </c:cat>
          <c:val>
            <c:numRef>
              <c:f>Analysis!$C$114:$F$114</c:f>
              <c:numCache>
                <c:formatCode>#,##0.0</c:formatCode>
                <c:ptCount val="4"/>
                <c:pt idx="0">
                  <c:v>5.0999999999999996</c:v>
                </c:pt>
                <c:pt idx="1">
                  <c:v>12.1</c:v>
                </c:pt>
                <c:pt idx="2">
                  <c:v>21.8</c:v>
                </c:pt>
                <c:pt idx="3">
                  <c:v>35.299999999999997</c:v>
                </c:pt>
              </c:numCache>
            </c:numRef>
          </c:val>
          <c:smooth val="0"/>
          <c:extLst>
            <c:ext xmlns:c16="http://schemas.microsoft.com/office/drawing/2014/chart" uri="{C3380CC4-5D6E-409C-BE32-E72D297353CC}">
              <c16:uniqueId val="{00000000-4069-4B41-B235-6A4ED567D02F}"/>
            </c:ext>
          </c:extLst>
        </c:ser>
        <c:ser>
          <c:idx val="1"/>
          <c:order val="1"/>
          <c:tx>
            <c:strRef>
              <c:f>Analysis!$B$115</c:f>
              <c:strCache>
                <c:ptCount val="1"/>
                <c:pt idx="0">
                  <c:v>Tinkoff</c:v>
                </c:pt>
              </c:strCache>
            </c:strRef>
          </c:tx>
          <c:spPr>
            <a:ln w="25400" cap="rnd">
              <a:solidFill>
                <a:srgbClr val="99CCFF"/>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Analysis!$C$113:$F$113</c:f>
              <c:strCache>
                <c:ptCount val="4"/>
                <c:pt idx="0">
                  <c:v>2018</c:v>
                </c:pt>
                <c:pt idx="1">
                  <c:v>2019</c:v>
                </c:pt>
                <c:pt idx="2">
                  <c:v>2020</c:v>
                </c:pt>
                <c:pt idx="3">
                  <c:v>3Q21</c:v>
                </c:pt>
              </c:strCache>
            </c:strRef>
          </c:cat>
          <c:val>
            <c:numRef>
              <c:f>Analysis!$C$115:$F$115</c:f>
              <c:numCache>
                <c:formatCode>General</c:formatCode>
                <c:ptCount val="4"/>
                <c:pt idx="0">
                  <c:v>5.2</c:v>
                </c:pt>
                <c:pt idx="1">
                  <c:v>7.2</c:v>
                </c:pt>
                <c:pt idx="2">
                  <c:v>9.1</c:v>
                </c:pt>
                <c:pt idx="3">
                  <c:v>12.8</c:v>
                </c:pt>
              </c:numCache>
            </c:numRef>
          </c:val>
          <c:smooth val="0"/>
          <c:extLst>
            <c:ext xmlns:c16="http://schemas.microsoft.com/office/drawing/2014/chart" uri="{C3380CC4-5D6E-409C-BE32-E72D297353CC}">
              <c16:uniqueId val="{00000001-4069-4B41-B235-6A4ED567D02F}"/>
            </c:ext>
          </c:extLst>
        </c:ser>
        <c:dLbls>
          <c:showLegendKey val="0"/>
          <c:showVal val="0"/>
          <c:showCatName val="0"/>
          <c:showSerName val="0"/>
          <c:showPercent val="0"/>
          <c:showBubbleSize val="0"/>
        </c:dLbls>
        <c:smooth val="0"/>
        <c:axId val="515851823"/>
        <c:axId val="515839759"/>
      </c:lineChart>
      <c:catAx>
        <c:axId val="51585182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515839759"/>
        <c:crosses val="autoZero"/>
        <c:auto val="1"/>
        <c:lblAlgn val="ctr"/>
        <c:lblOffset val="100"/>
        <c:noMultiLvlLbl val="0"/>
      </c:catAx>
      <c:valAx>
        <c:axId val="515839759"/>
        <c:scaling>
          <c:orientation val="minMax"/>
        </c:scaling>
        <c:delete val="0"/>
        <c:axPos val="l"/>
        <c:majorGridlines>
          <c:spPr>
            <a:ln w="3175" cap="flat" cmpd="sng" algn="ctr">
              <a:solidFill>
                <a:srgbClr val="C0C0C0"/>
              </a:solidFill>
              <a:prstDash val="solid"/>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515851823"/>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Analysis!$C$129</c:f>
              <c:strCache>
                <c:ptCount val="1"/>
                <c:pt idx="0">
                  <c:v>2020</c:v>
                </c:pt>
              </c:strCache>
            </c:strRef>
          </c:tx>
          <c:spPr>
            <a:solidFill>
              <a:srgbClr val="000080"/>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Analysis!$B$130:$B$134</c:f>
              <c:strCache>
                <c:ptCount val="5"/>
                <c:pt idx="0">
                  <c:v>Mortgages</c:v>
                </c:pt>
                <c:pt idx="1">
                  <c:v>Payroll</c:v>
                </c:pt>
                <c:pt idx="2">
                  <c:v>Auto</c:v>
                </c:pt>
                <c:pt idx="3">
                  <c:v>Personal loans</c:v>
                </c:pt>
                <c:pt idx="4">
                  <c:v>Credit cards</c:v>
                </c:pt>
              </c:strCache>
            </c:strRef>
          </c:cat>
          <c:val>
            <c:numRef>
              <c:f>Analysis!$C$130:$C$134</c:f>
              <c:numCache>
                <c:formatCode>0</c:formatCode>
                <c:ptCount val="5"/>
                <c:pt idx="0">
                  <c:v>5.4</c:v>
                </c:pt>
                <c:pt idx="1">
                  <c:v>11.6</c:v>
                </c:pt>
                <c:pt idx="2">
                  <c:v>7</c:v>
                </c:pt>
                <c:pt idx="3">
                  <c:v>14.7</c:v>
                </c:pt>
                <c:pt idx="4">
                  <c:v>10.9</c:v>
                </c:pt>
              </c:numCache>
            </c:numRef>
          </c:val>
          <c:extLst>
            <c:ext xmlns:c16="http://schemas.microsoft.com/office/drawing/2014/chart" uri="{C3380CC4-5D6E-409C-BE32-E72D297353CC}">
              <c16:uniqueId val="{00000000-93F8-4072-9D64-B5DC51CA93BA}"/>
            </c:ext>
          </c:extLst>
        </c:ser>
        <c:ser>
          <c:idx val="1"/>
          <c:order val="1"/>
          <c:tx>
            <c:strRef>
              <c:f>Analysis!$D$129</c:f>
              <c:strCache>
                <c:ptCount val="1"/>
                <c:pt idx="0">
                  <c:v>2025</c:v>
                </c:pt>
              </c:strCache>
            </c:strRef>
          </c:tx>
          <c:spPr>
            <a:solidFill>
              <a:srgbClr val="9999FF"/>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Trebuchet MS"/>
                    <a:ea typeface="Trebuchet MS"/>
                    <a:cs typeface="Trebuchet M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Analysis!$B$130:$B$134</c:f>
              <c:strCache>
                <c:ptCount val="5"/>
                <c:pt idx="0">
                  <c:v>Mortgages</c:v>
                </c:pt>
                <c:pt idx="1">
                  <c:v>Payroll</c:v>
                </c:pt>
                <c:pt idx="2">
                  <c:v>Auto</c:v>
                </c:pt>
                <c:pt idx="3">
                  <c:v>Personal loans</c:v>
                </c:pt>
                <c:pt idx="4">
                  <c:v>Credit cards</c:v>
                </c:pt>
              </c:strCache>
            </c:strRef>
          </c:cat>
          <c:val>
            <c:numRef>
              <c:f>Analysis!$D$130:$D$134</c:f>
              <c:numCache>
                <c:formatCode>0</c:formatCode>
                <c:ptCount val="5"/>
                <c:pt idx="0">
                  <c:v>2.2999999999999998</c:v>
                </c:pt>
                <c:pt idx="1">
                  <c:v>15.3</c:v>
                </c:pt>
                <c:pt idx="2">
                  <c:v>8.1</c:v>
                </c:pt>
                <c:pt idx="3">
                  <c:v>20</c:v>
                </c:pt>
                <c:pt idx="4">
                  <c:v>15.3</c:v>
                </c:pt>
              </c:numCache>
            </c:numRef>
          </c:val>
          <c:extLst>
            <c:ext xmlns:c16="http://schemas.microsoft.com/office/drawing/2014/chart" uri="{C3380CC4-5D6E-409C-BE32-E72D297353CC}">
              <c16:uniqueId val="{00000001-93F8-4072-9D64-B5DC51CA93BA}"/>
            </c:ext>
          </c:extLst>
        </c:ser>
        <c:dLbls>
          <c:showLegendKey val="0"/>
          <c:showVal val="0"/>
          <c:showCatName val="0"/>
          <c:showSerName val="0"/>
          <c:showPercent val="0"/>
          <c:showBubbleSize val="0"/>
        </c:dLbls>
        <c:gapWidth val="219"/>
        <c:overlap val="-27"/>
        <c:axId val="515809807"/>
        <c:axId val="515825615"/>
      </c:barChart>
      <c:catAx>
        <c:axId val="5158098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515825615"/>
        <c:crosses val="autoZero"/>
        <c:auto val="1"/>
        <c:lblAlgn val="ctr"/>
        <c:lblOffset val="100"/>
        <c:noMultiLvlLbl val="0"/>
      </c:catAx>
      <c:valAx>
        <c:axId val="515825615"/>
        <c:scaling>
          <c:orientation val="minMax"/>
        </c:scaling>
        <c:delete val="0"/>
        <c:axPos val="l"/>
        <c:majorGridlines>
          <c:spPr>
            <a:ln w="3175" cap="flat" cmpd="sng" algn="ctr">
              <a:solidFill>
                <a:srgbClr val="C0C0C0"/>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crossAx val="515809807"/>
        <c:crosses val="autoZero"/>
        <c:crossBetween val="between"/>
      </c:valAx>
      <c:spPr>
        <a:noFill/>
        <a:ln w="25400">
          <a:noFill/>
        </a:ln>
        <a:effectLst/>
      </c:spPr>
    </c:plotArea>
    <c:legend>
      <c:legendPos val="b"/>
      <c:overlay val="0"/>
      <c:spPr>
        <a:noFill/>
        <a:ln w="25400">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rebuchet MS"/>
              <a:ea typeface="Trebuchet MS"/>
              <a:cs typeface="Trebuchet MS"/>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000" b="0" i="0" u="none" strike="noStrike" baseline="0">
          <a:latin typeface="Trebuchet MS"/>
          <a:ea typeface="Trebuchet MS"/>
          <a:cs typeface="Trebuchet MS"/>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Master!A1"/><Relationship Id="rId2" Type="http://schemas.openxmlformats.org/officeDocument/2006/relationships/image" Target="../media/image1.png"/><Relationship Id="rId1" Type="http://schemas.openxmlformats.org/officeDocument/2006/relationships/hyperlink" Target="http://www.newstreetresearch.com/" TargetMode="External"/><Relationship Id="rId5" Type="http://schemas.openxmlformats.org/officeDocument/2006/relationships/hyperlink" Target="#Valuation!A1"/><Relationship Id="rId4" Type="http://schemas.openxmlformats.org/officeDocument/2006/relationships/hyperlink" Target="#Quarts!A1"/></Relationships>
</file>

<file path=xl/drawings/_rels/drawing2.xml.rels><?xml version="1.0" encoding="UTF-8" standalone="yes"?>
<Relationships xmlns="http://schemas.openxmlformats.org/package/2006/relationships"><Relationship Id="rId13" Type="http://schemas.openxmlformats.org/officeDocument/2006/relationships/chart" Target="../charts/chart12.xml"/><Relationship Id="rId18" Type="http://schemas.openxmlformats.org/officeDocument/2006/relationships/chart" Target="../charts/chart17.xml"/><Relationship Id="rId26" Type="http://schemas.openxmlformats.org/officeDocument/2006/relationships/chart" Target="../charts/chart25.xml"/><Relationship Id="rId39" Type="http://schemas.openxmlformats.org/officeDocument/2006/relationships/chart" Target="../charts/chart38.xml"/><Relationship Id="rId21" Type="http://schemas.openxmlformats.org/officeDocument/2006/relationships/chart" Target="../charts/chart20.xml"/><Relationship Id="rId34" Type="http://schemas.openxmlformats.org/officeDocument/2006/relationships/chart" Target="../charts/chart33.xml"/><Relationship Id="rId42" Type="http://schemas.openxmlformats.org/officeDocument/2006/relationships/chart" Target="../charts/chart41.xml"/><Relationship Id="rId7" Type="http://schemas.openxmlformats.org/officeDocument/2006/relationships/chart" Target="../charts/chart6.xml"/><Relationship Id="rId2" Type="http://schemas.openxmlformats.org/officeDocument/2006/relationships/chart" Target="../charts/chart2.xml"/><Relationship Id="rId16" Type="http://schemas.openxmlformats.org/officeDocument/2006/relationships/chart" Target="../charts/chart15.xml"/><Relationship Id="rId20" Type="http://schemas.openxmlformats.org/officeDocument/2006/relationships/chart" Target="../charts/chart19.xml"/><Relationship Id="rId29" Type="http://schemas.openxmlformats.org/officeDocument/2006/relationships/chart" Target="../charts/chart28.xml"/><Relationship Id="rId41" Type="http://schemas.openxmlformats.org/officeDocument/2006/relationships/chart" Target="../charts/chart40.xml"/><Relationship Id="rId1" Type="http://schemas.openxmlformats.org/officeDocument/2006/relationships/chart" Target="../charts/chart1.xml"/><Relationship Id="rId6" Type="http://schemas.openxmlformats.org/officeDocument/2006/relationships/image" Target="../media/image2.png"/><Relationship Id="rId11" Type="http://schemas.openxmlformats.org/officeDocument/2006/relationships/chart" Target="../charts/chart10.xml"/><Relationship Id="rId24" Type="http://schemas.openxmlformats.org/officeDocument/2006/relationships/chart" Target="../charts/chart23.xml"/><Relationship Id="rId32" Type="http://schemas.openxmlformats.org/officeDocument/2006/relationships/chart" Target="../charts/chart31.xml"/><Relationship Id="rId37" Type="http://schemas.openxmlformats.org/officeDocument/2006/relationships/chart" Target="../charts/chart36.xml"/><Relationship Id="rId40" Type="http://schemas.openxmlformats.org/officeDocument/2006/relationships/chart" Target="../charts/chart39.xml"/><Relationship Id="rId5" Type="http://schemas.openxmlformats.org/officeDocument/2006/relationships/chart" Target="../charts/chart5.xml"/><Relationship Id="rId15" Type="http://schemas.openxmlformats.org/officeDocument/2006/relationships/chart" Target="../charts/chart14.xml"/><Relationship Id="rId23" Type="http://schemas.openxmlformats.org/officeDocument/2006/relationships/chart" Target="../charts/chart22.xml"/><Relationship Id="rId28" Type="http://schemas.openxmlformats.org/officeDocument/2006/relationships/chart" Target="../charts/chart27.xml"/><Relationship Id="rId36" Type="http://schemas.openxmlformats.org/officeDocument/2006/relationships/chart" Target="../charts/chart35.xml"/><Relationship Id="rId10" Type="http://schemas.openxmlformats.org/officeDocument/2006/relationships/chart" Target="../charts/chart9.xml"/><Relationship Id="rId19" Type="http://schemas.openxmlformats.org/officeDocument/2006/relationships/chart" Target="../charts/chart18.xml"/><Relationship Id="rId31" Type="http://schemas.openxmlformats.org/officeDocument/2006/relationships/chart" Target="../charts/chart30.xml"/><Relationship Id="rId44" Type="http://schemas.openxmlformats.org/officeDocument/2006/relationships/chart" Target="../charts/chart43.xml"/><Relationship Id="rId4" Type="http://schemas.openxmlformats.org/officeDocument/2006/relationships/chart" Target="../charts/chart4.xml"/><Relationship Id="rId9" Type="http://schemas.openxmlformats.org/officeDocument/2006/relationships/chart" Target="../charts/chart8.xml"/><Relationship Id="rId14" Type="http://schemas.openxmlformats.org/officeDocument/2006/relationships/chart" Target="../charts/chart13.xml"/><Relationship Id="rId22" Type="http://schemas.openxmlformats.org/officeDocument/2006/relationships/chart" Target="../charts/chart21.xml"/><Relationship Id="rId27" Type="http://schemas.openxmlformats.org/officeDocument/2006/relationships/chart" Target="../charts/chart26.xml"/><Relationship Id="rId30" Type="http://schemas.openxmlformats.org/officeDocument/2006/relationships/chart" Target="../charts/chart29.xml"/><Relationship Id="rId35" Type="http://schemas.openxmlformats.org/officeDocument/2006/relationships/chart" Target="../charts/chart34.xml"/><Relationship Id="rId43" Type="http://schemas.openxmlformats.org/officeDocument/2006/relationships/chart" Target="../charts/chart42.xml"/><Relationship Id="rId8" Type="http://schemas.openxmlformats.org/officeDocument/2006/relationships/chart" Target="../charts/chart7.xml"/><Relationship Id="rId3" Type="http://schemas.openxmlformats.org/officeDocument/2006/relationships/chart" Target="../charts/chart3.xml"/><Relationship Id="rId12" Type="http://schemas.openxmlformats.org/officeDocument/2006/relationships/chart" Target="../charts/chart11.xml"/><Relationship Id="rId17" Type="http://schemas.openxmlformats.org/officeDocument/2006/relationships/chart" Target="../charts/chart16.xml"/><Relationship Id="rId25" Type="http://schemas.openxmlformats.org/officeDocument/2006/relationships/chart" Target="../charts/chart24.xml"/><Relationship Id="rId33" Type="http://schemas.openxmlformats.org/officeDocument/2006/relationships/chart" Target="../charts/chart32.xml"/><Relationship Id="rId38" Type="http://schemas.openxmlformats.org/officeDocument/2006/relationships/chart" Target="../charts/chart37.xml"/></Relationships>
</file>

<file path=xl/drawings/_rels/drawing3.xml.rels><?xml version="1.0" encoding="UTF-8" standalone="yes"?>
<Relationships xmlns="http://schemas.openxmlformats.org/package/2006/relationships"><Relationship Id="rId8" Type="http://schemas.openxmlformats.org/officeDocument/2006/relationships/chart" Target="../charts/chart51.xml"/><Relationship Id="rId13" Type="http://schemas.openxmlformats.org/officeDocument/2006/relationships/chart" Target="../charts/chart56.xml"/><Relationship Id="rId3" Type="http://schemas.openxmlformats.org/officeDocument/2006/relationships/chart" Target="../charts/chart46.xml"/><Relationship Id="rId7" Type="http://schemas.openxmlformats.org/officeDocument/2006/relationships/chart" Target="../charts/chart50.xml"/><Relationship Id="rId12" Type="http://schemas.openxmlformats.org/officeDocument/2006/relationships/chart" Target="../charts/chart55.xml"/><Relationship Id="rId2" Type="http://schemas.openxmlformats.org/officeDocument/2006/relationships/chart" Target="../charts/chart45.xml"/><Relationship Id="rId1" Type="http://schemas.openxmlformats.org/officeDocument/2006/relationships/chart" Target="../charts/chart44.xml"/><Relationship Id="rId6" Type="http://schemas.openxmlformats.org/officeDocument/2006/relationships/chart" Target="../charts/chart49.xml"/><Relationship Id="rId11" Type="http://schemas.openxmlformats.org/officeDocument/2006/relationships/chart" Target="../charts/chart54.xml"/><Relationship Id="rId5" Type="http://schemas.openxmlformats.org/officeDocument/2006/relationships/chart" Target="../charts/chart48.xml"/><Relationship Id="rId15" Type="http://schemas.openxmlformats.org/officeDocument/2006/relationships/chart" Target="../charts/chart58.xml"/><Relationship Id="rId10" Type="http://schemas.openxmlformats.org/officeDocument/2006/relationships/chart" Target="../charts/chart53.xml"/><Relationship Id="rId4" Type="http://schemas.openxmlformats.org/officeDocument/2006/relationships/chart" Target="../charts/chart47.xml"/><Relationship Id="rId9" Type="http://schemas.openxmlformats.org/officeDocument/2006/relationships/chart" Target="../charts/chart52.xml"/><Relationship Id="rId14" Type="http://schemas.openxmlformats.org/officeDocument/2006/relationships/chart" Target="../charts/chart5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1.xml"/><Relationship Id="rId7" Type="http://schemas.openxmlformats.org/officeDocument/2006/relationships/chart" Target="../charts/chart65.xml"/><Relationship Id="rId2" Type="http://schemas.openxmlformats.org/officeDocument/2006/relationships/chart" Target="../charts/chart60.xml"/><Relationship Id="rId1" Type="http://schemas.openxmlformats.org/officeDocument/2006/relationships/chart" Target="../charts/chart59.xml"/><Relationship Id="rId6" Type="http://schemas.openxmlformats.org/officeDocument/2006/relationships/chart" Target="../charts/chart64.xml"/><Relationship Id="rId5" Type="http://schemas.openxmlformats.org/officeDocument/2006/relationships/chart" Target="../charts/chart63.xml"/><Relationship Id="rId4" Type="http://schemas.openxmlformats.org/officeDocument/2006/relationships/chart" Target="../charts/chart62.xml"/></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103533</xdr:colOff>
      <xdr:row>0</xdr:row>
      <xdr:rowOff>0</xdr:rowOff>
    </xdr:from>
    <xdr:to>
      <xdr:col>3</xdr:col>
      <xdr:colOff>559491</xdr:colOff>
      <xdr:row>4</xdr:row>
      <xdr:rowOff>140804</xdr:rowOff>
    </xdr:to>
    <xdr:pic>
      <xdr:nvPicPr>
        <xdr:cNvPr id="4" name="Picture 3" descr="signature_534858453">
          <a:hlinkClick xmlns:r="http://schemas.openxmlformats.org/officeDocument/2006/relationships" r:id="rId1"/>
          <a:extLst>
            <a:ext uri="{FF2B5EF4-FFF2-40B4-BE49-F238E27FC236}">
              <a16:creationId xmlns:a16="http://schemas.microsoft.com/office/drawing/2014/main" id="{B1FEB49E-6171-4181-ADD0-AE3AFFD880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533" y="0"/>
          <a:ext cx="3211830" cy="763905"/>
        </a:xfrm>
        <a:prstGeom prst="rect">
          <a:avLst/>
        </a:prstGeom>
        <a:noFill/>
        <a:ln>
          <a:noFill/>
        </a:ln>
      </xdr:spPr>
    </xdr:pic>
    <xdr:clientData/>
  </xdr:twoCellAnchor>
  <xdr:twoCellAnchor>
    <xdr:from>
      <xdr:col>0</xdr:col>
      <xdr:colOff>1004266</xdr:colOff>
      <xdr:row>29</xdr:row>
      <xdr:rowOff>28575</xdr:rowOff>
    </xdr:from>
    <xdr:to>
      <xdr:col>2</xdr:col>
      <xdr:colOff>424649</xdr:colOff>
      <xdr:row>32</xdr:row>
      <xdr:rowOff>94173</xdr:rowOff>
    </xdr:to>
    <xdr:sp macro="" textlink="">
      <xdr:nvSpPr>
        <xdr:cNvPr id="2" name="Rectangle 1">
          <a:hlinkClick xmlns:r="http://schemas.openxmlformats.org/officeDocument/2006/relationships" r:id="rId3"/>
          <a:extLst>
            <a:ext uri="{FF2B5EF4-FFF2-40B4-BE49-F238E27FC236}">
              <a16:creationId xmlns:a16="http://schemas.microsoft.com/office/drawing/2014/main" id="{614159E8-677B-4035-8563-A2CE1C82F98C}"/>
            </a:ext>
          </a:extLst>
        </xdr:cNvPr>
        <xdr:cNvSpPr/>
      </xdr:nvSpPr>
      <xdr:spPr>
        <a:xfrm>
          <a:off x="1004266" y="4842841"/>
          <a:ext cx="1522095" cy="531495"/>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n-GB" sz="1100"/>
            <a:t>Main model</a:t>
          </a:r>
        </a:p>
      </xdr:txBody>
    </xdr:sp>
    <xdr:clientData/>
  </xdr:twoCellAnchor>
  <xdr:twoCellAnchor>
    <xdr:from>
      <xdr:col>3</xdr:col>
      <xdr:colOff>199114</xdr:colOff>
      <xdr:row>29</xdr:row>
      <xdr:rowOff>9525</xdr:rowOff>
    </xdr:from>
    <xdr:to>
      <xdr:col>5</xdr:col>
      <xdr:colOff>386218</xdr:colOff>
      <xdr:row>32</xdr:row>
      <xdr:rowOff>75123</xdr:rowOff>
    </xdr:to>
    <xdr:sp macro="" textlink="">
      <xdr:nvSpPr>
        <xdr:cNvPr id="3" name="Rectangle 2">
          <a:hlinkClick xmlns:r="http://schemas.openxmlformats.org/officeDocument/2006/relationships" r:id="rId4"/>
          <a:extLst>
            <a:ext uri="{FF2B5EF4-FFF2-40B4-BE49-F238E27FC236}">
              <a16:creationId xmlns:a16="http://schemas.microsoft.com/office/drawing/2014/main" id="{BCB16C9E-5D85-496B-AF1D-856437AEB952}"/>
            </a:ext>
          </a:extLst>
        </xdr:cNvPr>
        <xdr:cNvSpPr/>
      </xdr:nvSpPr>
      <xdr:spPr>
        <a:xfrm>
          <a:off x="2953081" y="4823791"/>
          <a:ext cx="1491615" cy="531495"/>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n-GB" sz="1100"/>
            <a:t>Interims</a:t>
          </a:r>
        </a:p>
      </xdr:txBody>
    </xdr:sp>
    <xdr:clientData/>
  </xdr:twoCellAnchor>
  <xdr:twoCellAnchor>
    <xdr:from>
      <xdr:col>6</xdr:col>
      <xdr:colOff>305462</xdr:colOff>
      <xdr:row>29</xdr:row>
      <xdr:rowOff>0</xdr:rowOff>
    </xdr:from>
    <xdr:to>
      <xdr:col>8</xdr:col>
      <xdr:colOff>490661</xdr:colOff>
      <xdr:row>32</xdr:row>
      <xdr:rowOff>65598</xdr:rowOff>
    </xdr:to>
    <xdr:sp macro="" textlink="">
      <xdr:nvSpPr>
        <xdr:cNvPr id="5" name="Rectangle 4">
          <a:hlinkClick xmlns:r="http://schemas.openxmlformats.org/officeDocument/2006/relationships" r:id="rId5"/>
          <a:extLst>
            <a:ext uri="{FF2B5EF4-FFF2-40B4-BE49-F238E27FC236}">
              <a16:creationId xmlns:a16="http://schemas.microsoft.com/office/drawing/2014/main" id="{D5FBEB51-0F28-4C24-B0FF-A500FE6C894D}"/>
            </a:ext>
          </a:extLst>
        </xdr:cNvPr>
        <xdr:cNvSpPr/>
      </xdr:nvSpPr>
      <xdr:spPr>
        <a:xfrm>
          <a:off x="5016196" y="4814266"/>
          <a:ext cx="1489710" cy="531495"/>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n-GB" sz="1100"/>
            <a:t>Valuation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410765</xdr:colOff>
      <xdr:row>24</xdr:row>
      <xdr:rowOff>7144</xdr:rowOff>
    </xdr:from>
    <xdr:to>
      <xdr:col>16</xdr:col>
      <xdr:colOff>319088</xdr:colOff>
      <xdr:row>41</xdr:row>
      <xdr:rowOff>161925</xdr:rowOff>
    </xdr:to>
    <xdr:graphicFrame macro="">
      <xdr:nvGraphicFramePr>
        <xdr:cNvPr id="2" name="Chart 1">
          <a:extLst>
            <a:ext uri="{FF2B5EF4-FFF2-40B4-BE49-F238E27FC236}">
              <a16:creationId xmlns:a16="http://schemas.microsoft.com/office/drawing/2014/main" id="{5BE701C2-24C3-40D7-A576-1E9C095A01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595312</xdr:colOff>
      <xdr:row>23</xdr:row>
      <xdr:rowOff>142875</xdr:rowOff>
    </xdr:from>
    <xdr:to>
      <xdr:col>24</xdr:col>
      <xdr:colOff>571500</xdr:colOff>
      <xdr:row>41</xdr:row>
      <xdr:rowOff>107155</xdr:rowOff>
    </xdr:to>
    <xdr:graphicFrame macro="">
      <xdr:nvGraphicFramePr>
        <xdr:cNvPr id="3" name="Chart 2">
          <a:extLst>
            <a:ext uri="{FF2B5EF4-FFF2-40B4-BE49-F238E27FC236}">
              <a16:creationId xmlns:a16="http://schemas.microsoft.com/office/drawing/2014/main" id="{9853BC54-2032-4CBF-A06A-43D9F65C97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360519</xdr:colOff>
      <xdr:row>24</xdr:row>
      <xdr:rowOff>85725</xdr:rowOff>
    </xdr:from>
    <xdr:to>
      <xdr:col>10</xdr:col>
      <xdr:colOff>290512</xdr:colOff>
      <xdr:row>37</xdr:row>
      <xdr:rowOff>195263</xdr:rowOff>
    </xdr:to>
    <xdr:graphicFrame macro="">
      <xdr:nvGraphicFramePr>
        <xdr:cNvPr id="4" name="Chart 3">
          <a:extLst>
            <a:ext uri="{FF2B5EF4-FFF2-40B4-BE49-F238E27FC236}">
              <a16:creationId xmlns:a16="http://schemas.microsoft.com/office/drawing/2014/main" id="{4C8F4D18-62A1-457E-8486-75F20597CA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213360</xdr:colOff>
      <xdr:row>43</xdr:row>
      <xdr:rowOff>190500</xdr:rowOff>
    </xdr:from>
    <xdr:to>
      <xdr:col>11</xdr:col>
      <xdr:colOff>440055</xdr:colOff>
      <xdr:row>57</xdr:row>
      <xdr:rowOff>137160</xdr:rowOff>
    </xdr:to>
    <xdr:graphicFrame macro="">
      <xdr:nvGraphicFramePr>
        <xdr:cNvPr id="5" name="Chart 4">
          <a:extLst>
            <a:ext uri="{FF2B5EF4-FFF2-40B4-BE49-F238E27FC236}">
              <a16:creationId xmlns:a16="http://schemas.microsoft.com/office/drawing/2014/main" id="{815FCA91-4478-4078-907F-E87F0E06294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458153</xdr:colOff>
      <xdr:row>45</xdr:row>
      <xdr:rowOff>82868</xdr:rowOff>
    </xdr:from>
    <xdr:to>
      <xdr:col>19</xdr:col>
      <xdr:colOff>16193</xdr:colOff>
      <xdr:row>59</xdr:row>
      <xdr:rowOff>33338</xdr:rowOff>
    </xdr:to>
    <xdr:graphicFrame macro="">
      <xdr:nvGraphicFramePr>
        <xdr:cNvPr id="6" name="Chart 5">
          <a:extLst>
            <a:ext uri="{FF2B5EF4-FFF2-40B4-BE49-F238E27FC236}">
              <a16:creationId xmlns:a16="http://schemas.microsoft.com/office/drawing/2014/main" id="{990B428B-14E6-4838-9411-0C8D5B77FA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16</xdr:col>
      <xdr:colOff>79175</xdr:colOff>
      <xdr:row>60</xdr:row>
      <xdr:rowOff>177085</xdr:rowOff>
    </xdr:from>
    <xdr:to>
      <xdr:col>26</xdr:col>
      <xdr:colOff>96390</xdr:colOff>
      <xdr:row>79</xdr:row>
      <xdr:rowOff>144927</xdr:rowOff>
    </xdr:to>
    <xdr:pic>
      <xdr:nvPicPr>
        <xdr:cNvPr id="7" name="Picture 6">
          <a:extLst>
            <a:ext uri="{FF2B5EF4-FFF2-40B4-BE49-F238E27FC236}">
              <a16:creationId xmlns:a16="http://schemas.microsoft.com/office/drawing/2014/main" id="{72428625-25C1-4D55-A639-94F7DE9D800B}"/>
            </a:ext>
          </a:extLst>
        </xdr:cNvPr>
        <xdr:cNvPicPr>
          <a:picLocks noChangeAspect="1"/>
        </xdr:cNvPicPr>
      </xdr:nvPicPr>
      <xdr:blipFill>
        <a:blip xmlns:r="http://schemas.openxmlformats.org/officeDocument/2006/relationships" r:embed="rId6"/>
        <a:stretch>
          <a:fillRect/>
        </a:stretch>
      </xdr:blipFill>
      <xdr:spPr>
        <a:xfrm>
          <a:off x="11745288" y="11971986"/>
          <a:ext cx="6413429" cy="3738374"/>
        </a:xfrm>
        <a:prstGeom prst="rect">
          <a:avLst/>
        </a:prstGeom>
      </xdr:spPr>
    </xdr:pic>
    <xdr:clientData/>
  </xdr:twoCellAnchor>
  <xdr:twoCellAnchor>
    <xdr:from>
      <xdr:col>5</xdr:col>
      <xdr:colOff>56345</xdr:colOff>
      <xdr:row>78</xdr:row>
      <xdr:rowOff>61174</xdr:rowOff>
    </xdr:from>
    <xdr:to>
      <xdr:col>13</xdr:col>
      <xdr:colOff>134154</xdr:colOff>
      <xdr:row>93</xdr:row>
      <xdr:rowOff>198548</xdr:rowOff>
    </xdr:to>
    <xdr:graphicFrame macro="">
      <xdr:nvGraphicFramePr>
        <xdr:cNvPr id="8" name="Chart 7">
          <a:extLst>
            <a:ext uri="{FF2B5EF4-FFF2-40B4-BE49-F238E27FC236}">
              <a16:creationId xmlns:a16="http://schemas.microsoft.com/office/drawing/2014/main" id="{B289D153-F4B1-4903-9270-7240B40E2EE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511130</xdr:colOff>
      <xdr:row>94</xdr:row>
      <xdr:rowOff>164473</xdr:rowOff>
    </xdr:from>
    <xdr:to>
      <xdr:col>22</xdr:col>
      <xdr:colOff>441369</xdr:colOff>
      <xdr:row>108</xdr:row>
      <xdr:rowOff>90419</xdr:rowOff>
    </xdr:to>
    <xdr:graphicFrame macro="">
      <xdr:nvGraphicFramePr>
        <xdr:cNvPr id="10" name="Chart 9">
          <a:extLst>
            <a:ext uri="{FF2B5EF4-FFF2-40B4-BE49-F238E27FC236}">
              <a16:creationId xmlns:a16="http://schemas.microsoft.com/office/drawing/2014/main" id="{5215E03C-62E2-40DD-9AC6-75374C5356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407831</xdr:colOff>
      <xdr:row>112</xdr:row>
      <xdr:rowOff>84544</xdr:rowOff>
    </xdr:from>
    <xdr:to>
      <xdr:col>14</xdr:col>
      <xdr:colOff>1905</xdr:colOff>
      <xdr:row>126</xdr:row>
      <xdr:rowOff>123181</xdr:rowOff>
    </xdr:to>
    <xdr:graphicFrame macro="">
      <xdr:nvGraphicFramePr>
        <xdr:cNvPr id="11" name="Chart 10">
          <a:extLst>
            <a:ext uri="{FF2B5EF4-FFF2-40B4-BE49-F238E27FC236}">
              <a16:creationId xmlns:a16="http://schemas.microsoft.com/office/drawing/2014/main" id="{15372B8D-E737-4887-975A-684A703BFB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429295</xdr:colOff>
      <xdr:row>127</xdr:row>
      <xdr:rowOff>52347</xdr:rowOff>
    </xdr:from>
    <xdr:to>
      <xdr:col>14</xdr:col>
      <xdr:colOff>25274</xdr:colOff>
      <xdr:row>141</xdr:row>
      <xdr:rowOff>90984</xdr:rowOff>
    </xdr:to>
    <xdr:graphicFrame macro="">
      <xdr:nvGraphicFramePr>
        <xdr:cNvPr id="13" name="Chart 12">
          <a:extLst>
            <a:ext uri="{FF2B5EF4-FFF2-40B4-BE49-F238E27FC236}">
              <a16:creationId xmlns:a16="http://schemas.microsoft.com/office/drawing/2014/main" id="{5F4A3254-1AC6-40AE-80ED-EC8C4262592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21464</xdr:colOff>
      <xdr:row>153</xdr:row>
      <xdr:rowOff>16902</xdr:rowOff>
    </xdr:from>
    <xdr:to>
      <xdr:col>12</xdr:col>
      <xdr:colOff>362218</xdr:colOff>
      <xdr:row>170</xdr:row>
      <xdr:rowOff>53663</xdr:rowOff>
    </xdr:to>
    <xdr:graphicFrame macro="">
      <xdr:nvGraphicFramePr>
        <xdr:cNvPr id="17" name="Chart 16">
          <a:extLst>
            <a:ext uri="{FF2B5EF4-FFF2-40B4-BE49-F238E27FC236}">
              <a16:creationId xmlns:a16="http://schemas.microsoft.com/office/drawing/2014/main" id="{7498C18B-58A6-4CBB-8939-4DB4A30967F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107324</xdr:colOff>
      <xdr:row>204</xdr:row>
      <xdr:rowOff>187816</xdr:rowOff>
    </xdr:from>
    <xdr:to>
      <xdr:col>15</xdr:col>
      <xdr:colOff>1926771</xdr:colOff>
      <xdr:row>220</xdr:row>
      <xdr:rowOff>157498</xdr:rowOff>
    </xdr:to>
    <xdr:graphicFrame macro="">
      <xdr:nvGraphicFramePr>
        <xdr:cNvPr id="18" name="Chart 17">
          <a:extLst>
            <a:ext uri="{FF2B5EF4-FFF2-40B4-BE49-F238E27FC236}">
              <a16:creationId xmlns:a16="http://schemas.microsoft.com/office/drawing/2014/main" id="{94B9CBC5-8DD0-4B60-BD23-DA123B3210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358002</xdr:colOff>
      <xdr:row>204</xdr:row>
      <xdr:rowOff>115103</xdr:rowOff>
    </xdr:from>
    <xdr:to>
      <xdr:col>23</xdr:col>
      <xdr:colOff>136071</xdr:colOff>
      <xdr:row>219</xdr:row>
      <xdr:rowOff>152399</xdr:rowOff>
    </xdr:to>
    <xdr:graphicFrame macro="">
      <xdr:nvGraphicFramePr>
        <xdr:cNvPr id="19" name="Chart 18">
          <a:extLst>
            <a:ext uri="{FF2B5EF4-FFF2-40B4-BE49-F238E27FC236}">
              <a16:creationId xmlns:a16="http://schemas.microsoft.com/office/drawing/2014/main" id="{F355B7B8-5B1B-425A-9BC7-8DF628456C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217330</xdr:colOff>
      <xdr:row>228</xdr:row>
      <xdr:rowOff>2146</xdr:rowOff>
    </xdr:from>
    <xdr:to>
      <xdr:col>15</xdr:col>
      <xdr:colOff>1888901</xdr:colOff>
      <xdr:row>248</xdr:row>
      <xdr:rowOff>5367</xdr:rowOff>
    </xdr:to>
    <xdr:graphicFrame macro="">
      <xdr:nvGraphicFramePr>
        <xdr:cNvPr id="9" name="Chart 8">
          <a:extLst>
            <a:ext uri="{FF2B5EF4-FFF2-40B4-BE49-F238E27FC236}">
              <a16:creationId xmlns:a16="http://schemas.microsoft.com/office/drawing/2014/main" id="{E4AC07CF-A08E-4A74-B431-D134F0B3E1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72443</xdr:colOff>
      <xdr:row>251</xdr:row>
      <xdr:rowOff>77273</xdr:rowOff>
    </xdr:from>
    <xdr:to>
      <xdr:col>16</xdr:col>
      <xdr:colOff>112690</xdr:colOff>
      <xdr:row>266</xdr:row>
      <xdr:rowOff>48296</xdr:rowOff>
    </xdr:to>
    <xdr:graphicFrame macro="">
      <xdr:nvGraphicFramePr>
        <xdr:cNvPr id="12" name="Chart 11">
          <a:extLst>
            <a:ext uri="{FF2B5EF4-FFF2-40B4-BE49-F238E27FC236}">
              <a16:creationId xmlns:a16="http://schemas.microsoft.com/office/drawing/2014/main" id="{15A35151-3C24-4246-824E-526C791288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0</xdr:colOff>
      <xdr:row>273</xdr:row>
      <xdr:rowOff>128788</xdr:rowOff>
    </xdr:from>
    <xdr:to>
      <xdr:col>16</xdr:col>
      <xdr:colOff>40247</xdr:colOff>
      <xdr:row>286</xdr:row>
      <xdr:rowOff>169572</xdr:rowOff>
    </xdr:to>
    <xdr:graphicFrame macro="">
      <xdr:nvGraphicFramePr>
        <xdr:cNvPr id="20" name="Chart 19">
          <a:extLst>
            <a:ext uri="{FF2B5EF4-FFF2-40B4-BE49-F238E27FC236}">
              <a16:creationId xmlns:a16="http://schemas.microsoft.com/office/drawing/2014/main" id="{A5843242-5175-4D08-A53B-B0774F8D0E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2081230</xdr:colOff>
      <xdr:row>300</xdr:row>
      <xdr:rowOff>66939</xdr:rowOff>
    </xdr:from>
    <xdr:to>
      <xdr:col>7</xdr:col>
      <xdr:colOff>299357</xdr:colOff>
      <xdr:row>316</xdr:row>
      <xdr:rowOff>137237</xdr:rowOff>
    </xdr:to>
    <xdr:graphicFrame macro="">
      <xdr:nvGraphicFramePr>
        <xdr:cNvPr id="14" name="Chart 13">
          <a:extLst>
            <a:ext uri="{FF2B5EF4-FFF2-40B4-BE49-F238E27FC236}">
              <a16:creationId xmlns:a16="http://schemas.microsoft.com/office/drawing/2014/main" id="{178F534E-7A45-42A7-B038-9526F9F2D2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443593</xdr:colOff>
      <xdr:row>317</xdr:row>
      <xdr:rowOff>100692</xdr:rowOff>
    </xdr:from>
    <xdr:to>
      <xdr:col>15</xdr:col>
      <xdr:colOff>108857</xdr:colOff>
      <xdr:row>334</xdr:row>
      <xdr:rowOff>125185</xdr:rowOff>
    </xdr:to>
    <xdr:graphicFrame macro="">
      <xdr:nvGraphicFramePr>
        <xdr:cNvPr id="15" name="Chart 14">
          <a:extLst>
            <a:ext uri="{FF2B5EF4-FFF2-40B4-BE49-F238E27FC236}">
              <a16:creationId xmlns:a16="http://schemas.microsoft.com/office/drawing/2014/main" id="{E93AF6AD-6277-4C6A-8D14-8AF9753090D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xdr:col>
      <xdr:colOff>160565</xdr:colOff>
      <xdr:row>180</xdr:row>
      <xdr:rowOff>119743</xdr:rowOff>
    </xdr:from>
    <xdr:to>
      <xdr:col>12</xdr:col>
      <xdr:colOff>0</xdr:colOff>
      <xdr:row>196</xdr:row>
      <xdr:rowOff>59871</xdr:rowOff>
    </xdr:to>
    <xdr:graphicFrame macro="">
      <xdr:nvGraphicFramePr>
        <xdr:cNvPr id="16" name="Chart 15">
          <a:extLst>
            <a:ext uri="{FF2B5EF4-FFF2-40B4-BE49-F238E27FC236}">
              <a16:creationId xmlns:a16="http://schemas.microsoft.com/office/drawing/2014/main" id="{2D9CD1FA-A8F0-4B14-9A48-70DD5535A9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57149</xdr:colOff>
      <xdr:row>486</xdr:row>
      <xdr:rowOff>32656</xdr:rowOff>
    </xdr:from>
    <xdr:to>
      <xdr:col>15</xdr:col>
      <xdr:colOff>495300</xdr:colOff>
      <xdr:row>503</xdr:row>
      <xdr:rowOff>87085</xdr:rowOff>
    </xdr:to>
    <xdr:graphicFrame macro="">
      <xdr:nvGraphicFramePr>
        <xdr:cNvPr id="21" name="Chart 20">
          <a:extLst>
            <a:ext uri="{FF2B5EF4-FFF2-40B4-BE49-F238E27FC236}">
              <a16:creationId xmlns:a16="http://schemas.microsoft.com/office/drawing/2014/main" id="{CB1C53F0-70F6-4CE0-9ECD-64477904C9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8</xdr:col>
      <xdr:colOff>500062</xdr:colOff>
      <xdr:row>725</xdr:row>
      <xdr:rowOff>63103</xdr:rowOff>
    </xdr:from>
    <xdr:to>
      <xdr:col>17</xdr:col>
      <xdr:colOff>500062</xdr:colOff>
      <xdr:row>738</xdr:row>
      <xdr:rowOff>175022</xdr:rowOff>
    </xdr:to>
    <xdr:graphicFrame macro="">
      <xdr:nvGraphicFramePr>
        <xdr:cNvPr id="22" name="Chart 21">
          <a:extLst>
            <a:ext uri="{FF2B5EF4-FFF2-40B4-BE49-F238E27FC236}">
              <a16:creationId xmlns:a16="http://schemas.microsoft.com/office/drawing/2014/main" id="{4CD1612B-4988-3B43-4DCC-D61787E2D4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166689</xdr:colOff>
      <xdr:row>740</xdr:row>
      <xdr:rowOff>122633</xdr:rowOff>
    </xdr:from>
    <xdr:to>
      <xdr:col>20</xdr:col>
      <xdr:colOff>619126</xdr:colOff>
      <xdr:row>763</xdr:row>
      <xdr:rowOff>95249</xdr:rowOff>
    </xdr:to>
    <xdr:graphicFrame macro="">
      <xdr:nvGraphicFramePr>
        <xdr:cNvPr id="23" name="Chart 22">
          <a:extLst>
            <a:ext uri="{FF2B5EF4-FFF2-40B4-BE49-F238E27FC236}">
              <a16:creationId xmlns:a16="http://schemas.microsoft.com/office/drawing/2014/main" id="{06DACB04-F10E-A3E2-6E57-E906E863BF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0</xdr:colOff>
      <xdr:row>765</xdr:row>
      <xdr:rowOff>0</xdr:rowOff>
    </xdr:from>
    <xdr:to>
      <xdr:col>20</xdr:col>
      <xdr:colOff>452437</xdr:colOff>
      <xdr:row>782</xdr:row>
      <xdr:rowOff>175023</xdr:rowOff>
    </xdr:to>
    <xdr:graphicFrame macro="">
      <xdr:nvGraphicFramePr>
        <xdr:cNvPr id="24" name="Chart 23">
          <a:extLst>
            <a:ext uri="{FF2B5EF4-FFF2-40B4-BE49-F238E27FC236}">
              <a16:creationId xmlns:a16="http://schemas.microsoft.com/office/drawing/2014/main" id="{0AF239C2-3421-4737-A6C5-3D5DF364A2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8</xdr:col>
      <xdr:colOff>502443</xdr:colOff>
      <xdr:row>783</xdr:row>
      <xdr:rowOff>173832</xdr:rowOff>
    </xdr:from>
    <xdr:to>
      <xdr:col>18</xdr:col>
      <xdr:colOff>419099</xdr:colOff>
      <xdr:row>797</xdr:row>
      <xdr:rowOff>183357</xdr:rowOff>
    </xdr:to>
    <xdr:graphicFrame macro="">
      <xdr:nvGraphicFramePr>
        <xdr:cNvPr id="25" name="Chart 24">
          <a:extLst>
            <a:ext uri="{FF2B5EF4-FFF2-40B4-BE49-F238E27FC236}">
              <a16:creationId xmlns:a16="http://schemas.microsoft.com/office/drawing/2014/main" id="{1E2C7748-B8B3-5E30-AA34-0D9C9063B9E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xdr:col>
      <xdr:colOff>0</xdr:colOff>
      <xdr:row>810</xdr:row>
      <xdr:rowOff>52387</xdr:rowOff>
    </xdr:from>
    <xdr:to>
      <xdr:col>18</xdr:col>
      <xdr:colOff>593271</xdr:colOff>
      <xdr:row>825</xdr:row>
      <xdr:rowOff>166686</xdr:rowOff>
    </xdr:to>
    <xdr:graphicFrame macro="">
      <xdr:nvGraphicFramePr>
        <xdr:cNvPr id="30" name="Chart 29">
          <a:extLst>
            <a:ext uri="{FF2B5EF4-FFF2-40B4-BE49-F238E27FC236}">
              <a16:creationId xmlns:a16="http://schemas.microsoft.com/office/drawing/2014/main" id="{90E31D7E-F600-A551-0D3E-4BE1724518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xdr:col>
      <xdr:colOff>585106</xdr:colOff>
      <xdr:row>843</xdr:row>
      <xdr:rowOff>163284</xdr:rowOff>
    </xdr:from>
    <xdr:to>
      <xdr:col>10</xdr:col>
      <xdr:colOff>555171</xdr:colOff>
      <xdr:row>859</xdr:row>
      <xdr:rowOff>168729</xdr:rowOff>
    </xdr:to>
    <xdr:graphicFrame macro="">
      <xdr:nvGraphicFramePr>
        <xdr:cNvPr id="27" name="Chart 26">
          <a:extLst>
            <a:ext uri="{FF2B5EF4-FFF2-40B4-BE49-F238E27FC236}">
              <a16:creationId xmlns:a16="http://schemas.microsoft.com/office/drawing/2014/main" id="{8D2C144F-306E-DE9B-8FA8-1097EE571A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xdr:col>
      <xdr:colOff>0</xdr:colOff>
      <xdr:row>869</xdr:row>
      <xdr:rowOff>0</xdr:rowOff>
    </xdr:from>
    <xdr:to>
      <xdr:col>10</xdr:col>
      <xdr:colOff>601437</xdr:colOff>
      <xdr:row>885</xdr:row>
      <xdr:rowOff>5446</xdr:rowOff>
    </xdr:to>
    <xdr:graphicFrame macro="">
      <xdr:nvGraphicFramePr>
        <xdr:cNvPr id="28" name="Chart 27">
          <a:extLst>
            <a:ext uri="{FF2B5EF4-FFF2-40B4-BE49-F238E27FC236}">
              <a16:creationId xmlns:a16="http://schemas.microsoft.com/office/drawing/2014/main" id="{8837D296-B028-453E-9604-B250E922C0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7</xdr:col>
      <xdr:colOff>231321</xdr:colOff>
      <xdr:row>928</xdr:row>
      <xdr:rowOff>146957</xdr:rowOff>
    </xdr:from>
    <xdr:to>
      <xdr:col>13</xdr:col>
      <xdr:colOff>631371</xdr:colOff>
      <xdr:row>945</xdr:row>
      <xdr:rowOff>81643</xdr:rowOff>
    </xdr:to>
    <xdr:graphicFrame macro="">
      <xdr:nvGraphicFramePr>
        <xdr:cNvPr id="26" name="Chart 25">
          <a:extLst>
            <a:ext uri="{FF2B5EF4-FFF2-40B4-BE49-F238E27FC236}">
              <a16:creationId xmlns:a16="http://schemas.microsoft.com/office/drawing/2014/main" id="{981DF469-3F37-FE00-D69A-25158998B4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xdr:col>
      <xdr:colOff>258537</xdr:colOff>
      <xdr:row>963</xdr:row>
      <xdr:rowOff>168729</xdr:rowOff>
    </xdr:from>
    <xdr:to>
      <xdr:col>9</xdr:col>
      <xdr:colOff>220437</xdr:colOff>
      <xdr:row>977</xdr:row>
      <xdr:rowOff>168729</xdr:rowOff>
    </xdr:to>
    <xdr:graphicFrame macro="">
      <xdr:nvGraphicFramePr>
        <xdr:cNvPr id="29" name="Chart 28">
          <a:extLst>
            <a:ext uri="{FF2B5EF4-FFF2-40B4-BE49-F238E27FC236}">
              <a16:creationId xmlns:a16="http://schemas.microsoft.com/office/drawing/2014/main" id="{F7AB6E42-7D2D-6C34-9829-BA62AF079C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11</xdr:col>
      <xdr:colOff>0</xdr:colOff>
      <xdr:row>964</xdr:row>
      <xdr:rowOff>0</xdr:rowOff>
    </xdr:from>
    <xdr:to>
      <xdr:col>17</xdr:col>
      <xdr:colOff>261258</xdr:colOff>
      <xdr:row>978</xdr:row>
      <xdr:rowOff>0</xdr:rowOff>
    </xdr:to>
    <xdr:graphicFrame macro="">
      <xdr:nvGraphicFramePr>
        <xdr:cNvPr id="31" name="Chart 30">
          <a:extLst>
            <a:ext uri="{FF2B5EF4-FFF2-40B4-BE49-F238E27FC236}">
              <a16:creationId xmlns:a16="http://schemas.microsoft.com/office/drawing/2014/main" id="{C9FD011A-F163-4188-A600-74D34DC810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100693</xdr:colOff>
      <xdr:row>981</xdr:row>
      <xdr:rowOff>76199</xdr:rowOff>
    </xdr:from>
    <xdr:to>
      <xdr:col>12</xdr:col>
      <xdr:colOff>163285</xdr:colOff>
      <xdr:row>997</xdr:row>
      <xdr:rowOff>136070</xdr:rowOff>
    </xdr:to>
    <xdr:graphicFrame macro="">
      <xdr:nvGraphicFramePr>
        <xdr:cNvPr id="32" name="Chart 31">
          <a:extLst>
            <a:ext uri="{FF2B5EF4-FFF2-40B4-BE49-F238E27FC236}">
              <a16:creationId xmlns:a16="http://schemas.microsoft.com/office/drawing/2014/main" id="{55AAA350-7550-708A-697A-374B1B2C27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130628</xdr:colOff>
      <xdr:row>999</xdr:row>
      <xdr:rowOff>108857</xdr:rowOff>
    </xdr:from>
    <xdr:to>
      <xdr:col>11</xdr:col>
      <xdr:colOff>957942</xdr:colOff>
      <xdr:row>1015</xdr:row>
      <xdr:rowOff>87086</xdr:rowOff>
    </xdr:to>
    <xdr:graphicFrame macro="">
      <xdr:nvGraphicFramePr>
        <xdr:cNvPr id="33" name="Chart 32">
          <a:extLst>
            <a:ext uri="{FF2B5EF4-FFF2-40B4-BE49-F238E27FC236}">
              <a16:creationId xmlns:a16="http://schemas.microsoft.com/office/drawing/2014/main" id="{65EFBA3A-DA7F-0729-38CF-3279F93F45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xdr:col>
      <xdr:colOff>130628</xdr:colOff>
      <xdr:row>1018</xdr:row>
      <xdr:rowOff>5443</xdr:rowOff>
    </xdr:from>
    <xdr:to>
      <xdr:col>11</xdr:col>
      <xdr:colOff>957942</xdr:colOff>
      <xdr:row>1033</xdr:row>
      <xdr:rowOff>179614</xdr:rowOff>
    </xdr:to>
    <xdr:graphicFrame macro="">
      <xdr:nvGraphicFramePr>
        <xdr:cNvPr id="34" name="Chart 33">
          <a:extLst>
            <a:ext uri="{FF2B5EF4-FFF2-40B4-BE49-F238E27FC236}">
              <a16:creationId xmlns:a16="http://schemas.microsoft.com/office/drawing/2014/main" id="{1D1E3D42-72B8-4A83-8316-478D8DC84B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12</xdr:col>
      <xdr:colOff>574221</xdr:colOff>
      <xdr:row>1032</xdr:row>
      <xdr:rowOff>21771</xdr:rowOff>
    </xdr:from>
    <xdr:to>
      <xdr:col>21</xdr:col>
      <xdr:colOff>141515</xdr:colOff>
      <xdr:row>1053</xdr:row>
      <xdr:rowOff>21772</xdr:rowOff>
    </xdr:to>
    <xdr:graphicFrame macro="">
      <xdr:nvGraphicFramePr>
        <xdr:cNvPr id="35" name="Chart 34">
          <a:extLst>
            <a:ext uri="{FF2B5EF4-FFF2-40B4-BE49-F238E27FC236}">
              <a16:creationId xmlns:a16="http://schemas.microsoft.com/office/drawing/2014/main" id="{D9809F0F-8505-E23D-A5F6-CE20D6E97F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8</xdr:col>
      <xdr:colOff>570864</xdr:colOff>
      <xdr:row>1089</xdr:row>
      <xdr:rowOff>189048</xdr:rowOff>
    </xdr:from>
    <xdr:to>
      <xdr:col>15</xdr:col>
      <xdr:colOff>598713</xdr:colOff>
      <xdr:row>1106</xdr:row>
      <xdr:rowOff>163284</xdr:rowOff>
    </xdr:to>
    <xdr:graphicFrame macro="">
      <xdr:nvGraphicFramePr>
        <xdr:cNvPr id="37" name="Chart 36">
          <a:extLst>
            <a:ext uri="{FF2B5EF4-FFF2-40B4-BE49-F238E27FC236}">
              <a16:creationId xmlns:a16="http://schemas.microsoft.com/office/drawing/2014/main" id="{8FD43EDA-EF8D-A957-A2E6-09D41EBABA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2301059</xdr:colOff>
      <xdr:row>1109</xdr:row>
      <xdr:rowOff>49439</xdr:rowOff>
    </xdr:from>
    <xdr:to>
      <xdr:col>6</xdr:col>
      <xdr:colOff>527958</xdr:colOff>
      <xdr:row>1123</xdr:row>
      <xdr:rowOff>157842</xdr:rowOff>
    </xdr:to>
    <xdr:graphicFrame macro="">
      <xdr:nvGraphicFramePr>
        <xdr:cNvPr id="38" name="Chart 37">
          <a:extLst>
            <a:ext uri="{FF2B5EF4-FFF2-40B4-BE49-F238E27FC236}">
              <a16:creationId xmlns:a16="http://schemas.microsoft.com/office/drawing/2014/main" id="{7B83BDC4-E6A0-F73F-D20E-F91B2C958D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6</xdr:col>
      <xdr:colOff>585742</xdr:colOff>
      <xdr:row>1135</xdr:row>
      <xdr:rowOff>69488</xdr:rowOff>
    </xdr:from>
    <xdr:to>
      <xdr:col>12</xdr:col>
      <xdr:colOff>386443</xdr:colOff>
      <xdr:row>1150</xdr:row>
      <xdr:rowOff>124370</xdr:rowOff>
    </xdr:to>
    <xdr:graphicFrame macro="">
      <xdr:nvGraphicFramePr>
        <xdr:cNvPr id="39" name="Chart 38">
          <a:extLst>
            <a:ext uri="{FF2B5EF4-FFF2-40B4-BE49-F238E27FC236}">
              <a16:creationId xmlns:a16="http://schemas.microsoft.com/office/drawing/2014/main" id="{769FBAFC-BC89-A7D4-CD41-E28A936099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0</xdr:colOff>
      <xdr:row>1153</xdr:row>
      <xdr:rowOff>0</xdr:rowOff>
    </xdr:from>
    <xdr:to>
      <xdr:col>12</xdr:col>
      <xdr:colOff>429170</xdr:colOff>
      <xdr:row>1168</xdr:row>
      <xdr:rowOff>47170</xdr:rowOff>
    </xdr:to>
    <xdr:graphicFrame macro="">
      <xdr:nvGraphicFramePr>
        <xdr:cNvPr id="40" name="Chart 39">
          <a:extLst>
            <a:ext uri="{FF2B5EF4-FFF2-40B4-BE49-F238E27FC236}">
              <a16:creationId xmlns:a16="http://schemas.microsoft.com/office/drawing/2014/main" id="{6B421961-93AC-4706-A862-517159709D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8</xdr:col>
      <xdr:colOff>507456</xdr:colOff>
      <xdr:row>1109</xdr:row>
      <xdr:rowOff>41457</xdr:rowOff>
    </xdr:from>
    <xdr:to>
      <xdr:col>15</xdr:col>
      <xdr:colOff>446314</xdr:colOff>
      <xdr:row>1125</xdr:row>
      <xdr:rowOff>59871</xdr:rowOff>
    </xdr:to>
    <xdr:graphicFrame macro="">
      <xdr:nvGraphicFramePr>
        <xdr:cNvPr id="41" name="Chart 40">
          <a:extLst>
            <a:ext uri="{FF2B5EF4-FFF2-40B4-BE49-F238E27FC236}">
              <a16:creationId xmlns:a16="http://schemas.microsoft.com/office/drawing/2014/main" id="{DEB2F27E-8F52-A49E-AB5F-94EDB8E1B78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15</xdr:col>
      <xdr:colOff>470172</xdr:colOff>
      <xdr:row>945</xdr:row>
      <xdr:rowOff>152218</xdr:rowOff>
    </xdr:from>
    <xdr:to>
      <xdr:col>22</xdr:col>
      <xdr:colOff>620667</xdr:colOff>
      <xdr:row>961</xdr:row>
      <xdr:rowOff>152218</xdr:rowOff>
    </xdr:to>
    <xdr:graphicFrame macro="">
      <xdr:nvGraphicFramePr>
        <xdr:cNvPr id="42" name="Chart 41">
          <a:extLst>
            <a:ext uri="{FF2B5EF4-FFF2-40B4-BE49-F238E27FC236}">
              <a16:creationId xmlns:a16="http://schemas.microsoft.com/office/drawing/2014/main" id="{70B9DEC3-4A5E-9571-808C-007EAA5FE7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6</xdr:col>
      <xdr:colOff>471442</xdr:colOff>
      <xdr:row>1170</xdr:row>
      <xdr:rowOff>58421</xdr:rowOff>
    </xdr:from>
    <xdr:to>
      <xdr:col>13</xdr:col>
      <xdr:colOff>440055</xdr:colOff>
      <xdr:row>1184</xdr:row>
      <xdr:rowOff>55881</xdr:rowOff>
    </xdr:to>
    <xdr:graphicFrame macro="">
      <xdr:nvGraphicFramePr>
        <xdr:cNvPr id="44" name="Chart 43">
          <a:extLst>
            <a:ext uri="{FF2B5EF4-FFF2-40B4-BE49-F238E27FC236}">
              <a16:creationId xmlns:a16="http://schemas.microsoft.com/office/drawing/2014/main" id="{6D873AE2-C9B4-4322-B0C4-1E1BBBFDB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5</xdr:col>
      <xdr:colOff>545102</xdr:colOff>
      <xdr:row>1188</xdr:row>
      <xdr:rowOff>190500</xdr:rowOff>
    </xdr:from>
    <xdr:to>
      <xdr:col>13</xdr:col>
      <xdr:colOff>165191</xdr:colOff>
      <xdr:row>1206</xdr:row>
      <xdr:rowOff>38099</xdr:rowOff>
    </xdr:to>
    <xdr:graphicFrame macro="">
      <xdr:nvGraphicFramePr>
        <xdr:cNvPr id="45" name="Chart 44">
          <a:extLst>
            <a:ext uri="{FF2B5EF4-FFF2-40B4-BE49-F238E27FC236}">
              <a16:creationId xmlns:a16="http://schemas.microsoft.com/office/drawing/2014/main" id="{9ADAAB4A-1B81-6E1E-BA37-F26C9D7ABF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7</xdr:col>
      <xdr:colOff>102779</xdr:colOff>
      <xdr:row>1214</xdr:row>
      <xdr:rowOff>8800</xdr:rowOff>
    </xdr:from>
    <xdr:to>
      <xdr:col>14</xdr:col>
      <xdr:colOff>32022</xdr:colOff>
      <xdr:row>1228</xdr:row>
      <xdr:rowOff>8800</xdr:rowOff>
    </xdr:to>
    <xdr:graphicFrame macro="">
      <xdr:nvGraphicFramePr>
        <xdr:cNvPr id="46" name="Chart 45">
          <a:extLst>
            <a:ext uri="{FF2B5EF4-FFF2-40B4-BE49-F238E27FC236}">
              <a16:creationId xmlns:a16="http://schemas.microsoft.com/office/drawing/2014/main" id="{74FBA80A-580E-D66C-1D52-DB528C0CCB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12</xdr:col>
      <xdr:colOff>582020</xdr:colOff>
      <xdr:row>1128</xdr:row>
      <xdr:rowOff>144235</xdr:rowOff>
    </xdr:from>
    <xdr:to>
      <xdr:col>20</xdr:col>
      <xdr:colOff>451757</xdr:colOff>
      <xdr:row>1142</xdr:row>
      <xdr:rowOff>144235</xdr:rowOff>
    </xdr:to>
    <xdr:graphicFrame macro="">
      <xdr:nvGraphicFramePr>
        <xdr:cNvPr id="47" name="Chart 46">
          <a:extLst>
            <a:ext uri="{FF2B5EF4-FFF2-40B4-BE49-F238E27FC236}">
              <a16:creationId xmlns:a16="http://schemas.microsoft.com/office/drawing/2014/main" id="{5EE44938-1FFD-19FA-7953-60128CE1EA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118110</xdr:colOff>
      <xdr:row>29</xdr:row>
      <xdr:rowOff>0</xdr:rowOff>
    </xdr:from>
    <xdr:to>
      <xdr:col>18</xdr:col>
      <xdr:colOff>443630</xdr:colOff>
      <xdr:row>42</xdr:row>
      <xdr:rowOff>2383</xdr:rowOff>
    </xdr:to>
    <xdr:graphicFrame macro="">
      <xdr:nvGraphicFramePr>
        <xdr:cNvPr id="4" name="Chart 3">
          <a:extLst>
            <a:ext uri="{FF2B5EF4-FFF2-40B4-BE49-F238E27FC236}">
              <a16:creationId xmlns:a16="http://schemas.microsoft.com/office/drawing/2014/main" id="{409F2DF2-D488-92B3-FFE9-71EFDBCCE5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4763</xdr:colOff>
      <xdr:row>201</xdr:row>
      <xdr:rowOff>41910</xdr:rowOff>
    </xdr:from>
    <xdr:to>
      <xdr:col>24</xdr:col>
      <xdr:colOff>1004888</xdr:colOff>
      <xdr:row>215</xdr:row>
      <xdr:rowOff>59055</xdr:rowOff>
    </xdr:to>
    <xdr:graphicFrame macro="">
      <xdr:nvGraphicFramePr>
        <xdr:cNvPr id="5" name="Chart 4">
          <a:extLst>
            <a:ext uri="{FF2B5EF4-FFF2-40B4-BE49-F238E27FC236}">
              <a16:creationId xmlns:a16="http://schemas.microsoft.com/office/drawing/2014/main" id="{72D08FE3-7CAF-029C-AD8A-3A77CA8739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240983</xdr:colOff>
      <xdr:row>215</xdr:row>
      <xdr:rowOff>144780</xdr:rowOff>
    </xdr:from>
    <xdr:to>
      <xdr:col>24</xdr:col>
      <xdr:colOff>797243</xdr:colOff>
      <xdr:row>230</xdr:row>
      <xdr:rowOff>13335</xdr:rowOff>
    </xdr:to>
    <xdr:graphicFrame macro="">
      <xdr:nvGraphicFramePr>
        <xdr:cNvPr id="6" name="Chart 5">
          <a:extLst>
            <a:ext uri="{FF2B5EF4-FFF2-40B4-BE49-F238E27FC236}">
              <a16:creationId xmlns:a16="http://schemas.microsoft.com/office/drawing/2014/main" id="{4B7ED368-18D3-05E0-CC0F-C29242A804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87550</xdr:colOff>
      <xdr:row>73</xdr:row>
      <xdr:rowOff>176930</xdr:rowOff>
    </xdr:from>
    <xdr:to>
      <xdr:col>33</xdr:col>
      <xdr:colOff>381000</xdr:colOff>
      <xdr:row>88</xdr:row>
      <xdr:rowOff>59891</xdr:rowOff>
    </xdr:to>
    <xdr:graphicFrame macro="">
      <xdr:nvGraphicFramePr>
        <xdr:cNvPr id="2" name="Chart 1">
          <a:extLst>
            <a:ext uri="{FF2B5EF4-FFF2-40B4-BE49-F238E27FC236}">
              <a16:creationId xmlns:a16="http://schemas.microsoft.com/office/drawing/2014/main" id="{7B985A4D-C72E-400D-9044-EB0EE2CD9A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41586</xdr:colOff>
      <xdr:row>111</xdr:row>
      <xdr:rowOff>136273</xdr:rowOff>
    </xdr:from>
    <xdr:to>
      <xdr:col>19</xdr:col>
      <xdr:colOff>1273480</xdr:colOff>
      <xdr:row>134</xdr:row>
      <xdr:rowOff>73068</xdr:rowOff>
    </xdr:to>
    <xdr:graphicFrame macro="">
      <xdr:nvGraphicFramePr>
        <xdr:cNvPr id="3" name="Chart 2">
          <a:extLst>
            <a:ext uri="{FF2B5EF4-FFF2-40B4-BE49-F238E27FC236}">
              <a16:creationId xmlns:a16="http://schemas.microsoft.com/office/drawing/2014/main" id="{2F164C67-3087-CD05-5480-9545F8DF5FC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417273</xdr:colOff>
      <xdr:row>33</xdr:row>
      <xdr:rowOff>31315</xdr:rowOff>
    </xdr:from>
    <xdr:to>
      <xdr:col>34</xdr:col>
      <xdr:colOff>175816</xdr:colOff>
      <xdr:row>46</xdr:row>
      <xdr:rowOff>93784</xdr:rowOff>
    </xdr:to>
    <xdr:graphicFrame macro="">
      <xdr:nvGraphicFramePr>
        <xdr:cNvPr id="7" name="Chart 6">
          <a:extLst>
            <a:ext uri="{FF2B5EF4-FFF2-40B4-BE49-F238E27FC236}">
              <a16:creationId xmlns:a16="http://schemas.microsoft.com/office/drawing/2014/main" id="{C841FA4E-D1C8-4AC7-9C89-0913E8864E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167640</xdr:colOff>
      <xdr:row>286</xdr:row>
      <xdr:rowOff>63103</xdr:rowOff>
    </xdr:from>
    <xdr:to>
      <xdr:col>19</xdr:col>
      <xdr:colOff>1209676</xdr:colOff>
      <xdr:row>305</xdr:row>
      <xdr:rowOff>100012</xdr:rowOff>
    </xdr:to>
    <xdr:graphicFrame macro="">
      <xdr:nvGraphicFramePr>
        <xdr:cNvPr id="11" name="Chart 10">
          <a:extLst>
            <a:ext uri="{FF2B5EF4-FFF2-40B4-BE49-F238E27FC236}">
              <a16:creationId xmlns:a16="http://schemas.microsoft.com/office/drawing/2014/main" id="{D70F5BA0-2673-6D13-33BA-7F6B7AF76B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2178844</xdr:colOff>
      <xdr:row>286</xdr:row>
      <xdr:rowOff>30955</xdr:rowOff>
    </xdr:from>
    <xdr:to>
      <xdr:col>11</xdr:col>
      <xdr:colOff>157162</xdr:colOff>
      <xdr:row>303</xdr:row>
      <xdr:rowOff>157161</xdr:rowOff>
    </xdr:to>
    <xdr:graphicFrame macro="">
      <xdr:nvGraphicFramePr>
        <xdr:cNvPr id="9" name="Chart 8">
          <a:extLst>
            <a:ext uri="{FF2B5EF4-FFF2-40B4-BE49-F238E27FC236}">
              <a16:creationId xmlns:a16="http://schemas.microsoft.com/office/drawing/2014/main" id="{22BA6919-50C6-BC50-F80E-247A5B825E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16051</xdr:colOff>
      <xdr:row>74</xdr:row>
      <xdr:rowOff>36665</xdr:rowOff>
    </xdr:from>
    <xdr:to>
      <xdr:col>25</xdr:col>
      <xdr:colOff>140918</xdr:colOff>
      <xdr:row>90</xdr:row>
      <xdr:rowOff>83507</xdr:rowOff>
    </xdr:to>
    <xdr:graphicFrame macro="">
      <xdr:nvGraphicFramePr>
        <xdr:cNvPr id="12" name="Chart 11">
          <a:extLst>
            <a:ext uri="{FF2B5EF4-FFF2-40B4-BE49-F238E27FC236}">
              <a16:creationId xmlns:a16="http://schemas.microsoft.com/office/drawing/2014/main" id="{8F7D9CDF-2DE1-40A8-A566-40DF618576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93</xdr:row>
      <xdr:rowOff>0</xdr:rowOff>
    </xdr:from>
    <xdr:to>
      <xdr:col>24</xdr:col>
      <xdr:colOff>204788</xdr:colOff>
      <xdr:row>109</xdr:row>
      <xdr:rowOff>142875</xdr:rowOff>
    </xdr:to>
    <xdr:graphicFrame macro="">
      <xdr:nvGraphicFramePr>
        <xdr:cNvPr id="13" name="Chart 12">
          <a:extLst>
            <a:ext uri="{FF2B5EF4-FFF2-40B4-BE49-F238E27FC236}">
              <a16:creationId xmlns:a16="http://schemas.microsoft.com/office/drawing/2014/main" id="{2E1A5566-F9C8-46B0-8E54-77CB92119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88008</xdr:colOff>
      <xdr:row>42</xdr:row>
      <xdr:rowOff>140918</xdr:rowOff>
    </xdr:from>
    <xdr:to>
      <xdr:col>25</xdr:col>
      <xdr:colOff>441608</xdr:colOff>
      <xdr:row>58</xdr:row>
      <xdr:rowOff>104383</xdr:rowOff>
    </xdr:to>
    <xdr:graphicFrame macro="">
      <xdr:nvGraphicFramePr>
        <xdr:cNvPr id="14" name="Chart 13">
          <a:extLst>
            <a:ext uri="{FF2B5EF4-FFF2-40B4-BE49-F238E27FC236}">
              <a16:creationId xmlns:a16="http://schemas.microsoft.com/office/drawing/2014/main" id="{2E1FAE4E-4178-DC01-DD93-EEC71321430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131132</xdr:colOff>
      <xdr:row>58</xdr:row>
      <xdr:rowOff>51931</xdr:rowOff>
    </xdr:from>
    <xdr:to>
      <xdr:col>25</xdr:col>
      <xdr:colOff>235907</xdr:colOff>
      <xdr:row>73</xdr:row>
      <xdr:rowOff>13831</xdr:rowOff>
    </xdr:to>
    <xdr:graphicFrame macro="">
      <xdr:nvGraphicFramePr>
        <xdr:cNvPr id="15" name="Chart 14">
          <a:extLst>
            <a:ext uri="{FF2B5EF4-FFF2-40B4-BE49-F238E27FC236}">
              <a16:creationId xmlns:a16="http://schemas.microsoft.com/office/drawing/2014/main" id="{46A9BB8E-CF3E-4577-8A08-391C97F09C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17</xdr:col>
      <xdr:colOff>193110</xdr:colOff>
      <xdr:row>135</xdr:row>
      <xdr:rowOff>87160</xdr:rowOff>
    </xdr:from>
    <xdr:to>
      <xdr:col>24</xdr:col>
      <xdr:colOff>365341</xdr:colOff>
      <xdr:row>156</xdr:row>
      <xdr:rowOff>120040</xdr:rowOff>
    </xdr:to>
    <xdr:graphicFrame macro="">
      <xdr:nvGraphicFramePr>
        <xdr:cNvPr id="8" name="Chart 7">
          <a:extLst>
            <a:ext uri="{FF2B5EF4-FFF2-40B4-BE49-F238E27FC236}">
              <a16:creationId xmlns:a16="http://schemas.microsoft.com/office/drawing/2014/main" id="{711F63AD-2FD5-08A6-67CB-6CF84EB6B4B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26</xdr:col>
      <xdr:colOff>125261</xdr:colOff>
      <xdr:row>56</xdr:row>
      <xdr:rowOff>125260</xdr:rowOff>
    </xdr:from>
    <xdr:to>
      <xdr:col>34</xdr:col>
      <xdr:colOff>20878</xdr:colOff>
      <xdr:row>72</xdr:row>
      <xdr:rowOff>137655</xdr:rowOff>
    </xdr:to>
    <xdr:graphicFrame macro="">
      <xdr:nvGraphicFramePr>
        <xdr:cNvPr id="10" name="Chart 9">
          <a:extLst>
            <a:ext uri="{FF2B5EF4-FFF2-40B4-BE49-F238E27FC236}">
              <a16:creationId xmlns:a16="http://schemas.microsoft.com/office/drawing/2014/main" id="{B6801848-0F59-4DAB-837A-CD689E2304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574108</xdr:colOff>
      <xdr:row>14</xdr:row>
      <xdr:rowOff>128914</xdr:rowOff>
    </xdr:from>
    <xdr:to>
      <xdr:col>29</xdr:col>
      <xdr:colOff>161793</xdr:colOff>
      <xdr:row>30</xdr:row>
      <xdr:rowOff>90292</xdr:rowOff>
    </xdr:to>
    <xdr:graphicFrame macro="">
      <xdr:nvGraphicFramePr>
        <xdr:cNvPr id="17" name="Chart 16">
          <a:extLst>
            <a:ext uri="{FF2B5EF4-FFF2-40B4-BE49-F238E27FC236}">
              <a16:creationId xmlns:a16="http://schemas.microsoft.com/office/drawing/2014/main" id="{0E16539B-734D-3911-108F-09BFC9FBB7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381000</xdr:colOff>
      <xdr:row>382</xdr:row>
      <xdr:rowOff>154781</xdr:rowOff>
    </xdr:from>
    <xdr:to>
      <xdr:col>12</xdr:col>
      <xdr:colOff>273844</xdr:colOff>
      <xdr:row>396</xdr:row>
      <xdr:rowOff>178593</xdr:rowOff>
    </xdr:to>
    <xdr:graphicFrame macro="">
      <xdr:nvGraphicFramePr>
        <xdr:cNvPr id="2" name="Chart 1">
          <a:extLst>
            <a:ext uri="{FF2B5EF4-FFF2-40B4-BE49-F238E27FC236}">
              <a16:creationId xmlns:a16="http://schemas.microsoft.com/office/drawing/2014/main" id="{FA9D9D3A-956D-48E6-B1D4-11BC1106E7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386952</xdr:colOff>
      <xdr:row>384</xdr:row>
      <xdr:rowOff>104777</xdr:rowOff>
    </xdr:from>
    <xdr:to>
      <xdr:col>18</xdr:col>
      <xdr:colOff>309563</xdr:colOff>
      <xdr:row>396</xdr:row>
      <xdr:rowOff>95249</xdr:rowOff>
    </xdr:to>
    <xdr:graphicFrame macro="">
      <xdr:nvGraphicFramePr>
        <xdr:cNvPr id="3" name="Chart 2">
          <a:extLst>
            <a:ext uri="{FF2B5EF4-FFF2-40B4-BE49-F238E27FC236}">
              <a16:creationId xmlns:a16="http://schemas.microsoft.com/office/drawing/2014/main" id="{3ACC230E-CA97-4A5E-8CC9-407DCA630A0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511493</xdr:colOff>
      <xdr:row>454</xdr:row>
      <xdr:rowOff>7620</xdr:rowOff>
    </xdr:from>
    <xdr:to>
      <xdr:col>19</xdr:col>
      <xdr:colOff>1082993</xdr:colOff>
      <xdr:row>467</xdr:row>
      <xdr:rowOff>45720</xdr:rowOff>
    </xdr:to>
    <xdr:graphicFrame macro="">
      <xdr:nvGraphicFramePr>
        <xdr:cNvPr id="4" name="Chart 3">
          <a:extLst>
            <a:ext uri="{FF2B5EF4-FFF2-40B4-BE49-F238E27FC236}">
              <a16:creationId xmlns:a16="http://schemas.microsoft.com/office/drawing/2014/main" id="{4B89C212-397C-488B-9D08-EE27FCC549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644843</xdr:colOff>
      <xdr:row>469</xdr:row>
      <xdr:rowOff>130627</xdr:rowOff>
    </xdr:from>
    <xdr:to>
      <xdr:col>20</xdr:col>
      <xdr:colOff>70757</xdr:colOff>
      <xdr:row>484</xdr:row>
      <xdr:rowOff>38099</xdr:rowOff>
    </xdr:to>
    <xdr:graphicFrame macro="">
      <xdr:nvGraphicFramePr>
        <xdr:cNvPr id="5" name="Chart 4">
          <a:extLst>
            <a:ext uri="{FF2B5EF4-FFF2-40B4-BE49-F238E27FC236}">
              <a16:creationId xmlns:a16="http://schemas.microsoft.com/office/drawing/2014/main" id="{F5881EB6-A147-47B2-86D7-B6D8423A85E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581024</xdr:colOff>
      <xdr:row>495</xdr:row>
      <xdr:rowOff>171449</xdr:rowOff>
    </xdr:from>
    <xdr:to>
      <xdr:col>22</xdr:col>
      <xdr:colOff>185056</xdr:colOff>
      <xdr:row>510</xdr:row>
      <xdr:rowOff>168728</xdr:rowOff>
    </xdr:to>
    <xdr:graphicFrame macro="">
      <xdr:nvGraphicFramePr>
        <xdr:cNvPr id="6" name="Chart 5">
          <a:extLst>
            <a:ext uri="{FF2B5EF4-FFF2-40B4-BE49-F238E27FC236}">
              <a16:creationId xmlns:a16="http://schemas.microsoft.com/office/drawing/2014/main" id="{FBCA4765-91E2-48A4-AD4A-3DAB72364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571508</xdr:colOff>
      <xdr:row>513</xdr:row>
      <xdr:rowOff>92868</xdr:rowOff>
    </xdr:from>
    <xdr:to>
      <xdr:col>19</xdr:col>
      <xdr:colOff>1131102</xdr:colOff>
      <xdr:row>526</xdr:row>
      <xdr:rowOff>133349</xdr:rowOff>
    </xdr:to>
    <xdr:graphicFrame macro="">
      <xdr:nvGraphicFramePr>
        <xdr:cNvPr id="7" name="Chart 6">
          <a:extLst>
            <a:ext uri="{FF2B5EF4-FFF2-40B4-BE49-F238E27FC236}">
              <a16:creationId xmlns:a16="http://schemas.microsoft.com/office/drawing/2014/main" id="{5917FDC9-38D0-421D-990E-B67064F641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76207</xdr:colOff>
      <xdr:row>289</xdr:row>
      <xdr:rowOff>109537</xdr:rowOff>
    </xdr:from>
    <xdr:to>
      <xdr:col>16</xdr:col>
      <xdr:colOff>48985</xdr:colOff>
      <xdr:row>305</xdr:row>
      <xdr:rowOff>180974</xdr:rowOff>
    </xdr:to>
    <xdr:graphicFrame macro="">
      <xdr:nvGraphicFramePr>
        <xdr:cNvPr id="8" name="Chart 7">
          <a:extLst>
            <a:ext uri="{FF2B5EF4-FFF2-40B4-BE49-F238E27FC236}">
              <a16:creationId xmlns:a16="http://schemas.microsoft.com/office/drawing/2014/main" id="{84AD8AB9-5750-4997-9F94-BA40CCA02D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29</xdr:col>
      <xdr:colOff>166687</xdr:colOff>
      <xdr:row>123</xdr:row>
      <xdr:rowOff>178594</xdr:rowOff>
    </xdr:from>
    <xdr:to>
      <xdr:col>39</xdr:col>
      <xdr:colOff>211283</xdr:colOff>
      <xdr:row>131</xdr:row>
      <xdr:rowOff>21677</xdr:rowOff>
    </xdr:to>
    <xdr:pic>
      <xdr:nvPicPr>
        <xdr:cNvPr id="2" name="Picture 1">
          <a:extLst>
            <a:ext uri="{FF2B5EF4-FFF2-40B4-BE49-F238E27FC236}">
              <a16:creationId xmlns:a16="http://schemas.microsoft.com/office/drawing/2014/main" id="{6FE29D09-8516-4379-81A6-13EDB231DF35}"/>
            </a:ext>
          </a:extLst>
        </xdr:cNvPr>
        <xdr:cNvPicPr>
          <a:picLocks noChangeAspect="1"/>
        </xdr:cNvPicPr>
      </xdr:nvPicPr>
      <xdr:blipFill>
        <a:blip xmlns:r="http://schemas.openxmlformats.org/officeDocument/2006/relationships" r:embed="rId1"/>
        <a:stretch>
          <a:fillRect/>
        </a:stretch>
      </xdr:blipFill>
      <xdr:spPr>
        <a:xfrm>
          <a:off x="13370718" y="20216813"/>
          <a:ext cx="6704476" cy="1471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dcfil02\CHQ_users\ghorn00\My%20Documents\VoIP%20Model\Cisco%20VoIP%20Model%20v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App3\common\CORPACCT\Financial%20Reporting\SEC\FORM10-Q\2004\3Q%202004\Corporate\workpapers\Debt%20Report%209-30-2004%20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jsv002\user%20folder2\Accounting\&#20104;&#23455;&#38306;&#36899;\_FY05&#20104;&#23455;\_Package\&#20840;&#31038;&#65381;&#37096;&#21029;&#22522;&#30990;Data&#21152;&#24037;&#20966;&#29702;_&#26368;&#26032;&#2925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ELECOMS/STOCKS/ASIA%20(ex-Japan)%20Internet/Tech%20analyser%20v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jsv002\user%20folder2\Planning\FLASH%20SUMMARY\050912%20Flash%20Daily%20Report\Back%20Up&#29992;\Back%20Up&#29992;\EMM%20%20&#23455;&#32318;Revi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able\finance\TAX51A\COBB\EXCEL\CASHFLOW\2005\1st%20Qtr%202005\FAS%20115%20Tax%201Q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jsv002\user%20folder2\Accounting\&#20104;&#23455;&#38306;&#36899;\_FY06&#20104;&#23455;\_Reporting\_&#12381;&#12398;&#20182;BS&#12539;CF&#12539;Inventory\&#12381;&#12398;&#20182;&#12524;&#12509;&#12540;&#12488;&#12501;&#12449;&#12452;&#12523;-&#26368;&#26032;&#2925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cable\corp-dfs\Financial%20Planning\REPORTING\2016\1Q16\Below%20the%20Line\Support\Net_IncomeBridge.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able\Documents%20and%20Settings\PurvisR\Local%20Settings\Temporary%20Internet%20Files\OLK7F\Documents%20and%20Settings\PreeceS\Local%20Settings\Temporary%20Internet%20Files\OLK22\Overhead%20Consolidation%20December%2020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jsv002\user%20folder2\Accounting\&#20104;&#23455;&#38306;&#36899;\_FY04&#20104;&#23455;\_&#12381;&#12398;&#20182;\200405&#35211;&#36796;&#12415;&#1238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jsv002\user%20folder2\Accounting\&#20104;&#23455;&#38306;&#36899;\_FY06&#20104;&#23455;\_Reporting\_PL&#38306;&#36899;\FY06_&#37096;&#38263;&#20250;&#29992;&#36039;&#26009;&#20316;&#25104;&#65420;&#65383;&#65394;&#65433;-&#26368;&#26032;&#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ment"/>
      <sheetName val="Model"/>
      <sheetName val="Financial Statements"/>
      <sheetName val="Capex"/>
      <sheetName val="Capex Input"/>
      <sheetName val="Results"/>
      <sheetName val="BTS Table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 Debt Roll"/>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ﾃﾞｰﾀ加工(MTD)"/>
      <sheetName val="ﾃﾞｰﾀ加工(YTD)"/>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TOW"/>
      <sheetName val="MELI"/>
      <sheetName val="BAI"/>
      <sheetName val="TC"/>
      <sheetName val="QH"/>
      <sheetName val="REN"/>
      <sheetName val="SINA"/>
      <sheetName val="WB"/>
      <sheetName val="CA"/>
      <sheetName val="DNA"/>
      <sheetName val="GR"/>
      <sheetName val="NEX"/>
      <sheetName val="RAK"/>
      <sheetName val="YJP"/>
      <sheetName val="BTOW1"/>
      <sheetName val="MELI1"/>
      <sheetName val="BAI1"/>
      <sheetName val="TC1"/>
      <sheetName val="QH1"/>
      <sheetName val="REN1"/>
      <sheetName val="SINA1"/>
      <sheetName val="WB1"/>
      <sheetName val="CA1"/>
      <sheetName val="DNA1"/>
      <sheetName val="GR1"/>
      <sheetName val="NEX1"/>
      <sheetName val="RAK1"/>
      <sheetName val="YJP1"/>
      <sheetName val="Global comps"/>
      <sheetName val="Consensus data"/>
      <sheetName val="Share prices"/>
    </sheetNames>
    <sheetDataSet>
      <sheetData sheetId="0">
        <row r="84">
          <cell r="C84">
            <v>1.52207</v>
          </cell>
        </row>
        <row r="86">
          <cell r="C86">
            <v>2.2357999999999998</v>
          </cell>
        </row>
        <row r="87">
          <cell r="C87">
            <v>99.71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41">
          <cell r="C41">
            <v>0.39643310566492568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3FY 2nd Hafl Latest Estimate"/>
      <sheetName val="WeeklyData"/>
      <sheetName val="Sheet3"/>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Cost Report"/>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le_ID"/>
      <sheetName val="★ﾒﾆｭｰ"/>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d"/>
      <sheetName val="Ref"/>
      <sheetName val="WaterFall_Prep"/>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Z"/>
      <sheetName val="BEN"/>
      <sheetName val="BRA"/>
      <sheetName val="CE"/>
      <sheetName val="FRA"/>
      <sheetName val="ITA"/>
      <sheetName val="JPN"/>
      <sheetName val="KOR"/>
      <sheetName val="MEX"/>
      <sheetName val="NOR"/>
      <sheetName val="SPA"/>
      <sheetName val="UK"/>
      <sheetName val="UPIBV"/>
      <sheetName val="UPIO"/>
      <sheetName val="UPV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礎ﾃﾞｰﾀ"/>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010FB-225F-41A0-8976-1D02FA34D508}">
  <dimension ref="A8:AU39"/>
  <sheetViews>
    <sheetView showGridLines="0" tabSelected="1" topLeftCell="A6" zoomScale="92" zoomScaleNormal="100" workbookViewId="0">
      <selection activeCell="B10" sqref="B10"/>
    </sheetView>
  </sheetViews>
  <sheetFormatPr defaultColWidth="8.5" defaultRowHeight="11.7" x14ac:dyDescent="0.45"/>
  <cols>
    <col min="1" max="1" width="15" style="3" customWidth="1"/>
    <col min="2" max="2" width="12.59765625" style="3" customWidth="1"/>
    <col min="3" max="9" width="8.5" style="3"/>
    <col min="10" max="10" width="9.5" style="3" customWidth="1"/>
    <col min="11" max="12" width="8.5" style="3"/>
    <col min="13" max="13" width="10.19921875" style="3" customWidth="1"/>
    <col min="14" max="20" width="8.5" style="3"/>
    <col min="21" max="21" width="7.19921875" style="3" customWidth="1"/>
    <col min="22" max="16384" width="8.5" style="3"/>
  </cols>
  <sheetData>
    <row r="8" spans="1:20" ht="13.2" thickBot="1" x14ac:dyDescent="0.55000000000000004">
      <c r="A8" s="1"/>
      <c r="B8" s="2"/>
      <c r="C8" s="2"/>
      <c r="D8" s="2"/>
      <c r="E8" s="2"/>
      <c r="F8" s="2"/>
      <c r="G8" s="2"/>
      <c r="H8" s="2"/>
      <c r="I8" s="2"/>
      <c r="J8" s="2"/>
      <c r="K8" s="2"/>
      <c r="L8" s="2"/>
      <c r="M8" s="2"/>
      <c r="N8" s="2"/>
      <c r="O8" s="2"/>
      <c r="P8" s="2"/>
      <c r="Q8" s="2"/>
      <c r="R8" s="2"/>
      <c r="S8" s="2"/>
      <c r="T8" s="2"/>
    </row>
    <row r="9" spans="1:20" x14ac:dyDescent="0.45">
      <c r="A9" s="4"/>
      <c r="B9" s="4"/>
      <c r="C9" s="4"/>
      <c r="D9" s="4"/>
      <c r="E9" s="4"/>
      <c r="F9" s="4"/>
      <c r="G9" s="4"/>
      <c r="H9" s="4"/>
      <c r="I9" s="4"/>
      <c r="J9" s="4"/>
      <c r="K9" s="4"/>
      <c r="L9" s="4"/>
      <c r="M9" s="4"/>
      <c r="N9" s="4"/>
      <c r="O9" s="4"/>
      <c r="P9" s="4"/>
      <c r="Q9" s="4"/>
      <c r="R9" s="4"/>
      <c r="S9" s="4"/>
      <c r="T9" s="4"/>
    </row>
    <row r="10" spans="1:20" x14ac:dyDescent="0.45">
      <c r="A10" s="4"/>
      <c r="B10" s="4"/>
      <c r="C10" s="4"/>
      <c r="D10" s="4"/>
      <c r="E10" s="4"/>
      <c r="F10" s="4"/>
      <c r="G10" s="4"/>
      <c r="H10" s="4"/>
      <c r="I10" s="4"/>
      <c r="J10" s="4"/>
      <c r="K10" s="4"/>
      <c r="L10" s="4"/>
      <c r="M10" s="4"/>
      <c r="N10" s="4"/>
      <c r="O10" s="4"/>
      <c r="P10" s="4"/>
      <c r="Q10" s="4"/>
      <c r="R10" s="4"/>
      <c r="S10" s="4"/>
      <c r="T10" s="4"/>
    </row>
    <row r="11" spans="1:20" x14ac:dyDescent="0.45">
      <c r="A11" s="4"/>
      <c r="B11" s="4"/>
      <c r="C11" s="4"/>
      <c r="D11" s="4"/>
      <c r="E11" s="4"/>
      <c r="F11" s="4"/>
      <c r="G11" s="4"/>
      <c r="H11" s="4"/>
      <c r="I11" s="4"/>
      <c r="J11" s="4"/>
      <c r="K11" s="4"/>
      <c r="L11" s="4"/>
      <c r="M11" s="4"/>
      <c r="N11" s="4"/>
      <c r="O11" s="4"/>
      <c r="P11" s="4"/>
      <c r="Q11" s="4"/>
      <c r="R11" s="4"/>
      <c r="S11" s="4"/>
      <c r="T11" s="4"/>
    </row>
    <row r="12" spans="1:20" x14ac:dyDescent="0.45">
      <c r="A12" s="4"/>
      <c r="B12" s="4"/>
      <c r="C12" s="4"/>
      <c r="D12" s="4"/>
      <c r="E12" s="4"/>
      <c r="F12" s="4"/>
      <c r="G12" s="4"/>
      <c r="H12" s="4"/>
      <c r="I12" s="4"/>
      <c r="J12" s="4"/>
      <c r="K12" s="4"/>
      <c r="L12" s="4"/>
      <c r="M12" s="4"/>
      <c r="N12" s="4"/>
      <c r="O12" s="4"/>
      <c r="P12" s="4"/>
      <c r="Q12" s="4"/>
      <c r="R12" s="4"/>
      <c r="S12" s="4"/>
      <c r="T12" s="4"/>
    </row>
    <row r="13" spans="1:20" ht="23.1" x14ac:dyDescent="0.85">
      <c r="A13" s="4"/>
      <c r="B13" s="5" t="s">
        <v>485</v>
      </c>
      <c r="C13" s="4"/>
      <c r="D13" s="4"/>
      <c r="E13" s="4"/>
      <c r="F13" s="4"/>
      <c r="G13" s="4"/>
      <c r="H13" s="4"/>
      <c r="I13" s="4"/>
      <c r="J13" s="4"/>
      <c r="K13" s="4"/>
      <c r="L13" s="4"/>
      <c r="M13" s="4"/>
      <c r="N13" s="4"/>
      <c r="O13" s="4"/>
      <c r="P13" s="4"/>
      <c r="Q13" s="4"/>
      <c r="R13" s="4"/>
      <c r="S13" s="4"/>
      <c r="T13" s="4"/>
    </row>
    <row r="14" spans="1:20" x14ac:dyDescent="0.45">
      <c r="A14" s="4"/>
      <c r="B14" s="4"/>
      <c r="C14" s="4"/>
      <c r="D14" s="4"/>
      <c r="E14" s="4"/>
      <c r="F14" s="4"/>
      <c r="G14" s="4"/>
      <c r="H14" s="4"/>
      <c r="I14" s="4"/>
      <c r="J14" s="4"/>
      <c r="K14" s="4"/>
      <c r="L14" s="4"/>
      <c r="M14" s="4"/>
      <c r="N14" s="4"/>
      <c r="O14" s="4"/>
      <c r="P14" s="4"/>
      <c r="Q14" s="4"/>
      <c r="R14" s="4"/>
      <c r="S14" s="4"/>
      <c r="T14" s="4"/>
    </row>
    <row r="15" spans="1:20" x14ac:dyDescent="0.45">
      <c r="A15" s="4"/>
      <c r="B15" s="4"/>
      <c r="C15" s="4"/>
      <c r="D15" s="4"/>
      <c r="E15" s="4"/>
      <c r="F15" s="4"/>
      <c r="G15" s="4"/>
      <c r="H15" s="4"/>
      <c r="I15" s="4"/>
      <c r="J15" s="4"/>
      <c r="K15" s="4"/>
      <c r="L15" s="4"/>
      <c r="M15" s="4"/>
      <c r="N15" s="4"/>
      <c r="O15" s="4"/>
      <c r="P15" s="4"/>
      <c r="Q15" s="4"/>
      <c r="R15" s="4"/>
      <c r="S15" s="4"/>
      <c r="T15" s="4"/>
    </row>
    <row r="16" spans="1:20" x14ac:dyDescent="0.45">
      <c r="A16" s="4"/>
      <c r="B16" s="6">
        <f ca="1">+TODAY()</f>
        <v>45205</v>
      </c>
      <c r="C16" s="4"/>
      <c r="D16" s="4"/>
      <c r="E16" s="4"/>
      <c r="F16" s="4"/>
      <c r="G16" s="4"/>
      <c r="H16" s="4"/>
      <c r="I16" s="4"/>
      <c r="J16" s="4"/>
      <c r="K16" s="4"/>
      <c r="L16" s="4"/>
      <c r="M16" s="4"/>
      <c r="N16" s="4"/>
      <c r="O16" s="4"/>
      <c r="P16" s="4"/>
      <c r="Q16" s="4"/>
      <c r="R16" s="4"/>
      <c r="S16" s="4"/>
      <c r="T16" s="4"/>
    </row>
    <row r="17" spans="1:47" ht="12.9" x14ac:dyDescent="0.5">
      <c r="A17" s="4"/>
      <c r="B17" s="7"/>
      <c r="C17" s="4"/>
      <c r="D17" s="4"/>
      <c r="E17" s="4"/>
      <c r="F17" s="4"/>
      <c r="G17" s="4"/>
      <c r="H17" s="4"/>
      <c r="I17" s="4"/>
      <c r="J17" s="4"/>
      <c r="K17" s="4"/>
      <c r="L17" s="4"/>
      <c r="M17" s="4"/>
      <c r="N17" s="4"/>
      <c r="O17" s="4"/>
      <c r="P17" s="4"/>
      <c r="Q17" s="4"/>
      <c r="R17" s="4"/>
      <c r="S17" s="4"/>
      <c r="T17" s="4"/>
    </row>
    <row r="18" spans="1:47" ht="12.9" x14ac:dyDescent="0.5">
      <c r="A18" s="4"/>
      <c r="B18" s="7"/>
      <c r="C18" s="4"/>
      <c r="D18" s="4"/>
      <c r="E18" s="4"/>
      <c r="F18" s="4"/>
      <c r="G18" s="4"/>
      <c r="H18" s="4"/>
      <c r="I18" s="4"/>
      <c r="J18" s="4"/>
      <c r="K18" s="4"/>
      <c r="L18" s="4"/>
      <c r="M18" s="4"/>
      <c r="N18" s="4"/>
      <c r="O18" s="4"/>
      <c r="P18" s="4"/>
      <c r="Q18" s="4"/>
      <c r="R18" s="4"/>
      <c r="S18" s="4"/>
      <c r="T18" s="4"/>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row>
    <row r="19" spans="1:47" ht="12.9" x14ac:dyDescent="0.5">
      <c r="A19" s="4"/>
      <c r="B19" s="9" t="s">
        <v>0</v>
      </c>
      <c r="C19" s="4"/>
      <c r="D19" s="4"/>
      <c r="E19" s="4"/>
      <c r="F19" s="4"/>
      <c r="G19" s="4"/>
      <c r="H19" s="10"/>
      <c r="I19" s="4"/>
      <c r="J19" s="4"/>
      <c r="K19" s="4"/>
      <c r="L19" s="4"/>
      <c r="M19" s="4"/>
      <c r="N19" s="4"/>
      <c r="O19" s="4"/>
      <c r="P19" s="4"/>
      <c r="Q19" s="4"/>
      <c r="R19" s="4"/>
      <c r="S19" s="4"/>
      <c r="T19" s="4"/>
      <c r="U19" s="8"/>
      <c r="V19" s="8"/>
    </row>
    <row r="20" spans="1:47" ht="12.9" x14ac:dyDescent="0.5">
      <c r="A20" s="4"/>
      <c r="B20" s="11" t="s">
        <v>1</v>
      </c>
      <c r="C20" s="4"/>
      <c r="D20" s="4"/>
      <c r="E20" s="4"/>
      <c r="F20" s="4"/>
      <c r="G20" s="4"/>
      <c r="H20" s="4"/>
      <c r="I20" s="4"/>
      <c r="J20" s="4"/>
      <c r="K20" s="4"/>
      <c r="L20" s="4"/>
      <c r="M20" s="4"/>
      <c r="N20" s="4"/>
      <c r="O20" s="4"/>
      <c r="P20" s="4"/>
      <c r="Q20" s="4"/>
      <c r="R20" s="8"/>
      <c r="S20" s="8"/>
      <c r="T20" s="8"/>
      <c r="U20" s="8"/>
      <c r="V20" s="8"/>
    </row>
    <row r="21" spans="1:47" ht="12.9" x14ac:dyDescent="0.5">
      <c r="A21" s="4"/>
      <c r="B21" s="12" t="s">
        <v>2</v>
      </c>
      <c r="C21" s="13"/>
      <c r="D21" s="13"/>
      <c r="E21" s="4"/>
      <c r="F21" s="4"/>
      <c r="G21" s="4"/>
      <c r="H21" s="4"/>
      <c r="I21" s="4"/>
      <c r="J21" s="4"/>
      <c r="K21" s="4"/>
      <c r="L21" s="4"/>
      <c r="M21" s="4"/>
      <c r="N21" s="4"/>
      <c r="O21" s="4"/>
      <c r="P21" s="4"/>
      <c r="Q21" s="4"/>
      <c r="R21" s="4"/>
      <c r="S21" s="4"/>
      <c r="T21" s="4"/>
    </row>
    <row r="22" spans="1:47" ht="12.9" x14ac:dyDescent="0.5">
      <c r="A22" s="4"/>
      <c r="B22" s="7" t="s">
        <v>3</v>
      </c>
      <c r="C22" s="13"/>
      <c r="D22" s="13"/>
      <c r="E22" s="4"/>
      <c r="F22" s="4"/>
      <c r="G22" s="4"/>
      <c r="H22" s="4"/>
      <c r="I22" s="4"/>
      <c r="J22" s="4"/>
      <c r="K22" s="4"/>
      <c r="L22" s="4"/>
      <c r="M22" s="4"/>
      <c r="N22" s="4"/>
      <c r="O22" s="4"/>
      <c r="P22" s="4"/>
      <c r="Q22" s="4"/>
      <c r="R22" s="4"/>
      <c r="S22" s="4"/>
      <c r="T22" s="4"/>
    </row>
    <row r="23" spans="1:47" ht="12.9" x14ac:dyDescent="0.5">
      <c r="A23" s="4"/>
      <c r="B23" s="7"/>
      <c r="C23" s="13"/>
      <c r="D23" s="13"/>
      <c r="E23" s="4"/>
      <c r="F23" s="4"/>
      <c r="G23" s="4"/>
      <c r="H23" s="4"/>
      <c r="I23" s="4"/>
      <c r="J23" s="4"/>
      <c r="K23" s="4"/>
      <c r="L23" s="4"/>
      <c r="M23" s="4"/>
      <c r="N23" s="4"/>
      <c r="O23" s="4"/>
      <c r="P23" s="4"/>
      <c r="Q23" s="4"/>
      <c r="R23" s="4"/>
      <c r="S23" s="4"/>
      <c r="T23" s="4"/>
    </row>
    <row r="24" spans="1:47" x14ac:dyDescent="0.45">
      <c r="A24" s="4"/>
      <c r="B24" s="14"/>
      <c r="C24" s="13"/>
      <c r="D24" s="13"/>
      <c r="E24" s="4"/>
      <c r="F24" s="4"/>
      <c r="G24" s="4"/>
      <c r="H24" s="4"/>
      <c r="I24" s="4"/>
      <c r="J24" s="15"/>
      <c r="K24" s="4"/>
      <c r="L24" s="4"/>
      <c r="M24" s="4"/>
      <c r="N24" s="4"/>
      <c r="O24" s="4"/>
      <c r="P24" s="4"/>
      <c r="Q24" s="4"/>
      <c r="R24" s="4"/>
      <c r="S24" s="4"/>
      <c r="T24" s="4"/>
    </row>
    <row r="25" spans="1:47" x14ac:dyDescent="0.45">
      <c r="A25" s="4"/>
      <c r="B25" s="13" t="s">
        <v>4</v>
      </c>
      <c r="C25" s="380" t="s">
        <v>657</v>
      </c>
      <c r="D25" s="4"/>
      <c r="E25" s="4"/>
      <c r="F25" s="4"/>
      <c r="G25" s="4"/>
      <c r="H25" s="4"/>
      <c r="I25" s="4"/>
      <c r="J25" s="4"/>
      <c r="K25" s="4"/>
      <c r="L25" s="4"/>
      <c r="M25" s="15"/>
      <c r="N25" s="4"/>
      <c r="O25" s="4"/>
      <c r="P25" s="4"/>
      <c r="Q25" s="4"/>
      <c r="R25" s="4"/>
      <c r="S25" s="4"/>
      <c r="T25" s="4"/>
    </row>
    <row r="26" spans="1:47" x14ac:dyDescent="0.45">
      <c r="A26" s="4"/>
      <c r="B26" s="13" t="s">
        <v>5</v>
      </c>
      <c r="C26" s="380" t="s">
        <v>1804</v>
      </c>
      <c r="D26" s="4"/>
      <c r="E26" s="4"/>
      <c r="F26" s="4"/>
      <c r="G26" s="4"/>
      <c r="H26" s="4"/>
      <c r="I26" s="4"/>
      <c r="J26" s="4"/>
      <c r="K26" s="4"/>
      <c r="L26" s="4"/>
      <c r="M26" s="15"/>
      <c r="N26" s="4"/>
      <c r="O26" s="4"/>
      <c r="P26" s="4"/>
      <c r="Q26" s="4"/>
      <c r="R26" s="4"/>
      <c r="S26" s="4"/>
      <c r="T26" s="4"/>
    </row>
    <row r="27" spans="1:47" x14ac:dyDescent="0.45">
      <c r="A27" s="4"/>
      <c r="B27" s="13" t="s">
        <v>6</v>
      </c>
      <c r="C27" s="858">
        <v>8.1</v>
      </c>
      <c r="D27" s="10"/>
      <c r="E27" s="10"/>
      <c r="F27" s="4"/>
      <c r="G27" s="4"/>
      <c r="H27" s="4"/>
      <c r="I27" s="4"/>
      <c r="J27" s="4"/>
      <c r="K27" s="4"/>
      <c r="L27" s="4"/>
      <c r="M27" s="4"/>
      <c r="N27" s="4"/>
      <c r="O27" s="4"/>
      <c r="P27" s="4"/>
      <c r="Q27" s="4"/>
      <c r="R27" s="4"/>
      <c r="S27" s="4"/>
      <c r="T27" s="4"/>
    </row>
    <row r="28" spans="1:47" x14ac:dyDescent="0.45">
      <c r="A28" s="4"/>
      <c r="B28" s="13"/>
      <c r="C28" s="16"/>
      <c r="D28" s="10"/>
      <c r="E28" s="10"/>
      <c r="F28" s="10"/>
      <c r="G28" s="10"/>
      <c r="H28" s="10"/>
      <c r="I28" s="10"/>
      <c r="J28" s="10"/>
      <c r="K28" s="10"/>
      <c r="L28" s="10"/>
      <c r="M28" s="10"/>
      <c r="N28" s="10"/>
      <c r="O28" s="10"/>
      <c r="P28" s="4"/>
      <c r="Q28" s="4"/>
      <c r="R28" s="4"/>
      <c r="S28" s="4"/>
      <c r="T28" s="4"/>
    </row>
    <row r="29" spans="1:47" x14ac:dyDescent="0.45">
      <c r="A29" s="4"/>
      <c r="B29" s="13"/>
      <c r="C29" s="16"/>
      <c r="D29" s="10"/>
      <c r="E29" s="10"/>
      <c r="F29" s="10"/>
      <c r="G29" s="10"/>
      <c r="H29" s="10"/>
      <c r="I29" s="10"/>
      <c r="J29" s="10"/>
      <c r="K29" s="10"/>
      <c r="L29" s="10"/>
      <c r="M29" s="10"/>
      <c r="N29" s="10"/>
      <c r="O29" s="10"/>
      <c r="P29" s="4"/>
      <c r="Q29" s="4"/>
      <c r="R29" s="4"/>
      <c r="S29" s="4"/>
      <c r="T29" s="4"/>
    </row>
    <row r="30" spans="1:47" x14ac:dyDescent="0.45">
      <c r="A30" s="4"/>
      <c r="B30" s="13"/>
      <c r="C30" s="16"/>
      <c r="D30" s="4"/>
      <c r="E30" s="4"/>
      <c r="F30" s="4"/>
      <c r="G30" s="4"/>
      <c r="H30" s="4"/>
      <c r="I30" s="4"/>
      <c r="J30" s="4"/>
      <c r="K30" s="4"/>
      <c r="L30" s="4"/>
      <c r="M30" s="4"/>
      <c r="N30" s="4"/>
      <c r="O30" s="4"/>
      <c r="P30" s="4"/>
      <c r="Q30" s="4"/>
      <c r="R30" s="4"/>
      <c r="S30" s="4"/>
      <c r="T30" s="4"/>
    </row>
    <row r="31" spans="1:47" x14ac:dyDescent="0.45">
      <c r="A31" s="4"/>
      <c r="B31" s="4"/>
      <c r="C31" s="4"/>
      <c r="D31" s="4"/>
      <c r="E31" s="4"/>
      <c r="F31" s="4"/>
      <c r="G31" s="4"/>
      <c r="H31" s="4"/>
      <c r="I31" s="4"/>
      <c r="J31" s="4"/>
      <c r="K31" s="4"/>
      <c r="L31" s="4"/>
      <c r="M31" s="4"/>
      <c r="N31" s="4"/>
      <c r="O31" s="4"/>
      <c r="P31" s="4"/>
      <c r="Q31" s="4"/>
      <c r="R31" s="4"/>
      <c r="S31" s="4"/>
      <c r="T31" s="4"/>
    </row>
    <row r="32" spans="1:47" x14ac:dyDescent="0.45">
      <c r="A32" s="4"/>
      <c r="B32" s="4"/>
      <c r="C32" s="4"/>
      <c r="D32" s="4"/>
      <c r="E32" s="4"/>
      <c r="F32" s="4"/>
      <c r="G32" s="4"/>
      <c r="H32" s="4"/>
      <c r="I32" s="4"/>
      <c r="J32" s="4"/>
      <c r="K32" s="4"/>
      <c r="L32" s="4"/>
      <c r="M32" s="4"/>
      <c r="N32" s="4"/>
      <c r="O32" s="4"/>
      <c r="P32" s="4"/>
      <c r="Q32" s="4"/>
      <c r="R32" s="4"/>
      <c r="S32" s="4"/>
      <c r="T32" s="4"/>
    </row>
    <row r="33" spans="1:20" x14ac:dyDescent="0.45">
      <c r="A33" s="4"/>
      <c r="B33" s="4"/>
      <c r="C33" s="4"/>
      <c r="D33" s="4"/>
      <c r="E33" s="4"/>
      <c r="F33" s="4"/>
      <c r="G33" s="4"/>
      <c r="H33" s="4"/>
      <c r="I33" s="4"/>
      <c r="J33" s="4"/>
      <c r="K33" s="4"/>
      <c r="L33" s="4"/>
      <c r="M33" s="4"/>
      <c r="N33" s="4"/>
      <c r="O33" s="4"/>
      <c r="P33" s="4"/>
      <c r="Q33" s="4"/>
      <c r="R33" s="4"/>
      <c r="S33" s="4"/>
      <c r="T33" s="4"/>
    </row>
    <row r="34" spans="1:20" x14ac:dyDescent="0.45">
      <c r="A34" s="4"/>
      <c r="B34" s="4"/>
      <c r="C34" s="4"/>
      <c r="D34" s="4"/>
      <c r="E34" s="4"/>
      <c r="F34" s="4"/>
      <c r="G34" s="4"/>
      <c r="H34" s="4"/>
      <c r="I34" s="4"/>
      <c r="J34" s="4"/>
      <c r="K34" s="4"/>
      <c r="L34" s="4"/>
      <c r="M34" s="4"/>
      <c r="N34" s="4"/>
      <c r="O34" s="4"/>
      <c r="P34" s="4"/>
      <c r="Q34" s="4"/>
      <c r="R34" s="4"/>
      <c r="S34" s="4"/>
      <c r="T34" s="4"/>
    </row>
    <row r="35" spans="1:20" x14ac:dyDescent="0.45">
      <c r="A35" s="4"/>
      <c r="B35" s="4"/>
      <c r="C35" s="4"/>
      <c r="D35" s="4"/>
      <c r="E35" s="4"/>
      <c r="F35" s="4"/>
      <c r="G35" s="4"/>
      <c r="H35" s="4"/>
      <c r="I35" s="4"/>
      <c r="J35" s="4"/>
      <c r="K35" s="4"/>
      <c r="L35" s="4"/>
      <c r="M35" s="4"/>
      <c r="N35" s="4"/>
      <c r="O35" s="4"/>
      <c r="P35" s="4"/>
      <c r="Q35" s="4"/>
      <c r="R35" s="4"/>
      <c r="S35" s="4"/>
      <c r="T35" s="4"/>
    </row>
    <row r="36" spans="1:20" x14ac:dyDescent="0.45">
      <c r="A36" s="4"/>
      <c r="B36" s="4"/>
      <c r="C36" s="4"/>
      <c r="D36" s="4"/>
      <c r="E36" s="4"/>
      <c r="F36" s="4"/>
      <c r="G36" s="4"/>
      <c r="H36" s="4"/>
      <c r="I36" s="4"/>
      <c r="J36" s="4"/>
      <c r="K36" s="4"/>
      <c r="L36" s="4"/>
      <c r="M36" s="4"/>
      <c r="N36" s="4"/>
      <c r="O36" s="4"/>
      <c r="P36" s="4"/>
      <c r="Q36" s="4"/>
      <c r="R36" s="4"/>
      <c r="S36" s="4"/>
      <c r="T36" s="4"/>
    </row>
    <row r="37" spans="1:20" x14ac:dyDescent="0.45">
      <c r="A37" s="4"/>
      <c r="B37" s="4"/>
      <c r="C37" s="4"/>
      <c r="D37" s="4"/>
      <c r="E37" s="4"/>
      <c r="F37" s="4"/>
      <c r="G37" s="4"/>
      <c r="H37" s="4"/>
      <c r="I37" s="4"/>
      <c r="J37" s="4"/>
      <c r="K37" s="4"/>
      <c r="L37" s="4"/>
      <c r="M37" s="4"/>
      <c r="N37" s="4"/>
      <c r="O37" s="4"/>
      <c r="P37" s="4"/>
      <c r="Q37" s="4"/>
      <c r="R37" s="4"/>
      <c r="S37" s="4"/>
      <c r="T37" s="4"/>
    </row>
    <row r="38" spans="1:20" x14ac:dyDescent="0.45">
      <c r="A38" s="4"/>
      <c r="B38" s="4"/>
      <c r="C38" s="4"/>
      <c r="D38" s="4"/>
      <c r="E38" s="4"/>
      <c r="F38" s="4"/>
      <c r="G38" s="4"/>
      <c r="H38" s="4"/>
      <c r="I38" s="4"/>
      <c r="J38" s="4"/>
      <c r="K38" s="4"/>
      <c r="L38" s="4"/>
      <c r="M38" s="4"/>
      <c r="N38" s="4"/>
      <c r="O38" s="4"/>
      <c r="P38" s="4"/>
      <c r="Q38" s="4"/>
      <c r="R38" s="4"/>
      <c r="S38" s="4"/>
      <c r="T38" s="4"/>
    </row>
    <row r="39" spans="1:20" ht="12" thickBot="1" x14ac:dyDescent="0.5">
      <c r="A39" s="2"/>
      <c r="B39" s="2"/>
      <c r="C39" s="2"/>
      <c r="D39" s="2"/>
      <c r="E39" s="2"/>
      <c r="F39" s="2"/>
      <c r="G39" s="2"/>
      <c r="H39" s="2"/>
      <c r="I39" s="2"/>
      <c r="J39" s="2"/>
      <c r="K39" s="2"/>
      <c r="L39" s="2"/>
      <c r="M39" s="2"/>
      <c r="N39" s="2"/>
      <c r="O39" s="2"/>
      <c r="P39" s="2"/>
      <c r="Q39" s="2"/>
      <c r="R39" s="2"/>
      <c r="S39" s="2"/>
      <c r="T39" s="2"/>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8BC27-598A-4EE4-8B71-8D6A8A71F873}">
  <dimension ref="B1:S50"/>
  <sheetViews>
    <sheetView zoomScale="66" zoomScaleNormal="80" workbookViewId="0">
      <selection activeCell="B2" sqref="B2"/>
    </sheetView>
  </sheetViews>
  <sheetFormatPr defaultColWidth="9" defaultRowHeight="14.1" x14ac:dyDescent="0.5"/>
  <cols>
    <col min="1" max="1" width="9" style="557"/>
    <col min="2" max="2" width="28.69921875" style="557" bestFit="1" customWidth="1"/>
    <col min="3" max="3" width="14.69921875" style="557" customWidth="1"/>
    <col min="4" max="15" width="8" style="557" customWidth="1"/>
    <col min="16" max="18" width="9" style="557"/>
    <col min="19" max="19" width="11.69921875" style="557" bestFit="1" customWidth="1"/>
    <col min="20" max="16384" width="9" style="557"/>
  </cols>
  <sheetData>
    <row r="1" spans="2:19" s="559" customFormat="1" ht="15.3" x14ac:dyDescent="0.55000000000000004"/>
    <row r="2" spans="2:19" s="559" customFormat="1" ht="15.3" x14ac:dyDescent="0.55000000000000004">
      <c r="B2" s="785" t="s">
        <v>156</v>
      </c>
      <c r="C2" s="786" t="s">
        <v>66</v>
      </c>
      <c r="D2" s="787" t="s">
        <v>67</v>
      </c>
      <c r="E2" s="787" t="s">
        <v>68</v>
      </c>
      <c r="F2" s="788"/>
      <c r="G2" s="787" t="s">
        <v>69</v>
      </c>
      <c r="H2" s="789" t="s">
        <v>70</v>
      </c>
      <c r="I2" s="568"/>
      <c r="J2" s="568"/>
      <c r="K2" s="568"/>
      <c r="L2" s="568"/>
      <c r="M2" s="568"/>
      <c r="N2" s="568"/>
      <c r="O2" s="568"/>
    </row>
    <row r="3" spans="2:19" s="559" customFormat="1" ht="15.3" x14ac:dyDescent="0.55000000000000004">
      <c r="B3" s="914" t="s">
        <v>132</v>
      </c>
      <c r="C3" s="915" t="s">
        <v>71</v>
      </c>
      <c r="D3" s="916"/>
      <c r="E3" s="917"/>
      <c r="F3" s="915"/>
      <c r="G3" s="918">
        <f>C47</f>
        <v>37945.517565069822</v>
      </c>
      <c r="H3" s="919">
        <f>G3/$G$4</f>
        <v>1</v>
      </c>
      <c r="I3" s="568"/>
      <c r="J3" s="568"/>
      <c r="K3" s="568"/>
      <c r="L3" s="568"/>
      <c r="M3" s="568"/>
      <c r="N3" s="568"/>
      <c r="O3" s="568"/>
    </row>
    <row r="4" spans="2:19" s="559" customFormat="1" ht="15.3" x14ac:dyDescent="0.55000000000000004">
      <c r="B4" s="790" t="s">
        <v>72</v>
      </c>
      <c r="C4" s="568"/>
      <c r="D4" s="568"/>
      <c r="E4" s="568"/>
      <c r="F4" s="568"/>
      <c r="G4" s="635">
        <f>G3</f>
        <v>37945.517565069822</v>
      </c>
      <c r="H4" s="791">
        <f>SUM(H3:H3)</f>
        <v>1</v>
      </c>
      <c r="I4" s="568"/>
      <c r="J4" s="568"/>
      <c r="K4" s="568"/>
      <c r="L4" s="568"/>
      <c r="M4" s="568"/>
      <c r="N4" s="568"/>
      <c r="O4" s="568"/>
    </row>
    <row r="5" spans="2:19" s="559" customFormat="1" ht="15.3" x14ac:dyDescent="0.55000000000000004">
      <c r="B5" s="920"/>
      <c r="C5" s="886"/>
      <c r="D5" s="886"/>
      <c r="E5" s="886"/>
      <c r="F5" s="886"/>
      <c r="G5" s="886"/>
      <c r="H5" s="921"/>
      <c r="I5" s="568"/>
      <c r="J5" s="568"/>
      <c r="K5" s="568"/>
      <c r="L5" s="568"/>
      <c r="M5" s="568"/>
      <c r="N5" s="568"/>
      <c r="O5" s="568"/>
    </row>
    <row r="6" spans="2:19" s="559" customFormat="1" ht="15.3" x14ac:dyDescent="0.55000000000000004">
      <c r="B6" s="790"/>
      <c r="C6" s="568"/>
      <c r="D6" s="568"/>
      <c r="E6" s="568"/>
      <c r="F6" s="568"/>
      <c r="G6" s="635"/>
      <c r="H6" s="792"/>
      <c r="I6" s="568"/>
      <c r="J6" s="568"/>
      <c r="K6" s="568"/>
      <c r="L6" s="568"/>
      <c r="M6" s="568"/>
      <c r="N6" s="568"/>
      <c r="O6" s="568"/>
    </row>
    <row r="7" spans="2:19" s="559" customFormat="1" ht="15.3" x14ac:dyDescent="0.55000000000000004">
      <c r="B7" s="920" t="s">
        <v>73</v>
      </c>
      <c r="C7" s="886"/>
      <c r="D7" s="886"/>
      <c r="E7" s="886"/>
      <c r="F7" s="886"/>
      <c r="G7" s="884">
        <f>H17</f>
        <v>4710</v>
      </c>
      <c r="H7" s="921"/>
      <c r="I7" s="568"/>
      <c r="J7" s="568"/>
      <c r="K7" s="568"/>
      <c r="L7" s="568"/>
      <c r="M7" s="568"/>
      <c r="N7" s="568"/>
      <c r="O7" s="568"/>
    </row>
    <row r="8" spans="2:19" s="559" customFormat="1" ht="15.3" x14ac:dyDescent="0.55000000000000004">
      <c r="B8" s="790" t="s">
        <v>74</v>
      </c>
      <c r="C8" s="568"/>
      <c r="D8" s="568"/>
      <c r="E8" s="568"/>
      <c r="F8" s="568"/>
      <c r="G8" s="635">
        <f>G6+G4</f>
        <v>37945.517565069822</v>
      </c>
      <c r="H8" s="792"/>
      <c r="I8" s="568"/>
      <c r="J8" s="568"/>
      <c r="K8" s="568"/>
      <c r="L8" s="568"/>
      <c r="M8" s="568"/>
      <c r="N8" s="568"/>
      <c r="O8" s="568"/>
    </row>
    <row r="9" spans="2:19" s="559" customFormat="1" ht="15.3" x14ac:dyDescent="0.55000000000000004">
      <c r="B9" s="922" t="s">
        <v>75</v>
      </c>
      <c r="C9" s="886"/>
      <c r="D9" s="886"/>
      <c r="E9" s="886"/>
      <c r="F9" s="886"/>
      <c r="G9" s="923">
        <f>G8/G7</f>
        <v>8.0563731560657796</v>
      </c>
      <c r="H9" s="921"/>
      <c r="I9" s="568"/>
      <c r="J9" s="793"/>
      <c r="K9" s="568"/>
      <c r="L9" s="568"/>
      <c r="M9" s="568"/>
      <c r="N9" s="568"/>
      <c r="O9" s="568"/>
    </row>
    <row r="10" spans="2:19" s="559" customFormat="1" ht="15.3" x14ac:dyDescent="0.55000000000000004">
      <c r="B10" s="790" t="s">
        <v>76</v>
      </c>
      <c r="C10" s="568"/>
      <c r="D10" s="568"/>
      <c r="E10" s="568"/>
      <c r="F10" s="568"/>
      <c r="G10" s="794">
        <f>B14</f>
        <v>7</v>
      </c>
      <c r="H10" s="792"/>
      <c r="I10" s="568"/>
      <c r="J10" s="795"/>
      <c r="K10" s="568"/>
      <c r="L10" s="568"/>
      <c r="M10" s="568"/>
      <c r="N10" s="568"/>
      <c r="O10" s="568"/>
    </row>
    <row r="11" spans="2:19" s="559" customFormat="1" ht="15.3" x14ac:dyDescent="0.55000000000000004">
      <c r="B11" s="924" t="s">
        <v>77</v>
      </c>
      <c r="C11" s="894"/>
      <c r="D11" s="894"/>
      <c r="E11" s="894"/>
      <c r="F11" s="894"/>
      <c r="G11" s="925">
        <f>G9/G10-1</f>
        <v>0.15091045086653998</v>
      </c>
      <c r="H11" s="926"/>
      <c r="I11" s="568"/>
      <c r="J11" s="568"/>
      <c r="K11" s="568"/>
      <c r="L11" s="568"/>
      <c r="M11" s="568"/>
      <c r="N11" s="568"/>
      <c r="O11" s="568"/>
    </row>
    <row r="12" spans="2:19" s="559" customFormat="1" ht="15.3" x14ac:dyDescent="0.55000000000000004">
      <c r="B12" s="574"/>
      <c r="C12" s="568"/>
      <c r="D12" s="568"/>
      <c r="E12" s="568"/>
      <c r="F12" s="568"/>
      <c r="G12" s="796"/>
      <c r="H12" s="568"/>
      <c r="I12" s="568"/>
      <c r="J12" s="568"/>
      <c r="K12" s="568"/>
      <c r="L12" s="568"/>
      <c r="M12" s="568"/>
      <c r="N12" s="568"/>
      <c r="O12" s="568"/>
    </row>
    <row r="13" spans="2:19" s="559" customFormat="1" ht="15.3" x14ac:dyDescent="0.55000000000000004">
      <c r="B13" s="574" t="s">
        <v>371</v>
      </c>
      <c r="C13" s="574"/>
      <c r="D13" s="568"/>
      <c r="E13" s="568"/>
      <c r="F13" s="568"/>
      <c r="G13" s="796"/>
      <c r="H13" s="568"/>
      <c r="I13" s="568"/>
      <c r="J13" s="568"/>
      <c r="K13" s="568"/>
      <c r="L13" s="568"/>
      <c r="M13" s="568"/>
      <c r="N13" s="568"/>
      <c r="O13" s="568"/>
    </row>
    <row r="14" spans="2:19" s="559" customFormat="1" ht="15.3" x14ac:dyDescent="0.55000000000000004">
      <c r="B14" s="797">
        <v>7</v>
      </c>
      <c r="C14" s="705"/>
      <c r="D14" s="568"/>
      <c r="E14" s="568"/>
      <c r="F14" s="568"/>
      <c r="G14" s="796"/>
      <c r="H14" s="568"/>
      <c r="I14" s="568"/>
      <c r="J14" s="568"/>
      <c r="K14" s="568"/>
      <c r="L14" s="568"/>
      <c r="M14" s="568"/>
      <c r="N14" s="568"/>
      <c r="O14" s="568"/>
    </row>
    <row r="15" spans="2:19" s="559" customFormat="1" ht="15.3" x14ac:dyDescent="0.55000000000000004">
      <c r="B15" s="574"/>
      <c r="C15" s="568"/>
      <c r="D15" s="568"/>
      <c r="E15" s="568"/>
      <c r="F15" s="568"/>
      <c r="G15" s="798"/>
      <c r="H15" s="798"/>
      <c r="I15" s="568"/>
      <c r="J15" s="568"/>
      <c r="K15" s="568"/>
      <c r="L15" s="568"/>
      <c r="M15" s="568"/>
      <c r="N15" s="568"/>
      <c r="O15" s="568"/>
    </row>
    <row r="16" spans="2:19" ht="15.3" x14ac:dyDescent="0.55000000000000004">
      <c r="B16" s="574" t="s">
        <v>362</v>
      </c>
      <c r="C16" s="574"/>
      <c r="D16" s="574">
        <v>2019</v>
      </c>
      <c r="E16" s="574">
        <v>2020</v>
      </c>
      <c r="F16" s="574">
        <v>2021</v>
      </c>
      <c r="G16" s="574">
        <v>2022</v>
      </c>
      <c r="H16" s="574">
        <v>2023</v>
      </c>
      <c r="I16" s="574">
        <v>2024</v>
      </c>
      <c r="J16" s="574">
        <v>2025</v>
      </c>
      <c r="K16" s="574">
        <v>2026</v>
      </c>
      <c r="L16" s="574">
        <v>2027</v>
      </c>
      <c r="M16" s="574">
        <v>2028</v>
      </c>
      <c r="N16" s="574">
        <v>2029</v>
      </c>
      <c r="O16" s="574">
        <v>2030</v>
      </c>
      <c r="Q16" s="559"/>
      <c r="R16" s="559"/>
      <c r="S16" s="559"/>
    </row>
    <row r="17" spans="2:19" ht="15.3" x14ac:dyDescent="0.55000000000000004">
      <c r="B17" s="799" t="s">
        <v>73</v>
      </c>
      <c r="C17" s="799"/>
      <c r="D17" s="800">
        <f>Master!D64</f>
        <v>0</v>
      </c>
      <c r="E17" s="800">
        <f>Master!E64</f>
        <v>4311.3442110000005</v>
      </c>
      <c r="F17" s="800">
        <f>Master!F64</f>
        <v>4643.8673490000001</v>
      </c>
      <c r="G17" s="800">
        <f>Master!G64</f>
        <v>4693</v>
      </c>
      <c r="H17" s="800">
        <f>Master!H64</f>
        <v>4710</v>
      </c>
      <c r="I17" s="800">
        <f>Master!I64</f>
        <v>4710</v>
      </c>
      <c r="J17" s="800">
        <f>Master!J64</f>
        <v>4710</v>
      </c>
      <c r="K17" s="800">
        <f>Master!K64</f>
        <v>4710</v>
      </c>
      <c r="L17" s="800">
        <f>Master!L64</f>
        <v>4710</v>
      </c>
      <c r="M17" s="800">
        <f>Master!M64</f>
        <v>4710</v>
      </c>
      <c r="N17" s="800">
        <f>Master!N64</f>
        <v>4710</v>
      </c>
      <c r="O17" s="800">
        <f>Master!O64</f>
        <v>4710</v>
      </c>
      <c r="Q17" s="559"/>
      <c r="R17" s="559"/>
      <c r="S17" s="559"/>
    </row>
    <row r="18" spans="2:19" ht="15.3" x14ac:dyDescent="0.55000000000000004">
      <c r="B18" s="568" t="s">
        <v>78</v>
      </c>
      <c r="C18" s="568"/>
      <c r="D18" s="635">
        <f t="shared" ref="D18:O18" si="0">D17*$B$14</f>
        <v>0</v>
      </c>
      <c r="E18" s="635">
        <f t="shared" si="0"/>
        <v>30179.409477000005</v>
      </c>
      <c r="F18" s="635">
        <f t="shared" si="0"/>
        <v>32507.071443000001</v>
      </c>
      <c r="G18" s="635">
        <f t="shared" si="0"/>
        <v>32851</v>
      </c>
      <c r="H18" s="635">
        <f t="shared" si="0"/>
        <v>32970</v>
      </c>
      <c r="I18" s="635">
        <f t="shared" si="0"/>
        <v>32970</v>
      </c>
      <c r="J18" s="635">
        <f t="shared" si="0"/>
        <v>32970</v>
      </c>
      <c r="K18" s="635">
        <f t="shared" si="0"/>
        <v>32970</v>
      </c>
      <c r="L18" s="635">
        <f t="shared" si="0"/>
        <v>32970</v>
      </c>
      <c r="M18" s="635">
        <f t="shared" si="0"/>
        <v>32970</v>
      </c>
      <c r="N18" s="635">
        <f t="shared" si="0"/>
        <v>32970</v>
      </c>
      <c r="O18" s="635">
        <f t="shared" si="0"/>
        <v>32970</v>
      </c>
      <c r="Q18" s="559"/>
      <c r="R18" s="559"/>
      <c r="S18" s="559"/>
    </row>
    <row r="19" spans="2:19" ht="15.3" x14ac:dyDescent="0.55000000000000004">
      <c r="B19" s="568" t="s">
        <v>374</v>
      </c>
      <c r="C19" s="568"/>
      <c r="D19" s="635">
        <v>0</v>
      </c>
      <c r="E19" s="635">
        <v>0</v>
      </c>
      <c r="F19" s="635">
        <v>0</v>
      </c>
      <c r="G19" s="635">
        <v>0</v>
      </c>
      <c r="H19" s="635">
        <v>0</v>
      </c>
      <c r="I19" s="635">
        <v>0</v>
      </c>
      <c r="J19" s="635">
        <v>0</v>
      </c>
      <c r="K19" s="635">
        <v>0</v>
      </c>
      <c r="L19" s="635">
        <v>0</v>
      </c>
      <c r="M19" s="635">
        <v>0</v>
      </c>
      <c r="N19" s="635">
        <v>0</v>
      </c>
      <c r="O19" s="635">
        <v>0</v>
      </c>
      <c r="Q19" s="559"/>
      <c r="R19" s="559"/>
      <c r="S19" s="559"/>
    </row>
    <row r="20" spans="2:19" ht="15.3" x14ac:dyDescent="0.55000000000000004">
      <c r="B20" s="568" t="s">
        <v>79</v>
      </c>
      <c r="C20" s="568"/>
      <c r="D20" s="635">
        <v>0</v>
      </c>
      <c r="E20" s="635">
        <f>D20</f>
        <v>0</v>
      </c>
      <c r="F20" s="635">
        <f t="shared" ref="F20:O20" si="1">E20</f>
        <v>0</v>
      </c>
      <c r="G20" s="635">
        <f t="shared" si="1"/>
        <v>0</v>
      </c>
      <c r="H20" s="635">
        <f t="shared" si="1"/>
        <v>0</v>
      </c>
      <c r="I20" s="635">
        <f t="shared" si="1"/>
        <v>0</v>
      </c>
      <c r="J20" s="635">
        <f t="shared" si="1"/>
        <v>0</v>
      </c>
      <c r="K20" s="635">
        <f t="shared" si="1"/>
        <v>0</v>
      </c>
      <c r="L20" s="635">
        <f t="shared" si="1"/>
        <v>0</v>
      </c>
      <c r="M20" s="635">
        <f t="shared" si="1"/>
        <v>0</v>
      </c>
      <c r="N20" s="635">
        <f t="shared" si="1"/>
        <v>0</v>
      </c>
      <c r="O20" s="635">
        <f t="shared" si="1"/>
        <v>0</v>
      </c>
      <c r="Q20" s="559"/>
      <c r="R20" s="559"/>
      <c r="S20" s="559"/>
    </row>
    <row r="21" spans="2:19" ht="15.3" x14ac:dyDescent="0.55000000000000004">
      <c r="B21" s="568" t="s">
        <v>80</v>
      </c>
      <c r="C21" s="568"/>
      <c r="D21" s="635">
        <v>0</v>
      </c>
      <c r="E21" s="635">
        <f>D21</f>
        <v>0</v>
      </c>
      <c r="F21" s="635">
        <f>E21+Master!F128</f>
        <v>0</v>
      </c>
      <c r="G21" s="635">
        <f>F21+Master!G128</f>
        <v>0</v>
      </c>
      <c r="H21" s="635">
        <f>G21+Master!H128</f>
        <v>0</v>
      </c>
      <c r="I21" s="635">
        <f>H21+Master!I128</f>
        <v>0</v>
      </c>
      <c r="J21" s="635">
        <f>I21+Master!J128</f>
        <v>0</v>
      </c>
      <c r="K21" s="635">
        <f>J21+Master!K128</f>
        <v>0</v>
      </c>
      <c r="L21" s="635">
        <f>K21+Master!L128</f>
        <v>0</v>
      </c>
      <c r="M21" s="635">
        <f>L21+Master!M128</f>
        <v>0</v>
      </c>
      <c r="N21" s="635">
        <f>M21+Master!N128</f>
        <v>0</v>
      </c>
      <c r="O21" s="635">
        <f>N21+Master!O128</f>
        <v>0</v>
      </c>
      <c r="Q21" s="559"/>
      <c r="R21" s="559"/>
      <c r="S21" s="559"/>
    </row>
    <row r="22" spans="2:19" ht="15.3" x14ac:dyDescent="0.55000000000000004">
      <c r="B22" s="799" t="s">
        <v>81</v>
      </c>
      <c r="C22" s="799"/>
      <c r="D22" s="800">
        <f>D18+D19+D21</f>
        <v>0</v>
      </c>
      <c r="E22" s="800">
        <f t="shared" ref="E22:O22" si="2">E18+E19+E21</f>
        <v>30179.409477000005</v>
      </c>
      <c r="F22" s="800">
        <f t="shared" si="2"/>
        <v>32507.071443000001</v>
      </c>
      <c r="G22" s="800">
        <f t="shared" si="2"/>
        <v>32851</v>
      </c>
      <c r="H22" s="800">
        <f t="shared" si="2"/>
        <v>32970</v>
      </c>
      <c r="I22" s="800">
        <f t="shared" si="2"/>
        <v>32970</v>
      </c>
      <c r="J22" s="800">
        <f t="shared" si="2"/>
        <v>32970</v>
      </c>
      <c r="K22" s="800">
        <f t="shared" si="2"/>
        <v>32970</v>
      </c>
      <c r="L22" s="800">
        <f t="shared" si="2"/>
        <v>32970</v>
      </c>
      <c r="M22" s="800">
        <f t="shared" si="2"/>
        <v>32970</v>
      </c>
      <c r="N22" s="800">
        <f t="shared" si="2"/>
        <v>32970</v>
      </c>
      <c r="O22" s="800">
        <f t="shared" si="2"/>
        <v>32970</v>
      </c>
      <c r="Q22" s="559"/>
      <c r="R22" s="559"/>
      <c r="S22" s="559"/>
    </row>
    <row r="23" spans="2:19" ht="15.3" x14ac:dyDescent="0.55000000000000004">
      <c r="B23" s="568"/>
      <c r="C23" s="568"/>
      <c r="D23" s="635"/>
      <c r="E23" s="635"/>
      <c r="F23" s="635"/>
      <c r="G23" s="635"/>
      <c r="H23" s="635"/>
      <c r="I23" s="635"/>
      <c r="J23" s="635"/>
      <c r="K23" s="635"/>
      <c r="L23" s="635"/>
      <c r="M23" s="635"/>
      <c r="N23" s="635"/>
      <c r="O23" s="635"/>
      <c r="Q23" s="559"/>
      <c r="R23" s="559"/>
      <c r="S23" s="559"/>
    </row>
    <row r="24" spans="2:19" ht="15.3" x14ac:dyDescent="0.55000000000000004">
      <c r="B24" s="568" t="s">
        <v>82</v>
      </c>
      <c r="C24" s="568"/>
      <c r="D24" s="635">
        <f t="shared" ref="D24:O24" si="3">D17*$B$14</f>
        <v>0</v>
      </c>
      <c r="E24" s="635">
        <f t="shared" si="3"/>
        <v>30179.409477000005</v>
      </c>
      <c r="F24" s="635">
        <f t="shared" si="3"/>
        <v>32507.071443000001</v>
      </c>
      <c r="G24" s="635">
        <f t="shared" si="3"/>
        <v>32851</v>
      </c>
      <c r="H24" s="635">
        <f t="shared" si="3"/>
        <v>32970</v>
      </c>
      <c r="I24" s="635">
        <f t="shared" si="3"/>
        <v>32970</v>
      </c>
      <c r="J24" s="635">
        <f t="shared" si="3"/>
        <v>32970</v>
      </c>
      <c r="K24" s="635">
        <f t="shared" si="3"/>
        <v>32970</v>
      </c>
      <c r="L24" s="635">
        <f t="shared" si="3"/>
        <v>32970</v>
      </c>
      <c r="M24" s="635">
        <f t="shared" si="3"/>
        <v>32970</v>
      </c>
      <c r="N24" s="635">
        <f t="shared" si="3"/>
        <v>32970</v>
      </c>
      <c r="O24" s="635">
        <f t="shared" si="3"/>
        <v>32970</v>
      </c>
      <c r="Q24" s="559"/>
      <c r="R24" s="559"/>
      <c r="S24" s="559"/>
    </row>
    <row r="25" spans="2:19" ht="15.3" x14ac:dyDescent="0.55000000000000004">
      <c r="B25" s="568"/>
      <c r="C25" s="568"/>
      <c r="D25" s="635"/>
      <c r="E25" s="635"/>
      <c r="F25" s="635"/>
      <c r="G25" s="635"/>
      <c r="H25" s="635"/>
      <c r="I25" s="635"/>
      <c r="J25" s="635"/>
      <c r="K25" s="635"/>
      <c r="L25" s="635"/>
      <c r="M25" s="635"/>
      <c r="N25" s="635"/>
      <c r="O25" s="635"/>
      <c r="Q25" s="559"/>
      <c r="R25" s="559"/>
      <c r="S25" s="559"/>
    </row>
    <row r="26" spans="2:19" ht="15.3" x14ac:dyDescent="0.55000000000000004">
      <c r="B26" s="568" t="s">
        <v>83</v>
      </c>
      <c r="C26" s="568"/>
      <c r="D26" s="795">
        <f>D22/Master!D4</f>
        <v>0</v>
      </c>
      <c r="E26" s="795">
        <f>E22/Master!E4</f>
        <v>40.943439800569806</v>
      </c>
      <c r="F26" s="795">
        <f>F22/Master!F4</f>
        <v>19.156105512731067</v>
      </c>
      <c r="G26" s="795">
        <f>G22/Master!G4</f>
        <v>6.8580015201962512</v>
      </c>
      <c r="H26" s="795">
        <f>H22/Master!H4</f>
        <v>4.2636521239647935</v>
      </c>
      <c r="I26" s="795">
        <f>I22/Master!I4</f>
        <v>3.2893355160173305</v>
      </c>
      <c r="J26" s="795">
        <f>J22/Master!J4</f>
        <v>2.6265150458348678</v>
      </c>
      <c r="K26" s="795">
        <f>K22/Master!K4</f>
        <v>2.2235584613128254</v>
      </c>
      <c r="L26" s="795">
        <f>L22/Master!L4</f>
        <v>1.9475704565306722</v>
      </c>
      <c r="M26" s="795">
        <f>M22/Master!M4</f>
        <v>1.7608025473964559</v>
      </c>
      <c r="N26" s="795">
        <f>N22/Master!N4</f>
        <v>1.5720242558471595</v>
      </c>
      <c r="O26" s="795">
        <f>O22/Master!O4</f>
        <v>1.4236285225211571</v>
      </c>
      <c r="Q26" s="801"/>
      <c r="R26" s="559"/>
    </row>
    <row r="27" spans="2:19" ht="15.3" x14ac:dyDescent="0.55000000000000004">
      <c r="B27" s="568" t="s">
        <v>537</v>
      </c>
      <c r="C27" s="568"/>
      <c r="D27" s="795"/>
      <c r="E27" s="795">
        <f>E22/Master!E15</f>
        <v>92.320004518201287</v>
      </c>
      <c r="F27" s="795">
        <f>F22/Master!F15</f>
        <v>44.41765920885144</v>
      </c>
      <c r="G27" s="795">
        <f>G22/Master!G15</f>
        <v>19.752027903324429</v>
      </c>
      <c r="H27" s="795">
        <f>H22/Master!H15</f>
        <v>10.358492481239196</v>
      </c>
      <c r="I27" s="795">
        <f>I22/Master!I15</f>
        <v>7.2220335182606847</v>
      </c>
      <c r="J27" s="795">
        <f>J22/Master!J15</f>
        <v>5.1935112101076051</v>
      </c>
      <c r="K27" s="795">
        <f>K22/Master!K15</f>
        <v>4.2547104206488822</v>
      </c>
      <c r="L27" s="795">
        <f>L22/Master!L15</f>
        <v>3.6767894571891904</v>
      </c>
      <c r="M27" s="795">
        <f>M22/Master!M15</f>
        <v>3.3177753475697433</v>
      </c>
      <c r="N27" s="795">
        <f>N22/Master!N15</f>
        <v>2.9166909379183736</v>
      </c>
      <c r="O27" s="795">
        <f>O22/Master!O15</f>
        <v>2.6126857171322126</v>
      </c>
      <c r="Q27" s="559"/>
      <c r="R27" s="559"/>
    </row>
    <row r="28" spans="2:19" ht="15.3" x14ac:dyDescent="0.55000000000000004">
      <c r="B28" s="568" t="s">
        <v>434</v>
      </c>
      <c r="C28" s="568"/>
      <c r="D28" s="795">
        <f>D18/(Master!D142-Master!D167)</f>
        <v>0</v>
      </c>
      <c r="E28" s="795">
        <f>E18/(Master!E142-Master!E167)</f>
        <v>64.786930306831792</v>
      </c>
      <c r="F28" s="795">
        <f>F18/(Master!F142-Master!F167)</f>
        <v>7.3172643893090372</v>
      </c>
      <c r="G28" s="795">
        <f>G18/(Master!G142-Master!G167)</f>
        <v>6.719232578593199</v>
      </c>
      <c r="H28" s="795">
        <f ca="1">H18/(Master!H142-Master!H167)</f>
        <v>5.7196212434135791</v>
      </c>
      <c r="I28" s="795">
        <f ca="1">I18/(Master!I142-Master!I167)</f>
        <v>4.5555927781213637</v>
      </c>
      <c r="J28" s="795">
        <f ca="1">J18/(Master!J142-Master!J167)</f>
        <v>3.4509299788300858</v>
      </c>
      <c r="K28" s="795">
        <f ca="1">K18/(Master!K142-Master!K167)</f>
        <v>2.6333812570904649</v>
      </c>
      <c r="L28" s="795">
        <f ca="1">L18/(Master!L142-Master!L167)</f>
        <v>2.0609272288070146</v>
      </c>
      <c r="M28" s="795">
        <f ca="1">M18/(Master!M142-Master!M167)</f>
        <v>1.6551461475001843</v>
      </c>
      <c r="N28" s="795">
        <f ca="1">N18/(Master!N142-Master!N167)</f>
        <v>1.3457048417918773</v>
      </c>
      <c r="O28" s="795">
        <f ca="1">O18/(Master!O142-Master!O167)</f>
        <v>1.1091347902567621</v>
      </c>
      <c r="Q28" s="559"/>
      <c r="R28" s="559"/>
    </row>
    <row r="29" spans="2:19" ht="15.3" x14ac:dyDescent="0.55000000000000004">
      <c r="B29" s="568" t="s">
        <v>84</v>
      </c>
      <c r="C29" s="568"/>
      <c r="D29" s="635">
        <f>D18/Master!D56</f>
        <v>0</v>
      </c>
      <c r="E29" s="635">
        <f>E18/Master!E56</f>
        <v>-175.97323310204089</v>
      </c>
      <c r="F29" s="635">
        <f>F18/Master!F56</f>
        <v>-195.35402223053845</v>
      </c>
      <c r="G29" s="635">
        <f>G18/Master!G56</f>
        <v>-90.292417591780818</v>
      </c>
      <c r="H29" s="635">
        <f>H18/Master!H56</f>
        <v>37.710827699476781</v>
      </c>
      <c r="I29" s="635">
        <f>I18/Master!I56</f>
        <v>22.384560177867581</v>
      </c>
      <c r="J29" s="635">
        <f>J18/Master!J56</f>
        <v>14.231520876277401</v>
      </c>
      <c r="K29" s="635">
        <f>K18/Master!K56</f>
        <v>11.115685321415059</v>
      </c>
      <c r="L29" s="635">
        <f>L18/Master!L56</f>
        <v>9.4805990846840515</v>
      </c>
      <c r="M29" s="635">
        <f>M18/Master!M56</f>
        <v>8.4063449977818099</v>
      </c>
      <c r="N29" s="635">
        <f>N18/Master!N56</f>
        <v>7.1979342882677511</v>
      </c>
      <c r="O29" s="635">
        <f>O18/Master!O56</f>
        <v>6.3092012186791715</v>
      </c>
      <c r="Q29" s="801">
        <f>((7*H29)+(12*I29+5*J29))/24</f>
        <v>25.156171683838977</v>
      </c>
      <c r="R29" s="559"/>
    </row>
    <row r="30" spans="2:19" ht="15.3" x14ac:dyDescent="0.55000000000000004">
      <c r="B30" s="568" t="s">
        <v>1449</v>
      </c>
      <c r="C30" s="568"/>
      <c r="D30" s="635"/>
      <c r="E30" s="635"/>
      <c r="F30" s="635"/>
      <c r="G30" s="635">
        <f>G18/Master!G60</f>
        <v>153.50934579439252</v>
      </c>
      <c r="H30" s="635">
        <f>H18/Master!H60</f>
        <v>30.690188309665984</v>
      </c>
      <c r="I30" s="635">
        <f>I18/Master!I60</f>
        <v>19.591295618979437</v>
      </c>
      <c r="J30" s="635">
        <f>J18/Master!J60</f>
        <v>12.994698930041617</v>
      </c>
      <c r="K30" s="635">
        <f>K18/Master!K60</f>
        <v>10.31084547816268</v>
      </c>
      <c r="L30" s="635">
        <f>L18/Master!L60</f>
        <v>8.8611653321858803</v>
      </c>
      <c r="M30" s="635">
        <f>M18/Master!M60</f>
        <v>7.8926696994767465</v>
      </c>
      <c r="N30" s="635">
        <f>N18/Master!N60</f>
        <v>6.800041313084435</v>
      </c>
      <c r="O30" s="635">
        <f>O18/Master!O60</f>
        <v>5.986793944907097</v>
      </c>
      <c r="Q30" s="801">
        <f>((7*H30)+(12*I30+5*J30))/24</f>
        <v>21.454181676900969</v>
      </c>
      <c r="R30" s="559"/>
    </row>
    <row r="31" spans="2:19" ht="15.3" x14ac:dyDescent="0.55000000000000004">
      <c r="B31" s="568" t="s">
        <v>1089</v>
      </c>
      <c r="C31" s="568"/>
      <c r="D31" s="635"/>
      <c r="E31" s="706">
        <f>Master!E56/Master!E185</f>
        <v>-0.39146313627025781</v>
      </c>
      <c r="F31" s="706">
        <f>Master!F56/Master!F185</f>
        <v>-3.7456228316182068E-2</v>
      </c>
      <c r="G31" s="706">
        <f>Master!G56/Master!G185</f>
        <v>-7.440139564093283E-2</v>
      </c>
      <c r="H31" s="706">
        <f>Master!H56/Master!H185</f>
        <v>0.15167053051696702</v>
      </c>
      <c r="I31" s="706">
        <f>Master!I56/Master!I185</f>
        <v>0.2035149559304561</v>
      </c>
      <c r="J31" s="706">
        <f>Master!J56/Master!J185</f>
        <v>0.24248497464402832</v>
      </c>
      <c r="K31" s="706">
        <f>Master!K56/Master!K185</f>
        <v>0.23690678360758308</v>
      </c>
      <c r="L31" s="706">
        <f>Master!L56/Master!L185</f>
        <v>0.21738364953502262</v>
      </c>
      <c r="M31" s="706">
        <f>Master!M56/Master!M185</f>
        <v>0.19689248394360803</v>
      </c>
      <c r="N31" s="706">
        <f>Master!N56/Master!N185</f>
        <v>0.18695708906169153</v>
      </c>
      <c r="O31" s="706">
        <f>Master!O56/Master!O185</f>
        <v>0.1757963887683644</v>
      </c>
      <c r="Q31" s="559"/>
      <c r="R31" s="559"/>
    </row>
    <row r="32" spans="2:19" ht="15.3" x14ac:dyDescent="0.55000000000000004">
      <c r="B32" s="568" t="s">
        <v>1090</v>
      </c>
      <c r="C32" s="568"/>
      <c r="D32" s="635"/>
      <c r="E32" s="706">
        <f>Master!E56/Master!E142</f>
        <v>-1.6843406906516287E-2</v>
      </c>
      <c r="F32" s="706">
        <f>Master!F56/Master!F142</f>
        <v>-8.3792589801012125E-3</v>
      </c>
      <c r="G32" s="706">
        <f>Master!G56/Master!G142</f>
        <v>-1.216286509923745E-2</v>
      </c>
      <c r="H32" s="706">
        <f ca="1">Master!H56/Master!H142</f>
        <v>2.6353740038705099E-2</v>
      </c>
      <c r="I32" s="706">
        <f ca="1">Master!I56/Master!I142</f>
        <v>3.7237045414321351E-2</v>
      </c>
      <c r="J32" s="706">
        <f ca="1">Master!J56/Master!J142</f>
        <v>4.6875460022742628E-2</v>
      </c>
      <c r="K32" s="706">
        <f ca="1">Master!K56/Master!K142</f>
        <v>4.917603455654182E-2</v>
      </c>
      <c r="L32" s="706">
        <f ca="1">Master!L56/Master!L142</f>
        <v>4.829170313597083E-2</v>
      </c>
      <c r="M32" s="706">
        <f ca="1">Master!M56/Master!M142</f>
        <v>4.6645012837684116E-2</v>
      </c>
      <c r="N32" s="706">
        <f ca="1">Master!N56/Master!N142</f>
        <v>4.7052543964705304E-2</v>
      </c>
      <c r="O32" s="706">
        <f ca="1">Master!O56/Master!O142</f>
        <v>4.6755376537533797E-2</v>
      </c>
      <c r="Q32" s="559"/>
      <c r="R32" s="559"/>
    </row>
    <row r="33" spans="2:18" ht="15.3" x14ac:dyDescent="0.55000000000000004">
      <c r="B33" s="568"/>
      <c r="C33" s="568"/>
      <c r="D33" s="635"/>
      <c r="E33" s="635"/>
      <c r="F33" s="635"/>
      <c r="G33" s="635"/>
      <c r="H33" s="635"/>
      <c r="I33" s="635"/>
      <c r="J33" s="635"/>
      <c r="K33" s="635"/>
      <c r="L33" s="635"/>
      <c r="M33" s="635"/>
      <c r="N33" s="635"/>
      <c r="O33" s="635"/>
      <c r="Q33" s="559"/>
      <c r="R33" s="559"/>
    </row>
    <row r="34" spans="2:18" ht="15.3" x14ac:dyDescent="0.55000000000000004">
      <c r="B34" s="568"/>
      <c r="C34" s="568"/>
      <c r="D34" s="635"/>
      <c r="E34" s="635"/>
      <c r="F34" s="635"/>
      <c r="G34" s="635"/>
      <c r="H34" s="635"/>
      <c r="I34" s="635"/>
      <c r="J34" s="635"/>
      <c r="K34" s="635"/>
      <c r="L34" s="635"/>
      <c r="M34" s="635"/>
      <c r="N34" s="635"/>
      <c r="O34" s="635"/>
      <c r="Q34" s="559"/>
      <c r="R34" s="559"/>
    </row>
    <row r="35" spans="2:18" x14ac:dyDescent="0.5">
      <c r="B35" s="597" t="s">
        <v>71</v>
      </c>
      <c r="C35" s="597"/>
      <c r="D35" s="597">
        <v>2019</v>
      </c>
      <c r="E35" s="597">
        <v>2020</v>
      </c>
      <c r="F35" s="597">
        <v>2021</v>
      </c>
      <c r="G35" s="597">
        <v>2022</v>
      </c>
      <c r="H35" s="597">
        <v>2023</v>
      </c>
      <c r="I35" s="597">
        <v>2024</v>
      </c>
      <c r="J35" s="597">
        <v>2025</v>
      </c>
      <c r="K35" s="597">
        <v>2026</v>
      </c>
      <c r="L35" s="597">
        <v>2027</v>
      </c>
      <c r="M35" s="597">
        <v>2028</v>
      </c>
      <c r="N35" s="597">
        <v>2029</v>
      </c>
      <c r="O35" s="597">
        <v>2030</v>
      </c>
      <c r="P35" s="611"/>
      <c r="Q35" s="611"/>
      <c r="R35" s="611"/>
    </row>
    <row r="36" spans="2:18" x14ac:dyDescent="0.5">
      <c r="B36" s="568" t="s">
        <v>384</v>
      </c>
      <c r="C36" s="568"/>
      <c r="D36" s="568"/>
      <c r="E36" s="656">
        <f>Master!E56+Master!E86+Master!E110+Master!E111</f>
        <v>-172.05799999999994</v>
      </c>
      <c r="F36" s="656">
        <f>Master!F56+Master!F86+Master!F110+Master!F111</f>
        <v>-177.55982999999975</v>
      </c>
      <c r="G36" s="656">
        <f>Master!G56+Master!G86+Master!G110+Master!G111</f>
        <v>-428.88443888679194</v>
      </c>
      <c r="H36" s="656">
        <f>Master!H56+Master!H86+Master!H110+Master!H111</f>
        <v>798.64011805925759</v>
      </c>
      <c r="I36" s="656">
        <f>Master!I56+Master!I86+Master!I110+Master!I111</f>
        <v>1374.8393576579069</v>
      </c>
      <c r="J36" s="656">
        <f>Master!J56+Master!J86+Master!J110+Master!J111</f>
        <v>2193.8937124226368</v>
      </c>
      <c r="K36" s="656">
        <f>Master!K56+Master!K86+Master!K110+Master!K111</f>
        <v>2821.0311478538174</v>
      </c>
      <c r="L36" s="656">
        <f>Master!L56+Master!L86+Master!L110+Master!L111</f>
        <v>3312.0259973189964</v>
      </c>
      <c r="M36" s="656">
        <f>Master!M56+Master!M86+Master!M110+Master!M111</f>
        <v>3738.8697247387963</v>
      </c>
      <c r="N36" s="656">
        <f>Master!N56+Master!N86+Master!N110+Master!N111</f>
        <v>4375.3171868572463</v>
      </c>
      <c r="O36" s="656">
        <f>Master!O56+Master!O86+Master!O110+Master!O111</f>
        <v>4999.1517182068919</v>
      </c>
      <c r="P36" s="611"/>
      <c r="Q36" s="611"/>
      <c r="R36" s="611"/>
    </row>
    <row r="37" spans="2:18" x14ac:dyDescent="0.5">
      <c r="B37" s="568"/>
      <c r="C37" s="568"/>
      <c r="D37" s="568"/>
      <c r="E37" s="655"/>
      <c r="F37" s="655"/>
      <c r="G37" s="655"/>
      <c r="H37" s="655"/>
      <c r="I37" s="655"/>
      <c r="J37" s="655"/>
      <c r="K37" s="655"/>
      <c r="L37" s="655"/>
      <c r="M37" s="655"/>
      <c r="N37" s="655"/>
      <c r="O37" s="655"/>
      <c r="P37" s="611"/>
      <c r="Q37" s="611"/>
      <c r="R37" s="611"/>
    </row>
    <row r="38" spans="2:18" x14ac:dyDescent="0.5">
      <c r="B38" s="568" t="s">
        <v>71</v>
      </c>
      <c r="C38" s="568"/>
      <c r="D38" s="568"/>
      <c r="E38" s="568"/>
      <c r="F38" s="568"/>
      <c r="G38" s="568"/>
      <c r="H38" s="568"/>
      <c r="I38" s="568"/>
      <c r="J38" s="568"/>
      <c r="K38" s="568"/>
      <c r="L38" s="568"/>
      <c r="M38" s="568"/>
      <c r="N38" s="568"/>
      <c r="O38" s="568"/>
      <c r="P38" s="611"/>
      <c r="Q38" s="611"/>
      <c r="R38" s="611"/>
    </row>
    <row r="39" spans="2:18" x14ac:dyDescent="0.5">
      <c r="B39" s="568"/>
      <c r="C39" s="568"/>
      <c r="D39" s="568"/>
      <c r="E39" s="568"/>
      <c r="F39" s="568"/>
      <c r="G39" s="568"/>
      <c r="H39" s="568"/>
      <c r="I39" s="568"/>
      <c r="J39" s="568"/>
      <c r="K39" s="568"/>
      <c r="L39" s="568"/>
      <c r="M39" s="568"/>
      <c r="N39" s="568"/>
      <c r="O39" s="568"/>
      <c r="P39" s="611"/>
      <c r="Q39" s="611"/>
      <c r="R39" s="611"/>
    </row>
    <row r="40" spans="2:18" x14ac:dyDescent="0.5">
      <c r="B40" s="568" t="s">
        <v>85</v>
      </c>
      <c r="C40" s="802">
        <v>0.129</v>
      </c>
      <c r="D40" s="568"/>
      <c r="E40" s="568"/>
      <c r="F40" s="568"/>
      <c r="G40" s="568"/>
      <c r="H40" s="568"/>
      <c r="I40" s="568"/>
      <c r="J40" s="568"/>
      <c r="K40" s="568"/>
      <c r="L40" s="568"/>
      <c r="M40" s="568"/>
      <c r="N40" s="568"/>
      <c r="O40" s="568"/>
      <c r="P40" s="611"/>
      <c r="Q40" s="611"/>
      <c r="R40" s="611"/>
    </row>
    <row r="41" spans="2:18" x14ac:dyDescent="0.5">
      <c r="B41" s="568" t="s">
        <v>379</v>
      </c>
      <c r="C41" s="802">
        <v>4.2500000000000003E-2</v>
      </c>
      <c r="D41" s="568"/>
      <c r="E41" s="568"/>
      <c r="F41" s="568"/>
      <c r="G41" s="568"/>
      <c r="H41" s="568"/>
      <c r="I41" s="568"/>
      <c r="J41" s="568"/>
      <c r="K41" s="568"/>
      <c r="L41" s="568"/>
      <c r="M41" s="568"/>
      <c r="N41" s="568"/>
      <c r="O41" s="568"/>
      <c r="P41" s="611"/>
      <c r="Q41" s="611"/>
      <c r="R41" s="611"/>
    </row>
    <row r="42" spans="2:18" x14ac:dyDescent="0.5">
      <c r="B42" s="568" t="s">
        <v>380</v>
      </c>
      <c r="C42" s="700">
        <f>1/(C40-C41)</f>
        <v>11.560693641618498</v>
      </c>
      <c r="D42" s="568"/>
      <c r="E42" s="568"/>
      <c r="F42" s="568"/>
      <c r="G42" s="568"/>
      <c r="H42" s="568"/>
      <c r="I42" s="568"/>
      <c r="J42" s="568"/>
      <c r="K42" s="568"/>
      <c r="L42" s="568"/>
      <c r="M42" s="568"/>
      <c r="N42" s="568"/>
      <c r="O42" s="568"/>
    </row>
    <row r="43" spans="2:18" x14ac:dyDescent="0.5">
      <c r="B43" s="568"/>
      <c r="C43" s="568"/>
      <c r="D43" s="568"/>
      <c r="E43" s="568"/>
      <c r="F43" s="568"/>
      <c r="G43" s="568"/>
      <c r="H43" s="568"/>
      <c r="I43" s="568"/>
      <c r="J43" s="568"/>
      <c r="K43" s="568"/>
      <c r="L43" s="568"/>
      <c r="M43" s="568"/>
      <c r="N43" s="568"/>
      <c r="O43" s="568"/>
    </row>
    <row r="44" spans="2:18" x14ac:dyDescent="0.5">
      <c r="B44" s="568" t="s">
        <v>381</v>
      </c>
      <c r="C44" s="635">
        <f>NPV(C40,I36:O36)</f>
        <v>13226.98890600206</v>
      </c>
      <c r="D44" s="568"/>
      <c r="E44" s="568"/>
      <c r="F44" s="568"/>
      <c r="G44" s="568"/>
      <c r="H44" s="568"/>
      <c r="I44" s="568"/>
      <c r="J44" s="568"/>
      <c r="K44" s="568"/>
      <c r="L44" s="568"/>
      <c r="M44" s="568"/>
      <c r="N44" s="568"/>
      <c r="O44" s="568"/>
    </row>
    <row r="45" spans="2:18" x14ac:dyDescent="0.5">
      <c r="B45" s="568" t="s">
        <v>86</v>
      </c>
      <c r="C45" s="635">
        <f>C42*O36</f>
        <v>57793.661482160605</v>
      </c>
      <c r="D45" s="568"/>
      <c r="E45" s="568"/>
      <c r="F45" s="568"/>
      <c r="G45" s="568"/>
      <c r="H45" s="568"/>
      <c r="I45" s="568"/>
      <c r="J45" s="568"/>
      <c r="K45" s="568"/>
      <c r="L45" s="568"/>
      <c r="M45" s="568"/>
      <c r="N45" s="568"/>
      <c r="O45" s="568"/>
    </row>
    <row r="46" spans="2:18" x14ac:dyDescent="0.5">
      <c r="B46" s="568" t="s">
        <v>382</v>
      </c>
      <c r="C46" s="635">
        <f>C45/(1+C40)^(O35-I35+1)</f>
        <v>24718.528659067761</v>
      </c>
      <c r="D46" s="571">
        <f>C46/C47</f>
        <v>0.65142157085299668</v>
      </c>
      <c r="E46" s="568"/>
      <c r="F46" s="568"/>
      <c r="G46" s="568"/>
      <c r="H46" s="568"/>
      <c r="I46" s="568"/>
      <c r="J46" s="568"/>
      <c r="K46" s="568"/>
      <c r="L46" s="568"/>
      <c r="M46" s="568"/>
      <c r="N46" s="568"/>
      <c r="O46" s="568"/>
    </row>
    <row r="47" spans="2:18" x14ac:dyDescent="0.5">
      <c r="B47" s="568" t="s">
        <v>78</v>
      </c>
      <c r="C47" s="635">
        <f>C44+C46</f>
        <v>37945.517565069822</v>
      </c>
      <c r="D47" s="568"/>
      <c r="E47" s="568"/>
      <c r="F47" s="568"/>
      <c r="G47" s="568"/>
      <c r="H47" s="568"/>
      <c r="I47" s="568"/>
      <c r="J47" s="568"/>
      <c r="K47" s="568"/>
      <c r="L47" s="568"/>
      <c r="M47" s="568"/>
      <c r="N47" s="568"/>
      <c r="O47" s="568"/>
    </row>
    <row r="48" spans="2:18" x14ac:dyDescent="0.5">
      <c r="B48" s="568" t="s">
        <v>383</v>
      </c>
      <c r="C48" s="635">
        <f>F17</f>
        <v>4643.8673490000001</v>
      </c>
      <c r="D48" s="568"/>
      <c r="E48" s="568"/>
      <c r="F48" s="568"/>
      <c r="G48" s="568"/>
      <c r="H48" s="568"/>
      <c r="I48" s="568"/>
      <c r="J48" s="568"/>
      <c r="K48" s="568"/>
      <c r="L48" s="568"/>
      <c r="M48" s="568"/>
      <c r="N48" s="568"/>
      <c r="O48" s="568"/>
    </row>
    <row r="49" spans="2:15" x14ac:dyDescent="0.5">
      <c r="B49" s="568" t="s">
        <v>75</v>
      </c>
      <c r="C49" s="700">
        <f>C47/C48</f>
        <v>8.1711028143904514</v>
      </c>
      <c r="D49" s="568"/>
      <c r="E49" s="568"/>
      <c r="F49" s="568"/>
      <c r="G49" s="568"/>
      <c r="H49" s="568"/>
      <c r="I49" s="568"/>
      <c r="J49" s="568"/>
      <c r="K49" s="568"/>
      <c r="L49" s="568"/>
      <c r="M49" s="568"/>
      <c r="N49" s="568"/>
      <c r="O49" s="568"/>
    </row>
    <row r="50" spans="2:15" x14ac:dyDescent="0.5">
      <c r="B50" s="568" t="s">
        <v>77</v>
      </c>
      <c r="C50" s="655">
        <f>C49/B14-1</f>
        <v>0.16730040205577867</v>
      </c>
      <c r="D50" s="568"/>
      <c r="E50" s="568"/>
      <c r="F50" s="568"/>
      <c r="G50" s="568"/>
      <c r="H50" s="568"/>
      <c r="I50" s="568"/>
      <c r="J50" s="568"/>
      <c r="K50" s="568"/>
      <c r="L50" s="568"/>
      <c r="M50" s="568"/>
      <c r="N50" s="568"/>
      <c r="O50" s="568"/>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18193-97FF-4D14-8B72-C8AB554B9DBB}">
  <dimension ref="B2:N48"/>
  <sheetViews>
    <sheetView zoomScale="80" zoomScaleNormal="80" workbookViewId="0">
      <selection activeCell="L43" sqref="L43"/>
    </sheetView>
  </sheetViews>
  <sheetFormatPr defaultRowHeight="15.6" x14ac:dyDescent="0.6"/>
  <cols>
    <col min="2" max="2" width="14.796875" bestFit="1" customWidth="1"/>
  </cols>
  <sheetData>
    <row r="2" spans="2:14" x14ac:dyDescent="0.6">
      <c r="B2" s="235" t="s">
        <v>84</v>
      </c>
      <c r="C2" s="597">
        <v>2020</v>
      </c>
      <c r="D2" s="597">
        <v>2021</v>
      </c>
      <c r="E2" s="597">
        <v>2022</v>
      </c>
      <c r="F2" s="597">
        <v>2023</v>
      </c>
      <c r="G2" s="597">
        <v>2024</v>
      </c>
      <c r="H2" s="597">
        <v>2025</v>
      </c>
      <c r="I2" s="597">
        <v>2026</v>
      </c>
      <c r="J2" s="597">
        <v>2027</v>
      </c>
      <c r="N2" t="s">
        <v>1094</v>
      </c>
    </row>
    <row r="3" spans="2:14" x14ac:dyDescent="0.6">
      <c r="B3" t="s">
        <v>132</v>
      </c>
      <c r="C3" s="804">
        <f>Valuation!E29</f>
        <v>-175.97323310204089</v>
      </c>
      <c r="D3" s="804">
        <f>Valuation!F29</f>
        <v>-195.35402223053845</v>
      </c>
      <c r="E3" s="804">
        <f>Valuation!G29</f>
        <v>-90.292417591780818</v>
      </c>
      <c r="F3" s="804">
        <f>Valuation!H29</f>
        <v>37.710827699476781</v>
      </c>
      <c r="G3" s="804">
        <f>Valuation!I29</f>
        <v>22.384560177867581</v>
      </c>
      <c r="H3" s="804">
        <f>Valuation!J29</f>
        <v>14.231520876277401</v>
      </c>
      <c r="I3" s="804">
        <f>Valuation!K29</f>
        <v>11.115685321415059</v>
      </c>
      <c r="J3" s="804">
        <f>Valuation!L29</f>
        <v>9.4805990846840515</v>
      </c>
      <c r="N3" t="s">
        <v>1095</v>
      </c>
    </row>
    <row r="4" spans="2:14" x14ac:dyDescent="0.6">
      <c r="B4" t="s">
        <v>488</v>
      </c>
      <c r="C4" s="804">
        <v>13.895801544189453</v>
      </c>
      <c r="D4" s="804">
        <v>7.622767448425293</v>
      </c>
      <c r="E4" s="804">
        <v>7.288205623626709</v>
      </c>
      <c r="F4" s="804">
        <v>6.5398283004760742</v>
      </c>
      <c r="G4" s="804">
        <v>5.8972330093383789</v>
      </c>
      <c r="H4" s="804">
        <v>5.6322321891784668</v>
      </c>
      <c r="I4" s="804">
        <v>5.5130281448364258</v>
      </c>
      <c r="J4" s="804">
        <v>6.210594654083252</v>
      </c>
      <c r="N4" t="s">
        <v>1096</v>
      </c>
    </row>
    <row r="5" spans="2:14" x14ac:dyDescent="0.6">
      <c r="B5" t="s">
        <v>697</v>
      </c>
      <c r="C5" s="804">
        <v>12.323408126831055</v>
      </c>
      <c r="D5" s="804">
        <v>7.1006321907043457</v>
      </c>
      <c r="E5" s="804">
        <v>6.2648887634277344</v>
      </c>
      <c r="F5" s="804">
        <v>5.6400551795959473</v>
      </c>
      <c r="G5" s="804">
        <v>5.2337360382080078</v>
      </c>
      <c r="H5" s="804">
        <v>4.8953838348388672</v>
      </c>
      <c r="I5" s="804">
        <v>4.6436038017272949</v>
      </c>
      <c r="J5" s="804">
        <v>4.198544979095459</v>
      </c>
      <c r="N5" t="s">
        <v>1097</v>
      </c>
    </row>
    <row r="6" spans="2:14" x14ac:dyDescent="0.6">
      <c r="B6" t="s">
        <v>1091</v>
      </c>
      <c r="C6" s="804">
        <v>11.799598693847656</v>
      </c>
      <c r="D6" s="804">
        <v>6.8886170387268066</v>
      </c>
      <c r="E6" s="804">
        <v>6.3126769065856934</v>
      </c>
      <c r="F6" s="804">
        <v>5.7163748741149902</v>
      </c>
      <c r="G6" s="804">
        <v>5.241605281829834</v>
      </c>
      <c r="H6" s="804">
        <v>5.063199520111084</v>
      </c>
      <c r="I6" s="804">
        <v>4.8893070220947266</v>
      </c>
      <c r="J6" s="804">
        <v>4.4655075073242188</v>
      </c>
      <c r="N6" t="s">
        <v>1098</v>
      </c>
    </row>
    <row r="7" spans="2:14" x14ac:dyDescent="0.6">
      <c r="B7" t="s">
        <v>1093</v>
      </c>
      <c r="C7" s="804">
        <v>8.007176399230957</v>
      </c>
      <c r="D7" s="804">
        <v>3.932581901550293</v>
      </c>
      <c r="E7" s="804">
        <v>3.8397719860076904</v>
      </c>
      <c r="F7" s="804">
        <v>3.6715285778045654</v>
      </c>
      <c r="G7" s="804">
        <v>3.5607395172119141</v>
      </c>
      <c r="H7" s="804">
        <v>3.3885726928710938</v>
      </c>
      <c r="I7" s="804">
        <v>3.1577699184417725</v>
      </c>
      <c r="J7" s="804">
        <v>2.8538753986358643</v>
      </c>
      <c r="N7" t="s">
        <v>1099</v>
      </c>
    </row>
    <row r="8" spans="2:14" x14ac:dyDescent="0.6">
      <c r="B8" t="s">
        <v>393</v>
      </c>
      <c r="C8" s="804">
        <v>1425.1841494348523</v>
      </c>
      <c r="D8" s="804">
        <v>739.42787136812399</v>
      </c>
      <c r="E8" s="804">
        <v>-40.549687840394576</v>
      </c>
      <c r="F8" s="804">
        <v>45.302657840367168</v>
      </c>
      <c r="G8" s="804">
        <v>15.328122026020516</v>
      </c>
      <c r="H8" s="804">
        <v>8.3060915557119959</v>
      </c>
      <c r="I8" s="804">
        <v>7.4082306522832715</v>
      </c>
      <c r="J8" s="804">
        <v>6.2557651609946534</v>
      </c>
    </row>
    <row r="9" spans="2:14" x14ac:dyDescent="0.6">
      <c r="C9" s="803"/>
      <c r="D9" s="803"/>
      <c r="E9" s="803"/>
      <c r="F9" s="803"/>
      <c r="G9" s="803"/>
      <c r="H9" s="803"/>
      <c r="I9" s="803"/>
      <c r="J9" s="803"/>
    </row>
    <row r="10" spans="2:14" x14ac:dyDescent="0.6">
      <c r="B10" s="235" t="s">
        <v>434</v>
      </c>
      <c r="C10" s="597">
        <v>2020</v>
      </c>
      <c r="D10" s="597">
        <v>2021</v>
      </c>
      <c r="E10" s="597">
        <v>2022</v>
      </c>
      <c r="F10" s="597">
        <v>2023</v>
      </c>
      <c r="G10" s="597">
        <v>2024</v>
      </c>
      <c r="H10" s="597">
        <v>2025</v>
      </c>
      <c r="I10" s="597">
        <v>2026</v>
      </c>
      <c r="J10" s="597">
        <v>2027</v>
      </c>
    </row>
    <row r="11" spans="2:14" x14ac:dyDescent="0.6">
      <c r="B11" t="s">
        <v>132</v>
      </c>
      <c r="C11" s="804">
        <f>Valuation!E28</f>
        <v>64.786930306831792</v>
      </c>
      <c r="D11" s="804">
        <f>Valuation!F28</f>
        <v>7.3172643893090372</v>
      </c>
      <c r="E11" s="804">
        <f>Valuation!G28</f>
        <v>6.719232578593199</v>
      </c>
      <c r="F11" s="804">
        <f ca="1">Valuation!H28</f>
        <v>5.7196212434135791</v>
      </c>
      <c r="G11" s="804">
        <f ca="1">Valuation!I28</f>
        <v>4.5555927781213637</v>
      </c>
      <c r="H11" s="804">
        <f ca="1">Valuation!J28</f>
        <v>3.4509299788300858</v>
      </c>
      <c r="I11" s="804">
        <f ca="1">Valuation!K28</f>
        <v>2.6333812570904649</v>
      </c>
      <c r="J11" s="804">
        <f ca="1">Valuation!L28</f>
        <v>2.0609272288070146</v>
      </c>
    </row>
    <row r="12" spans="2:14" x14ac:dyDescent="0.6">
      <c r="B12" t="s">
        <v>488</v>
      </c>
      <c r="C12" s="804">
        <v>1.8856766223907471</v>
      </c>
      <c r="D12" s="804">
        <v>1.4174010753631592</v>
      </c>
      <c r="E12" s="804">
        <v>1.3680160045623779</v>
      </c>
      <c r="F12" s="804">
        <v>1.2277538776397705</v>
      </c>
      <c r="G12" s="804">
        <v>1.1129028797149658</v>
      </c>
      <c r="H12" s="804">
        <v>1.0498019456863403</v>
      </c>
      <c r="I12" s="804">
        <v>0.99848169088363647</v>
      </c>
      <c r="J12" s="804">
        <v>1.0178158283233643</v>
      </c>
    </row>
    <row r="13" spans="2:14" x14ac:dyDescent="0.6">
      <c r="B13" t="s">
        <v>697</v>
      </c>
      <c r="C13" s="804">
        <v>1.6687030792236328</v>
      </c>
      <c r="D13" s="804">
        <v>1.2651888132095337</v>
      </c>
      <c r="E13" s="804">
        <v>1.091179370880127</v>
      </c>
      <c r="F13" s="804">
        <v>0.99504554271697998</v>
      </c>
      <c r="G13" s="804">
        <v>0.91247260570526123</v>
      </c>
      <c r="H13" s="804">
        <v>0.85903263092041016</v>
      </c>
      <c r="I13" s="804">
        <v>0.80143076181411743</v>
      </c>
      <c r="J13" s="804">
        <v>0.72996115684509277</v>
      </c>
    </row>
    <row r="14" spans="2:14" x14ac:dyDescent="0.6">
      <c r="B14" t="s">
        <v>1091</v>
      </c>
      <c r="C14" s="804">
        <v>2.046090841293335</v>
      </c>
      <c r="D14" s="804">
        <v>1.4539557695388794</v>
      </c>
      <c r="E14" s="804">
        <v>1.1896272897720337</v>
      </c>
      <c r="F14" s="804">
        <v>1.081218957901001</v>
      </c>
      <c r="G14" s="804">
        <v>0.97874778509140015</v>
      </c>
      <c r="H14" s="804">
        <v>0.91934108734130859</v>
      </c>
      <c r="I14" s="804">
        <v>0.85457330942153931</v>
      </c>
      <c r="J14" s="804">
        <v>0.76306277513504028</v>
      </c>
    </row>
    <row r="15" spans="2:14" x14ac:dyDescent="0.6">
      <c r="B15" t="s">
        <v>1093</v>
      </c>
      <c r="C15" s="804">
        <v>0.88851547241210938</v>
      </c>
      <c r="D15" s="804">
        <v>0.57544714212417603</v>
      </c>
      <c r="E15" s="804">
        <v>0.60719394683837891</v>
      </c>
      <c r="F15" s="804">
        <v>0.56146645545959473</v>
      </c>
      <c r="G15" s="804">
        <v>0.52110421657562256</v>
      </c>
      <c r="H15" s="804">
        <v>0.4666748046875</v>
      </c>
      <c r="I15" s="804">
        <v>0.426614910364151</v>
      </c>
      <c r="J15" s="804">
        <v>0.39198365807533264</v>
      </c>
    </row>
    <row r="16" spans="2:14" x14ac:dyDescent="0.6">
      <c r="B16" t="s">
        <v>393</v>
      </c>
      <c r="C16" s="804">
        <v>2.372856884151969</v>
      </c>
      <c r="D16" s="804">
        <v>1.0439463316239246</v>
      </c>
      <c r="E16" s="804">
        <v>0.14825450338597565</v>
      </c>
      <c r="F16" s="804">
        <v>0.14633764250183162</v>
      </c>
      <c r="G16" s="804">
        <v>0.14164653398754384</v>
      </c>
      <c r="H16" s="804">
        <v>0.13489419475346875</v>
      </c>
      <c r="I16" s="804">
        <v>0.12924241277014634</v>
      </c>
      <c r="J16" s="804">
        <v>0.12444018901529631</v>
      </c>
    </row>
    <row r="18" spans="2:10" x14ac:dyDescent="0.6">
      <c r="B18" s="235" t="s">
        <v>1089</v>
      </c>
      <c r="C18" s="597">
        <v>2020</v>
      </c>
      <c r="D18" s="597">
        <v>2021</v>
      </c>
      <c r="E18" s="597">
        <v>2022</v>
      </c>
      <c r="F18" s="597">
        <v>2023</v>
      </c>
      <c r="G18" s="597">
        <v>2024</v>
      </c>
      <c r="H18" s="597">
        <v>2025</v>
      </c>
      <c r="I18" s="597">
        <v>2026</v>
      </c>
      <c r="J18" s="597">
        <v>2027</v>
      </c>
    </row>
    <row r="19" spans="2:10" x14ac:dyDescent="0.6">
      <c r="B19" s="354" t="s">
        <v>132</v>
      </c>
      <c r="C19" s="806">
        <f>Valuation!E31</f>
        <v>-0.39146313627025781</v>
      </c>
      <c r="D19" s="806">
        <f>Valuation!F31</f>
        <v>-3.7456228316182068E-2</v>
      </c>
      <c r="E19" s="806">
        <f>Valuation!G31</f>
        <v>-7.440139564093283E-2</v>
      </c>
      <c r="F19" s="806">
        <f>Valuation!H31</f>
        <v>0.15167053051696702</v>
      </c>
      <c r="G19" s="806">
        <f>Valuation!I31</f>
        <v>0.2035149559304561</v>
      </c>
      <c r="H19" s="806">
        <f>Valuation!J31</f>
        <v>0.24248497464402832</v>
      </c>
      <c r="I19" s="806">
        <f>Valuation!K31</f>
        <v>0.23690678360758308</v>
      </c>
      <c r="J19" s="806">
        <f>Valuation!L31</f>
        <v>0.21738364953502262</v>
      </c>
    </row>
    <row r="20" spans="2:10" x14ac:dyDescent="0.6">
      <c r="B20" t="s">
        <v>488</v>
      </c>
      <c r="C20" s="194">
        <v>0.12759045600891114</v>
      </c>
      <c r="D20" s="194">
        <v>0.17725357055664062</v>
      </c>
      <c r="E20" s="194">
        <v>0.18563161849975585</v>
      </c>
      <c r="F20" s="194">
        <v>0.18554628372192383</v>
      </c>
      <c r="G20" s="194">
        <v>0.18612653732299805</v>
      </c>
      <c r="H20" s="194">
        <v>0.18235416412353517</v>
      </c>
      <c r="I20" s="194">
        <v>0.17732147216796876</v>
      </c>
      <c r="J20" s="194">
        <v>0.16981634140014648</v>
      </c>
    </row>
    <row r="21" spans="2:10" x14ac:dyDescent="0.6">
      <c r="B21" t="s">
        <v>697</v>
      </c>
      <c r="C21" s="194">
        <v>0.13852413177490233</v>
      </c>
      <c r="D21" s="194">
        <v>0.17822771072387694</v>
      </c>
      <c r="E21" s="194">
        <v>0.18145479202270509</v>
      </c>
      <c r="F21" s="194">
        <v>0.18403053283691406</v>
      </c>
      <c r="G21" s="194">
        <v>0.18069332122802734</v>
      </c>
      <c r="H21" s="194">
        <v>0.17985008239746095</v>
      </c>
      <c r="I21" s="194">
        <v>0.17747835159301759</v>
      </c>
      <c r="J21" s="194">
        <v>0.18189771652221678</v>
      </c>
    </row>
    <row r="22" spans="2:10" x14ac:dyDescent="0.6">
      <c r="B22" t="s">
        <v>1091</v>
      </c>
      <c r="C22" s="194">
        <v>0.17614681243896485</v>
      </c>
      <c r="D22" s="194">
        <v>0.18855079650878906</v>
      </c>
      <c r="E22" s="194">
        <v>0.19394872665405274</v>
      </c>
      <c r="F22" s="194">
        <v>0.19523067474365235</v>
      </c>
      <c r="G22" s="194">
        <v>0.19174320220947266</v>
      </c>
      <c r="H22" s="194">
        <v>0.1839130401611328</v>
      </c>
      <c r="I22" s="194">
        <v>0.17690214157104492</v>
      </c>
      <c r="J22" s="194">
        <v>0.17666311264038087</v>
      </c>
    </row>
    <row r="23" spans="2:10" x14ac:dyDescent="0.6">
      <c r="B23" t="s">
        <v>1093</v>
      </c>
      <c r="C23" s="194">
        <v>0.12008397102355957</v>
      </c>
      <c r="D23" s="194">
        <v>0.15771991729736329</v>
      </c>
      <c r="E23" s="194">
        <v>0.16632966995239257</v>
      </c>
      <c r="F23" s="194">
        <v>0.15921351432800293</v>
      </c>
      <c r="G23" s="194">
        <v>0.15150238037109376</v>
      </c>
      <c r="H23" s="194">
        <v>0.14397494316101075</v>
      </c>
      <c r="I23" s="194">
        <v>0.14199460029602051</v>
      </c>
      <c r="J23" s="194">
        <v>0.14471800804138182</v>
      </c>
    </row>
    <row r="24" spans="2:10" x14ac:dyDescent="0.6">
      <c r="B24" t="s">
        <v>393</v>
      </c>
      <c r="C24" s="194">
        <v>2.0100564960405468E-3</v>
      </c>
      <c r="D24" s="194">
        <v>1.0831429999956703E-2</v>
      </c>
      <c r="E24" s="194">
        <v>-1.7966823912967105E-2</v>
      </c>
      <c r="F24" s="194">
        <v>1.735154550362987E-2</v>
      </c>
      <c r="G24" s="194">
        <v>5.01214345174089E-2</v>
      </c>
      <c r="H24" s="194">
        <v>8.8789672909908385E-2</v>
      </c>
      <c r="I24" s="194">
        <v>9.5098635787328939E-2</v>
      </c>
      <c r="J24" s="194">
        <v>0.10817170119672194</v>
      </c>
    </row>
    <row r="26" spans="2:10" x14ac:dyDescent="0.6">
      <c r="B26" s="235" t="s">
        <v>1090</v>
      </c>
      <c r="C26" s="597">
        <v>2020</v>
      </c>
      <c r="D26" s="597">
        <v>2021</v>
      </c>
      <c r="E26" s="597">
        <v>2022</v>
      </c>
      <c r="F26" s="597">
        <v>2023</v>
      </c>
      <c r="G26" s="597">
        <v>2024</v>
      </c>
      <c r="H26" s="597">
        <v>2025</v>
      </c>
      <c r="I26" s="597">
        <v>2026</v>
      </c>
      <c r="J26" s="597">
        <v>2027</v>
      </c>
    </row>
    <row r="27" spans="2:10" x14ac:dyDescent="0.6">
      <c r="B27" s="354" t="s">
        <v>132</v>
      </c>
      <c r="C27" s="806">
        <f>Valuation!E32</f>
        <v>-1.6843406906516287E-2</v>
      </c>
      <c r="D27" s="806">
        <f>Valuation!F32</f>
        <v>-8.3792589801012125E-3</v>
      </c>
      <c r="E27" s="806">
        <f>Valuation!G32</f>
        <v>-1.216286509923745E-2</v>
      </c>
      <c r="F27" s="806">
        <f ca="1">Valuation!H32</f>
        <v>2.6353740038705099E-2</v>
      </c>
      <c r="G27" s="806">
        <f ca="1">Valuation!I32</f>
        <v>3.7237045414321351E-2</v>
      </c>
      <c r="H27" s="806">
        <f ca="1">Valuation!J32</f>
        <v>4.6875460022742628E-2</v>
      </c>
      <c r="I27" s="806">
        <f ca="1">Valuation!K32</f>
        <v>4.917603455654182E-2</v>
      </c>
      <c r="J27" s="806">
        <f ca="1">Valuation!L32</f>
        <v>4.829170313597083E-2</v>
      </c>
    </row>
    <row r="28" spans="2:10" x14ac:dyDescent="0.6">
      <c r="B28" t="s">
        <v>488</v>
      </c>
      <c r="C28" s="194">
        <v>9.6258211135864264E-3</v>
      </c>
      <c r="D28" s="194">
        <v>1.2560616731643676E-2</v>
      </c>
      <c r="E28" s="194">
        <v>1.3439013957977294E-2</v>
      </c>
      <c r="F28" s="194">
        <v>1.3799663782119751E-2</v>
      </c>
      <c r="G28" s="194">
        <v>1.4168158769607545E-2</v>
      </c>
      <c r="H28" s="194">
        <v>1.3570921421051025E-2</v>
      </c>
      <c r="I28" s="194">
        <v>1.2555663585662841E-2</v>
      </c>
      <c r="J28" s="194">
        <v>1.1106677055358886E-2</v>
      </c>
    </row>
    <row r="29" spans="2:10" x14ac:dyDescent="0.6">
      <c r="B29" t="s">
        <v>697</v>
      </c>
      <c r="C29" s="194">
        <v>1.2742177248001099E-2</v>
      </c>
      <c r="D29" s="194">
        <v>1.5696907043457033E-2</v>
      </c>
      <c r="E29" s="194">
        <v>1.6112512350082396E-2</v>
      </c>
      <c r="F29" s="194">
        <v>1.6871894598007201E-2</v>
      </c>
      <c r="G29" s="194">
        <v>1.7054525613784791E-2</v>
      </c>
      <c r="H29" s="194">
        <v>1.6012728214263916E-2</v>
      </c>
      <c r="I29" s="194">
        <v>1.5879344940185548E-2</v>
      </c>
      <c r="J29" s="194">
        <v>1.6776443719863893E-2</v>
      </c>
    </row>
    <row r="30" spans="2:10" x14ac:dyDescent="0.6">
      <c r="B30" t="s">
        <v>1091</v>
      </c>
      <c r="C30" s="194">
        <v>1.6594154834747313E-2</v>
      </c>
      <c r="D30" s="194">
        <v>1.6811848878860475E-2</v>
      </c>
      <c r="E30" s="194">
        <v>1.6495649814605714E-2</v>
      </c>
      <c r="F30" s="194">
        <v>1.6611875295639039E-2</v>
      </c>
      <c r="G30" s="194">
        <v>1.711881160736084E-2</v>
      </c>
      <c r="H30" s="194">
        <v>1.6406233310699462E-2</v>
      </c>
      <c r="I30" s="194">
        <v>1.5767675638198853E-2</v>
      </c>
      <c r="J30" s="194">
        <v>1.62125027179718E-2</v>
      </c>
    </row>
    <row r="31" spans="2:10" x14ac:dyDescent="0.6">
      <c r="B31" t="s">
        <v>1093</v>
      </c>
      <c r="C31" s="194">
        <v>8.6886233091354372E-3</v>
      </c>
      <c r="D31" s="194">
        <v>1.1489552259445191E-2</v>
      </c>
      <c r="E31" s="194">
        <v>1.2429975271224976E-2</v>
      </c>
      <c r="F31" s="194">
        <v>1.1967368125915527E-2</v>
      </c>
      <c r="G31" s="194">
        <v>1.14528226852417E-2</v>
      </c>
      <c r="H31" s="194">
        <v>1.09102463722229E-2</v>
      </c>
      <c r="I31" s="194">
        <v>1.0907092094421388E-2</v>
      </c>
      <c r="J31" s="194">
        <v>1.1125595569610595E-2</v>
      </c>
    </row>
    <row r="32" spans="2:10" x14ac:dyDescent="0.6">
      <c r="B32" t="s">
        <v>393</v>
      </c>
      <c r="C32" s="194">
        <v>3.7419613673887752E-4</v>
      </c>
      <c r="D32" s="194">
        <v>2.2928856447701151E-3</v>
      </c>
      <c r="E32" s="194">
        <v>-3.672823538814212E-3</v>
      </c>
      <c r="F32" s="194">
        <v>2.839873096153119E-3</v>
      </c>
      <c r="G32" s="194">
        <v>7.2515756525634648E-3</v>
      </c>
      <c r="H32" s="194">
        <v>1.1944209083524867E-2</v>
      </c>
      <c r="I32" s="194">
        <v>1.2194171195835959E-2</v>
      </c>
      <c r="J32" s="194">
        <v>1.3296478741069517E-2</v>
      </c>
    </row>
    <row r="34" spans="2:12" x14ac:dyDescent="0.6">
      <c r="B34" s="235" t="s">
        <v>1092</v>
      </c>
      <c r="C34" s="597">
        <v>2020</v>
      </c>
      <c r="D34" s="597">
        <v>2021</v>
      </c>
      <c r="E34" s="597">
        <v>2022</v>
      </c>
      <c r="F34" s="597">
        <v>2023</v>
      </c>
      <c r="G34" s="597">
        <v>2024</v>
      </c>
      <c r="H34" s="597">
        <v>2025</v>
      </c>
      <c r="I34" s="597">
        <v>2026</v>
      </c>
      <c r="J34" s="597">
        <v>2027</v>
      </c>
    </row>
    <row r="35" spans="2:12" x14ac:dyDescent="0.6">
      <c r="B35" s="354" t="s">
        <v>132</v>
      </c>
      <c r="C35" s="805">
        <f>Master!E19</f>
        <v>8.817900482823314E-2</v>
      </c>
      <c r="D35" s="805">
        <f>Master!F19</f>
        <v>0.13418977126336215</v>
      </c>
      <c r="E35" s="805">
        <f>Master!G19</f>
        <v>0.19471536871845421</v>
      </c>
      <c r="F35" s="805">
        <f>Master!H19</f>
        <v>0.25144026662136587</v>
      </c>
      <c r="G35" s="805">
        <f>Master!I19</f>
        <v>0.25797245228264654</v>
      </c>
      <c r="H35" s="805">
        <f>Master!J19</f>
        <v>0.25339290388918939</v>
      </c>
      <c r="I35" s="805">
        <f>Master!K19</f>
        <v>0.24352876417569527</v>
      </c>
      <c r="J35" s="805">
        <f>Master!L19</f>
        <v>0.23189132685137537</v>
      </c>
      <c r="L35" t="s">
        <v>1100</v>
      </c>
    </row>
    <row r="36" spans="2:12" x14ac:dyDescent="0.6">
      <c r="B36" t="s">
        <v>488</v>
      </c>
      <c r="C36" s="194">
        <v>4.0321373939514162E-2</v>
      </c>
      <c r="D36" s="194">
        <v>4.0424461364746096E-2</v>
      </c>
      <c r="E36" s="194">
        <v>4.3705258369445804E-2</v>
      </c>
      <c r="F36" s="194">
        <v>4.5920329093933107E-2</v>
      </c>
      <c r="G36" s="194">
        <v>4.5189576148986818E-2</v>
      </c>
      <c r="H36" s="194">
        <v>4.4407644271850587E-2</v>
      </c>
      <c r="I36" s="194">
        <v>4.3919215202331545E-2</v>
      </c>
      <c r="J36" s="194">
        <v>3.4064633846282957E-2</v>
      </c>
    </row>
    <row r="37" spans="2:12" x14ac:dyDescent="0.6">
      <c r="B37" t="s">
        <v>697</v>
      </c>
      <c r="C37" s="194">
        <v>4.7309556007385255E-2</v>
      </c>
      <c r="D37" s="194">
        <v>4.2634115219116211E-2</v>
      </c>
      <c r="E37" s="194">
        <v>5.1931452751159665E-2</v>
      </c>
      <c r="F37" s="194">
        <v>5.2813363075256345E-2</v>
      </c>
      <c r="G37" s="194">
        <v>5.2871017456054686E-2</v>
      </c>
      <c r="H37" s="194">
        <v>5.3020420074462893E-2</v>
      </c>
      <c r="I37" s="194">
        <v>4.199619770050049E-2</v>
      </c>
      <c r="J37" s="194">
        <v>4.6001863479614255E-2</v>
      </c>
    </row>
    <row r="38" spans="2:12" x14ac:dyDescent="0.6">
      <c r="B38" t="s">
        <v>1091</v>
      </c>
      <c r="C38" s="194">
        <v>6.5831274986267091E-2</v>
      </c>
      <c r="D38" s="194">
        <v>6.5480346679687496E-2</v>
      </c>
      <c r="E38" s="194">
        <v>6.6723785400390631E-2</v>
      </c>
      <c r="F38" s="194">
        <v>6.5740118026733393E-2</v>
      </c>
      <c r="G38" s="194">
        <v>6.5054240226745608E-2</v>
      </c>
      <c r="H38" s="194">
        <v>6.1104760169982911E-2</v>
      </c>
      <c r="I38" s="194">
        <v>5.9403796195983884E-2</v>
      </c>
      <c r="J38" s="194">
        <v>6.0761566162109377E-2</v>
      </c>
    </row>
    <row r="39" spans="2:12" x14ac:dyDescent="0.6">
      <c r="B39" t="s">
        <v>1093</v>
      </c>
      <c r="C39" s="194">
        <v>3.7563829421997069E-2</v>
      </c>
      <c r="D39" s="194">
        <v>3.5595238208770752E-2</v>
      </c>
      <c r="E39" s="194">
        <v>3.6750335693359372E-2</v>
      </c>
      <c r="F39" s="194">
        <v>3.7615218162536622E-2</v>
      </c>
      <c r="G39" s="194">
        <v>3.712942361831665E-2</v>
      </c>
      <c r="H39" s="194">
        <v>3.5813834667205807E-2</v>
      </c>
      <c r="I39" s="194">
        <v>3.57104754447937E-2</v>
      </c>
      <c r="J39" s="194">
        <v>3.6953721046447757E-2</v>
      </c>
    </row>
    <row r="40" spans="2:12" x14ac:dyDescent="0.6">
      <c r="B40" t="s">
        <v>393</v>
      </c>
      <c r="C40" s="194">
        <v>0.11410665558139484</v>
      </c>
      <c r="D40" s="194">
        <v>0.13059408704015046</v>
      </c>
      <c r="E40" s="194">
        <v>0.11875064072324472</v>
      </c>
      <c r="F40" s="194">
        <v>0.12494862182871255</v>
      </c>
      <c r="G40" s="194">
        <v>0.12102788440847383</v>
      </c>
      <c r="H40" s="194">
        <v>0.13353945400402389</v>
      </c>
      <c r="I40" s="194">
        <v>0.13522956512710016</v>
      </c>
      <c r="J40" s="194">
        <v>0.13821505050520433</v>
      </c>
    </row>
    <row r="42" spans="2:12" x14ac:dyDescent="0.6">
      <c r="B42" s="235" t="s">
        <v>409</v>
      </c>
      <c r="C42" s="597">
        <v>2020</v>
      </c>
      <c r="D42" s="597">
        <v>2021</v>
      </c>
      <c r="E42" s="597">
        <v>2022</v>
      </c>
      <c r="F42" s="597">
        <v>2023</v>
      </c>
      <c r="G42" s="597">
        <v>2024</v>
      </c>
      <c r="H42" s="597">
        <v>2025</v>
      </c>
      <c r="I42" s="597">
        <v>2026</v>
      </c>
      <c r="J42" s="597">
        <v>2027</v>
      </c>
      <c r="L42" t="s">
        <v>1101</v>
      </c>
    </row>
    <row r="43" spans="2:12" x14ac:dyDescent="0.6">
      <c r="B43" t="s">
        <v>132</v>
      </c>
      <c r="C43" s="362">
        <f>Master!E16</f>
        <v>0.44349477682811017</v>
      </c>
      <c r="D43" s="362">
        <f>Master!F16</f>
        <v>0.43127228795779687</v>
      </c>
      <c r="E43" s="362">
        <f>Master!G16</f>
        <v>0.34720493276753589</v>
      </c>
      <c r="F43" s="362">
        <f>Master!H16</f>
        <v>0.41160932748533774</v>
      </c>
      <c r="G43" s="362">
        <f>Master!I16</f>
        <v>0.45545835638956106</v>
      </c>
      <c r="H43" s="362">
        <f>Master!J16</f>
        <v>0.50573011967763692</v>
      </c>
      <c r="I43" s="362">
        <f>Master!K16</f>
        <v>0.52261099851155379</v>
      </c>
      <c r="J43" s="362">
        <f>Master!L16</f>
        <v>0.52969322263547258</v>
      </c>
    </row>
    <row r="44" spans="2:12" x14ac:dyDescent="0.6">
      <c r="B44" t="s">
        <v>488</v>
      </c>
      <c r="C44" s="194">
        <v>0.35171257031742309</v>
      </c>
      <c r="D44" s="194">
        <v>0.4671090727194912</v>
      </c>
      <c r="E44" s="194">
        <v>0.45131211180754782</v>
      </c>
      <c r="F44" s="194">
        <v>0.46314034293793765</v>
      </c>
      <c r="G44" s="194">
        <v>0.47378862195526816</v>
      </c>
      <c r="H44" s="194">
        <v>0.47577001496586535</v>
      </c>
      <c r="I44" s="194">
        <v>0.46321738209902724</v>
      </c>
      <c r="J44" s="194">
        <v>0.44665421374559705</v>
      </c>
    </row>
    <row r="45" spans="2:12" x14ac:dyDescent="0.6">
      <c r="B45" t="s">
        <v>697</v>
      </c>
      <c r="C45" s="194">
        <v>0.56516307460985871</v>
      </c>
      <c r="D45" s="194">
        <v>0.57498171788684649</v>
      </c>
      <c r="E45" s="194">
        <v>0.45528123252214081</v>
      </c>
      <c r="F45" s="194">
        <v>0.45139318574421511</v>
      </c>
      <c r="G45" s="194">
        <v>0.47819622583601795</v>
      </c>
      <c r="H45" s="194">
        <v>0.49602273417100173</v>
      </c>
      <c r="I45" s="194">
        <v>0.48026025699870983</v>
      </c>
      <c r="J45" s="194">
        <v>0.47185034004338461</v>
      </c>
    </row>
    <row r="46" spans="2:12" x14ac:dyDescent="0.6">
      <c r="B46" t="s">
        <v>1091</v>
      </c>
      <c r="C46" s="194">
        <v>0.51312420855761587</v>
      </c>
      <c r="D46" s="194">
        <v>0.60030494941781953</v>
      </c>
      <c r="E46" s="194">
        <v>0.54854226886917579</v>
      </c>
      <c r="F46" s="194">
        <v>0.56983563691783201</v>
      </c>
      <c r="G46" s="194">
        <v>0.5873954554418892</v>
      </c>
      <c r="H46" s="194">
        <v>0.57587810293920672</v>
      </c>
      <c r="I46" s="194">
        <v>0.57980744332676926</v>
      </c>
      <c r="J46" s="194">
        <v>0.57727031438101806</v>
      </c>
    </row>
    <row r="47" spans="2:12" x14ac:dyDescent="0.6">
      <c r="B47" t="s">
        <v>1093</v>
      </c>
      <c r="C47" s="194">
        <v>0.4206282547073672</v>
      </c>
      <c r="D47" s="194">
        <v>0.48911031239750524</v>
      </c>
      <c r="E47" s="194">
        <v>0.39945643024762517</v>
      </c>
      <c r="F47" s="194">
        <v>0.40101230847035058</v>
      </c>
      <c r="G47" s="194">
        <v>0.44480854684350896</v>
      </c>
      <c r="H47" s="194">
        <v>0.40952725252218952</v>
      </c>
      <c r="I47" s="194">
        <v>0.42460227695955488</v>
      </c>
      <c r="J47" s="194">
        <v>0.44071051191078281</v>
      </c>
    </row>
    <row r="48" spans="2:12" x14ac:dyDescent="0.6">
      <c r="B48" t="s">
        <v>393</v>
      </c>
      <c r="C48" s="194">
        <v>0.62032742471897706</v>
      </c>
      <c r="D48" s="194">
        <v>0.60877713250494225</v>
      </c>
      <c r="E48" s="194">
        <v>0.44730109121043204</v>
      </c>
      <c r="F48" s="194">
        <v>0.48660104176378077</v>
      </c>
      <c r="G48" s="194">
        <v>0.52269074901382928</v>
      </c>
      <c r="H48" s="194">
        <v>0.55692589383205771</v>
      </c>
      <c r="I48" s="194">
        <v>0.56178255769445418</v>
      </c>
      <c r="J48" s="194">
        <v>0.56567918920465143</v>
      </c>
    </row>
  </sheetDat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C1381-440B-41C2-AB04-6586A111A411}">
  <dimension ref="A1:O32"/>
  <sheetViews>
    <sheetView showGridLines="0" zoomScale="80" zoomScaleNormal="80" workbookViewId="0">
      <selection activeCell="I10" sqref="I10"/>
    </sheetView>
  </sheetViews>
  <sheetFormatPr defaultRowHeight="15.6" x14ac:dyDescent="0.6"/>
  <cols>
    <col min="1" max="1" width="34.19921875" bestFit="1" customWidth="1"/>
  </cols>
  <sheetData>
    <row r="1" spans="1:15" s="101" customFormat="1" ht="15.9" thickBot="1" x14ac:dyDescent="0.65">
      <c r="A1" s="101" t="s">
        <v>863</v>
      </c>
    </row>
    <row r="2" spans="1:15" s="84" customFormat="1" x14ac:dyDescent="0.6">
      <c r="A2" s="235" t="s">
        <v>861</v>
      </c>
      <c r="C2" s="301">
        <v>2018</v>
      </c>
      <c r="D2" s="301">
        <v>2019</v>
      </c>
      <c r="E2" s="301">
        <v>2020</v>
      </c>
      <c r="F2" s="301">
        <v>2021</v>
      </c>
      <c r="G2" s="301">
        <v>2022</v>
      </c>
      <c r="H2" s="482">
        <v>2023</v>
      </c>
      <c r="I2" s="482">
        <v>2024</v>
      </c>
      <c r="J2" s="482">
        <v>2025</v>
      </c>
      <c r="K2" s="482">
        <v>2026</v>
      </c>
      <c r="L2" s="482">
        <v>2027</v>
      </c>
      <c r="M2" s="482">
        <v>2028</v>
      </c>
      <c r="N2" s="482">
        <v>2029</v>
      </c>
      <c r="O2" s="482">
        <v>2030</v>
      </c>
    </row>
    <row r="3" spans="1:15" x14ac:dyDescent="0.6">
      <c r="A3" t="s">
        <v>47</v>
      </c>
      <c r="C3" s="166">
        <f>Master!C173</f>
        <v>628.70000000000005</v>
      </c>
      <c r="D3" s="166">
        <f>Master!D173</f>
        <v>2693.2</v>
      </c>
      <c r="E3" s="166">
        <f>Master!E173</f>
        <v>5584.9</v>
      </c>
      <c r="F3" s="166">
        <f>Master!F173</f>
        <v>9667.2999999999993</v>
      </c>
      <c r="G3" s="166">
        <f>Master!G173</f>
        <v>15808</v>
      </c>
      <c r="H3" s="166">
        <f>H20/Macro!H$4</f>
        <v>20856.916775599129</v>
      </c>
      <c r="I3" s="166">
        <f>I20/Macro!I$4</f>
        <v>25060.774268441615</v>
      </c>
      <c r="J3" s="166">
        <f>J20/Macro!J$4</f>
        <v>31360.455139591166</v>
      </c>
      <c r="K3" s="166">
        <f>K20/Macro!K$4</f>
        <v>37973.970477496892</v>
      </c>
      <c r="L3" s="166">
        <f>L20/Macro!L$4</f>
        <v>44831.540970319591</v>
      </c>
      <c r="M3" s="166">
        <f>M20/Macro!M$4</f>
        <v>51628.951235188026</v>
      </c>
      <c r="N3" s="166">
        <f>N20/Macro!N$4</f>
        <v>58874.676909759648</v>
      </c>
      <c r="O3" s="166">
        <f>O20/Macro!O$4</f>
        <v>66544.121849969699</v>
      </c>
    </row>
    <row r="4" spans="1:15" x14ac:dyDescent="0.6">
      <c r="A4" s="167" t="s">
        <v>267</v>
      </c>
      <c r="B4" s="167"/>
      <c r="C4" s="166">
        <f>C3/Drivers!C8</f>
        <v>123.27450980392159</v>
      </c>
      <c r="D4" s="166">
        <f>D3/Drivers!D8</f>
        <v>222.57851239669421</v>
      </c>
      <c r="E4" s="166">
        <f>E3/Drivers!E8</f>
        <v>256.1880733944954</v>
      </c>
      <c r="F4" s="166">
        <f>F3/Drivers!F8</f>
        <v>235.21411192214109</v>
      </c>
      <c r="G4" s="166">
        <f>G3/Drivers!G8</f>
        <v>258.30065359477123</v>
      </c>
      <c r="H4" s="166">
        <f>H3/Drivers!H8</f>
        <v>275.520697167756</v>
      </c>
      <c r="I4" s="166">
        <f>I3/Drivers!I8</f>
        <v>287.39420032616528</v>
      </c>
      <c r="J4" s="166">
        <f>J3/Drivers!J8</f>
        <v>316.13362035878191</v>
      </c>
      <c r="K4" s="166">
        <f>K3/Drivers!K8</f>
        <v>347.74698239466017</v>
      </c>
      <c r="L4" s="166">
        <f>L3/Drivers!L8</f>
        <v>382.5216806341262</v>
      </c>
      <c r="M4" s="166">
        <f>M3/Drivers!M8</f>
        <v>420.77384869753894</v>
      </c>
      <c r="N4" s="166">
        <f>N3/Drivers!N8</f>
        <v>462.85123356729281</v>
      </c>
      <c r="O4" s="166">
        <f>O3/Drivers!O8</f>
        <v>509.1363569240221</v>
      </c>
    </row>
    <row r="5" spans="1:15" x14ac:dyDescent="0.6">
      <c r="A5" s="92" t="s">
        <v>261</v>
      </c>
      <c r="B5" s="92"/>
      <c r="C5" s="149"/>
      <c r="D5" s="161">
        <f>D4/C4-1</f>
        <v>0.80555179453338677</v>
      </c>
      <c r="E5" s="161">
        <f>E4/D4-1</f>
        <v>0.15100092383536112</v>
      </c>
      <c r="F5" s="161">
        <f>F4/E4-1</f>
        <v>-8.1869390695862854E-2</v>
      </c>
      <c r="G5" s="161">
        <f t="shared" ref="G5:O5" si="0">G4/F4-1</f>
        <v>9.8151175896589393E-2</v>
      </c>
      <c r="H5" s="161">
        <f t="shared" si="0"/>
        <v>6.6666666666666652E-2</v>
      </c>
      <c r="I5" s="161">
        <f t="shared" si="0"/>
        <v>4.3094777562862729E-2</v>
      </c>
      <c r="J5" s="161">
        <f t="shared" si="0"/>
        <v>0.10000000000000031</v>
      </c>
      <c r="K5" s="161">
        <f t="shared" si="0"/>
        <v>0.10000000000000009</v>
      </c>
      <c r="L5" s="161">
        <f t="shared" si="0"/>
        <v>0.10000000000000009</v>
      </c>
      <c r="M5" s="161">
        <f t="shared" si="0"/>
        <v>0.10000000000000031</v>
      </c>
      <c r="N5" s="161">
        <f t="shared" si="0"/>
        <v>9.9999999999999867E-2</v>
      </c>
      <c r="O5" s="161">
        <f t="shared" si="0"/>
        <v>0.10000000000000009</v>
      </c>
    </row>
    <row r="6" spans="1:15" x14ac:dyDescent="0.6">
      <c r="A6" s="92"/>
      <c r="B6" s="92"/>
      <c r="C6" s="149"/>
      <c r="D6" s="161"/>
      <c r="E6" s="161"/>
      <c r="F6" s="231"/>
      <c r="G6" s="162"/>
      <c r="H6" s="162"/>
      <c r="I6" s="162"/>
      <c r="J6" s="162"/>
      <c r="K6" s="162"/>
      <c r="L6" s="162"/>
      <c r="M6" s="162"/>
      <c r="N6" s="162"/>
      <c r="O6" s="162"/>
    </row>
    <row r="7" spans="1:15" x14ac:dyDescent="0.6">
      <c r="A7" t="str">
        <f>Master!B147</f>
        <v>Securities</v>
      </c>
      <c r="B7" s="92"/>
      <c r="C7" s="166">
        <f>Master!C147</f>
        <v>570.20000000000005</v>
      </c>
      <c r="D7" s="166">
        <f>Master!D147</f>
        <v>2237.6999999999998</v>
      </c>
      <c r="E7" s="166">
        <f>Master!E147</f>
        <v>4287.3</v>
      </c>
      <c r="F7" s="166">
        <f>Master!F151</f>
        <v>8163.4279999999999</v>
      </c>
      <c r="G7" s="166">
        <f>Master!G151</f>
        <v>9947</v>
      </c>
      <c r="H7" s="166">
        <f>H24/Macro!H$4</f>
        <v>12706.833777777778</v>
      </c>
      <c r="I7" s="166">
        <f>I24/Macro!I$4</f>
        <v>15287.072303749386</v>
      </c>
      <c r="J7" s="166">
        <f>J24/Macro!J$4</f>
        <v>18816.273083754699</v>
      </c>
      <c r="K7" s="166">
        <f>K24/Macro!K$4</f>
        <v>22784.382286498134</v>
      </c>
      <c r="L7" s="166">
        <f>L24/Macro!L$4</f>
        <v>26898.924582191754</v>
      </c>
      <c r="M7" s="166">
        <f>M24/Macro!M$4</f>
        <v>30977.370741112813</v>
      </c>
      <c r="N7" s="166">
        <f>N24/Macro!N$4</f>
        <v>35324.806145855793</v>
      </c>
      <c r="O7" s="166">
        <f>O24/Macro!O$4</f>
        <v>39926.473109981824</v>
      </c>
    </row>
    <row r="8" spans="1:15" x14ac:dyDescent="0.6">
      <c r="A8" s="24" t="s">
        <v>265</v>
      </c>
      <c r="B8" s="92"/>
      <c r="C8" s="150">
        <f>C7/C3</f>
        <v>0.90695085096230321</v>
      </c>
      <c r="D8" s="150">
        <f>D7/D3</f>
        <v>0.83087034011584726</v>
      </c>
      <c r="E8" s="150">
        <f>E7/E3</f>
        <v>0.76765922397894326</v>
      </c>
      <c r="F8" s="150">
        <f>F7/F3</f>
        <v>0.84443722652653797</v>
      </c>
      <c r="G8" s="150">
        <f t="shared" ref="G8:O8" si="1">G7/G3</f>
        <v>0.62923836032388669</v>
      </c>
      <c r="H8" s="150">
        <f t="shared" si="1"/>
        <v>0.60923836032388667</v>
      </c>
      <c r="I8" s="150">
        <f t="shared" si="1"/>
        <v>0.61</v>
      </c>
      <c r="J8" s="150">
        <f t="shared" si="1"/>
        <v>0.6</v>
      </c>
      <c r="K8" s="150">
        <f t="shared" si="1"/>
        <v>0.6</v>
      </c>
      <c r="L8" s="150">
        <f t="shared" si="1"/>
        <v>0.6</v>
      </c>
      <c r="M8" s="150">
        <f t="shared" si="1"/>
        <v>0.6</v>
      </c>
      <c r="N8" s="150">
        <f t="shared" si="1"/>
        <v>0.60000000000000009</v>
      </c>
      <c r="O8" s="150">
        <f t="shared" si="1"/>
        <v>0.60000000000000009</v>
      </c>
    </row>
    <row r="9" spans="1:15" x14ac:dyDescent="0.6">
      <c r="A9" s="92"/>
      <c r="B9" s="92"/>
      <c r="C9" s="149"/>
      <c r="D9" s="161"/>
      <c r="E9" s="161"/>
      <c r="F9" s="231"/>
      <c r="G9" s="162"/>
      <c r="H9" s="162"/>
      <c r="I9" s="162"/>
      <c r="J9" s="162"/>
      <c r="K9" s="162"/>
      <c r="L9" s="162"/>
      <c r="M9" s="162"/>
      <c r="N9" s="162"/>
      <c r="O9" s="162"/>
    </row>
    <row r="10" spans="1:15" s="84" customFormat="1" x14ac:dyDescent="0.6">
      <c r="A10" s="235" t="s">
        <v>862</v>
      </c>
      <c r="B10" s="477"/>
      <c r="C10" s="478"/>
      <c r="D10" s="479"/>
      <c r="E10" s="479"/>
      <c r="F10" s="480"/>
      <c r="G10" s="481"/>
      <c r="H10" s="481"/>
      <c r="I10" s="481"/>
      <c r="J10" s="481"/>
      <c r="K10" s="481"/>
      <c r="L10" s="481"/>
      <c r="M10" s="481"/>
      <c r="N10" s="481"/>
      <c r="O10" s="481"/>
    </row>
    <row r="11" spans="1:15" x14ac:dyDescent="0.6">
      <c r="A11" t="str">
        <f>Master!B153</f>
        <v>Compulsory deposits at central banks</v>
      </c>
      <c r="B11" s="92"/>
      <c r="C11" s="166">
        <f>Master!C153</f>
        <v>0</v>
      </c>
      <c r="D11" s="166">
        <f>Master!D153</f>
        <v>0</v>
      </c>
      <c r="E11" s="166">
        <f>Master!E153</f>
        <v>43.5</v>
      </c>
      <c r="F11" s="166">
        <f>Master!F153</f>
        <v>938.65899999999999</v>
      </c>
      <c r="G11" s="166">
        <f>Master!G153</f>
        <v>2778</v>
      </c>
      <c r="H11" s="166">
        <f>H28/Macro!H$4</f>
        <v>3665.265359477125</v>
      </c>
      <c r="I11" s="166">
        <f>I28/Macro!I$4</f>
        <v>4404.0252351803401</v>
      </c>
      <c r="J11" s="166">
        <f>J28/Macro!J$4</f>
        <v>5511.0921291614532</v>
      </c>
      <c r="K11" s="166">
        <f>K28/Macro!K$4</f>
        <v>6673.3103483354225</v>
      </c>
      <c r="L11" s="166">
        <f>L28/Macro!L$4</f>
        <v>7878.4173086758483</v>
      </c>
      <c r="M11" s="166">
        <f>M28/Macro!M$4</f>
        <v>9072.9520832080161</v>
      </c>
      <c r="N11" s="166">
        <f>N28/Macro!N$4</f>
        <v>10346.271030826942</v>
      </c>
      <c r="O11" s="166">
        <f>O28/Macro!O$4</f>
        <v>11694.051777531366</v>
      </c>
    </row>
    <row r="12" spans="1:15" x14ac:dyDescent="0.6">
      <c r="A12" s="92" t="s">
        <v>304</v>
      </c>
      <c r="B12" s="92"/>
      <c r="C12" s="150">
        <f>C11/C3</f>
        <v>0</v>
      </c>
      <c r="D12" s="150">
        <f>D11/D3</f>
        <v>0</v>
      </c>
      <c r="E12" s="220">
        <f>E11/E3</f>
        <v>7.7888592454654522E-3</v>
      </c>
      <c r="F12" s="220">
        <f>F11/F3</f>
        <v>9.7096293691103008E-2</v>
      </c>
      <c r="G12" s="220">
        <f t="shared" ref="G12:O12" si="2">G11/G3</f>
        <v>0.17573380566801619</v>
      </c>
      <c r="H12" s="220">
        <f t="shared" si="2"/>
        <v>0.17573380566801622</v>
      </c>
      <c r="I12" s="220">
        <f t="shared" si="2"/>
        <v>0.17573380566801622</v>
      </c>
      <c r="J12" s="220">
        <f t="shared" si="2"/>
        <v>0.17573380566801619</v>
      </c>
      <c r="K12" s="220">
        <f t="shared" si="2"/>
        <v>0.17573380566801619</v>
      </c>
      <c r="L12" s="220">
        <f t="shared" si="2"/>
        <v>0.17573380566801616</v>
      </c>
      <c r="M12" s="220">
        <f t="shared" si="2"/>
        <v>0.17573380566801616</v>
      </c>
      <c r="N12" s="220">
        <f t="shared" si="2"/>
        <v>0.17573380566801619</v>
      </c>
      <c r="O12" s="220">
        <f t="shared" si="2"/>
        <v>0.17573380566801619</v>
      </c>
    </row>
    <row r="13" spans="1:15" x14ac:dyDescent="0.6">
      <c r="A13" s="92"/>
      <c r="B13" s="92"/>
      <c r="C13" s="149"/>
      <c r="D13" s="161"/>
      <c r="E13" s="161"/>
      <c r="F13" s="231"/>
      <c r="G13" s="162"/>
      <c r="H13" s="162"/>
      <c r="I13" s="162"/>
      <c r="J13" s="162"/>
      <c r="K13" s="162"/>
      <c r="L13" s="162"/>
      <c r="M13" s="162"/>
      <c r="N13" s="162"/>
      <c r="O13" s="162"/>
    </row>
    <row r="14" spans="1:15" x14ac:dyDescent="0.6">
      <c r="A14" t="str">
        <f>Master!B174</f>
        <v>Payables to credit card network</v>
      </c>
      <c r="B14" s="92"/>
      <c r="C14" s="166">
        <f>Master!C174</f>
        <v>1675.9</v>
      </c>
      <c r="D14" s="166">
        <f>Master!D174</f>
        <v>2976.5</v>
      </c>
      <c r="E14" s="166">
        <f>Master!E174</f>
        <v>3331.3</v>
      </c>
      <c r="F14" s="166">
        <f>Master!F174</f>
        <v>4882.1589999999997</v>
      </c>
      <c r="G14" s="166">
        <f>Master!G174</f>
        <v>7054</v>
      </c>
      <c r="H14" s="166">
        <f ca="1">H31/Macro!H$4</f>
        <v>4391.6920904067174</v>
      </c>
      <c r="I14" s="166">
        <f ca="1">I31/Macro!I$4</f>
        <v>5094.4011293973026</v>
      </c>
      <c r="J14" s="166">
        <f ca="1">J31/Macro!J$4</f>
        <v>6345.8003271325433</v>
      </c>
      <c r="K14" s="166">
        <f ca="1">K31/Macro!K$4</f>
        <v>7659.5411272367091</v>
      </c>
      <c r="L14" s="166">
        <f ca="1">L31/Macro!L$4</f>
        <v>9021.7622283772216</v>
      </c>
      <c r="M14" s="166">
        <f ca="1">M31/Macro!M$4</f>
        <v>10372.032809715642</v>
      </c>
      <c r="N14" s="166">
        <f ca="1">N31/Macro!N$4</f>
        <v>11811.358940931868</v>
      </c>
      <c r="O14" s="166">
        <f ca="1">O31/Macro!O$4</f>
        <v>13334.854724536875</v>
      </c>
    </row>
    <row r="15" spans="1:15" x14ac:dyDescent="0.6">
      <c r="A15" s="92" t="s">
        <v>301</v>
      </c>
      <c r="B15" s="92"/>
      <c r="C15" s="150">
        <f>C14/Master!C154</f>
        <v>1.0320852321714498</v>
      </c>
      <c r="D15" s="150">
        <f>D14/Master!D154</f>
        <v>1.068185896285663</v>
      </c>
      <c r="E15" s="220">
        <f>E14/Master!E154</f>
        <v>1.1452095293753652</v>
      </c>
      <c r="F15" s="220">
        <f>F14/Master!F154</f>
        <v>1.0212653488128856</v>
      </c>
      <c r="G15" s="220">
        <f>G14/Master!G154</f>
        <v>0.85679582169318591</v>
      </c>
      <c r="H15" s="158">
        <f t="shared" ref="H15:O15" si="3">G15</f>
        <v>0.85679582169318591</v>
      </c>
      <c r="I15" s="158">
        <f t="shared" si="3"/>
        <v>0.85679582169318591</v>
      </c>
      <c r="J15" s="158">
        <f t="shared" si="3"/>
        <v>0.85679582169318591</v>
      </c>
      <c r="K15" s="158">
        <f t="shared" si="3"/>
        <v>0.85679582169318591</v>
      </c>
      <c r="L15" s="158">
        <f t="shared" si="3"/>
        <v>0.85679582169318591</v>
      </c>
      <c r="M15" s="158">
        <f t="shared" si="3"/>
        <v>0.85679582169318591</v>
      </c>
      <c r="N15" s="158">
        <f t="shared" si="3"/>
        <v>0.85679582169318591</v>
      </c>
      <c r="O15" s="158">
        <f t="shared" si="3"/>
        <v>0.85679582169318591</v>
      </c>
    </row>
    <row r="18" spans="1:15" s="101" customFormat="1" ht="15.9" thickBot="1" x14ac:dyDescent="0.65">
      <c r="A18" s="101" t="s">
        <v>864</v>
      </c>
    </row>
    <row r="19" spans="1:15" s="84" customFormat="1" x14ac:dyDescent="0.6">
      <c r="A19" s="235" t="s">
        <v>861</v>
      </c>
      <c r="C19" s="301"/>
      <c r="D19" s="301"/>
      <c r="E19" s="301"/>
      <c r="F19" s="301"/>
      <c r="G19" s="301"/>
      <c r="H19" s="301"/>
      <c r="I19" s="301"/>
      <c r="J19" s="301"/>
      <c r="K19" s="301"/>
      <c r="L19" s="301"/>
      <c r="M19" s="301"/>
      <c r="N19" s="301"/>
      <c r="O19" s="301"/>
    </row>
    <row r="20" spans="1:15" x14ac:dyDescent="0.6">
      <c r="A20" t="s">
        <v>47</v>
      </c>
      <c r="C20" s="166">
        <f>C3*Macro!C$4</f>
        <v>2436.0867600000001</v>
      </c>
      <c r="D20" s="166">
        <f>D3*Macro!D$4</f>
        <v>10855.481240000001</v>
      </c>
      <c r="E20" s="166">
        <f>E3*Macro!E$4</f>
        <v>29023.049829999996</v>
      </c>
      <c r="F20" s="166">
        <f>F3*Macro!F$4</f>
        <v>53948.367649999993</v>
      </c>
      <c r="G20" s="166">
        <f>G3*Macro!G$4</f>
        <v>80936.960000000006</v>
      </c>
      <c r="H20" s="166">
        <f>H21*Drivers!H$8</f>
        <v>105118.86054901962</v>
      </c>
      <c r="I20" s="166">
        <f>I21*Drivers!I$8</f>
        <v>129564.20296784316</v>
      </c>
      <c r="J20" s="166">
        <f>J21*Drivers!J$8</f>
        <v>162133.55307168633</v>
      </c>
      <c r="K20" s="166">
        <f>K21*Drivers!K$8</f>
        <v>196325.42736865891</v>
      </c>
      <c r="L20" s="166">
        <f>L21*Drivers!L$8</f>
        <v>231779.06681655228</v>
      </c>
      <c r="M20" s="166">
        <f>M21*Drivers!M$8</f>
        <v>266921.67788592208</v>
      </c>
      <c r="N20" s="166">
        <f>N21*Drivers!N$8</f>
        <v>304382.07962345739</v>
      </c>
      <c r="O20" s="166">
        <f>O21*Drivers!O$8</f>
        <v>344033.10996434337</v>
      </c>
    </row>
    <row r="21" spans="1:15" x14ac:dyDescent="0.6">
      <c r="A21" s="167" t="s">
        <v>267</v>
      </c>
      <c r="B21" s="167"/>
      <c r="C21" s="166">
        <f>C20/Drivers!C8</f>
        <v>477.66407058823535</v>
      </c>
      <c r="D21" s="166">
        <f>D20/Drivers!D8</f>
        <v>897.14720991735544</v>
      </c>
      <c r="E21" s="166">
        <f>E20/Drivers!E8</f>
        <v>1331.332561009174</v>
      </c>
      <c r="F21" s="166">
        <f>F20/Drivers!F8</f>
        <v>1312.6123515815084</v>
      </c>
      <c r="G21" s="166">
        <f>G20/Drivers!G8</f>
        <v>1322.4993464052288</v>
      </c>
      <c r="H21" s="166">
        <f t="shared" ref="H21:O21" si="4">(1+H22)*G21</f>
        <v>1388.6243137254903</v>
      </c>
      <c r="I21" s="166">
        <f t="shared" si="4"/>
        <v>1485.8280156862747</v>
      </c>
      <c r="J21" s="166">
        <f t="shared" si="4"/>
        <v>1634.4108172549024</v>
      </c>
      <c r="K21" s="166">
        <f t="shared" si="4"/>
        <v>1797.8518989803929</v>
      </c>
      <c r="L21" s="166">
        <f t="shared" si="4"/>
        <v>1977.6370888784325</v>
      </c>
      <c r="M21" s="166">
        <f t="shared" si="4"/>
        <v>2175.4007977662759</v>
      </c>
      <c r="N21" s="166">
        <f t="shared" si="4"/>
        <v>2392.9408775429038</v>
      </c>
      <c r="O21" s="166">
        <f t="shared" si="4"/>
        <v>2632.2349652971943</v>
      </c>
    </row>
    <row r="22" spans="1:15" x14ac:dyDescent="0.6">
      <c r="A22" s="92" t="s">
        <v>261</v>
      </c>
      <c r="B22" s="92"/>
      <c r="C22" s="149"/>
      <c r="D22" s="161">
        <f>D21/C21-1</f>
        <v>0.87819696970830052</v>
      </c>
      <c r="E22" s="161">
        <f>E21/D21-1</f>
        <v>0.48396221522197624</v>
      </c>
      <c r="F22" s="161">
        <f>F21/E21-1</f>
        <v>-1.4061257101287583E-2</v>
      </c>
      <c r="G22" s="161">
        <f>G21/F21-1</f>
        <v>7.5323036628507367E-3</v>
      </c>
      <c r="H22" s="218">
        <v>0.05</v>
      </c>
      <c r="I22" s="218">
        <v>7.0000000000000007E-2</v>
      </c>
      <c r="J22" s="218">
        <v>0.1</v>
      </c>
      <c r="K22" s="218">
        <v>0.1</v>
      </c>
      <c r="L22" s="218">
        <v>0.1</v>
      </c>
      <c r="M22" s="218">
        <v>0.1</v>
      </c>
      <c r="N22" s="218">
        <v>0.1</v>
      </c>
      <c r="O22" s="218">
        <v>0.1</v>
      </c>
    </row>
    <row r="23" spans="1:15" x14ac:dyDescent="0.6">
      <c r="A23" s="92"/>
      <c r="B23" s="92"/>
      <c r="C23" s="149"/>
      <c r="D23" s="161"/>
      <c r="E23" s="161"/>
      <c r="F23" s="231"/>
      <c r="G23" s="162"/>
      <c r="H23" s="162"/>
      <c r="I23" s="162"/>
      <c r="J23" s="162"/>
      <c r="K23" s="162"/>
      <c r="L23" s="162"/>
      <c r="M23" s="162"/>
      <c r="N23" s="162"/>
      <c r="O23" s="162"/>
    </row>
    <row r="24" spans="1:15" x14ac:dyDescent="0.6">
      <c r="A24" t="s">
        <v>101</v>
      </c>
      <c r="B24" s="92"/>
      <c r="C24" s="166">
        <f>C7*Macro!C$4</f>
        <v>2209.4109600000002</v>
      </c>
      <c r="D24" s="166">
        <f>D7*Macro!D$4</f>
        <v>9019.4973900000005</v>
      </c>
      <c r="E24" s="166">
        <f>E7*Macro!E$4</f>
        <v>22279.81191</v>
      </c>
      <c r="F24" s="166">
        <f>F7*Macro!F$4</f>
        <v>45556.009954000001</v>
      </c>
      <c r="G24" s="166">
        <f>G7*Macro!G$4</f>
        <v>50928.639999999999</v>
      </c>
      <c r="H24" s="166">
        <f t="shared" ref="H24:O24" si="5">H25*H20</f>
        <v>64042.442239999997</v>
      </c>
      <c r="I24" s="166">
        <f t="shared" si="5"/>
        <v>79034.163810384329</v>
      </c>
      <c r="J24" s="166">
        <f t="shared" si="5"/>
        <v>97280.131843011797</v>
      </c>
      <c r="K24" s="166">
        <f t="shared" si="5"/>
        <v>117795.25642119534</v>
      </c>
      <c r="L24" s="166">
        <f t="shared" si="5"/>
        <v>139067.44008993136</v>
      </c>
      <c r="M24" s="166">
        <f t="shared" si="5"/>
        <v>160153.00673155324</v>
      </c>
      <c r="N24" s="166">
        <f t="shared" si="5"/>
        <v>182629.24777407444</v>
      </c>
      <c r="O24" s="166">
        <f t="shared" si="5"/>
        <v>206419.86597860602</v>
      </c>
    </row>
    <row r="25" spans="1:15" x14ac:dyDescent="0.6">
      <c r="A25" s="24" t="s">
        <v>265</v>
      </c>
      <c r="B25" s="92"/>
      <c r="C25" s="150">
        <f>C24/C20</f>
        <v>0.90695085096230321</v>
      </c>
      <c r="D25" s="150">
        <f>D24/D20</f>
        <v>0.83087034011584726</v>
      </c>
      <c r="E25" s="150">
        <f>E24/E20</f>
        <v>0.76765922397894337</v>
      </c>
      <c r="F25" s="150">
        <f>F24/F20</f>
        <v>0.84443722652653808</v>
      </c>
      <c r="G25" s="150">
        <f>G24/G20</f>
        <v>0.62923836032388658</v>
      </c>
      <c r="H25" s="218">
        <f>G25-2%</f>
        <v>0.60923836032388656</v>
      </c>
      <c r="I25" s="218">
        <v>0.61</v>
      </c>
      <c r="J25" s="218">
        <v>0.6</v>
      </c>
      <c r="K25" s="218">
        <v>0.6</v>
      </c>
      <c r="L25" s="218">
        <v>0.6</v>
      </c>
      <c r="M25" s="218">
        <v>0.6</v>
      </c>
      <c r="N25" s="218">
        <v>0.6</v>
      </c>
      <c r="O25" s="218">
        <v>0.6</v>
      </c>
    </row>
    <row r="26" spans="1:15" x14ac:dyDescent="0.6">
      <c r="A26" s="92"/>
      <c r="B26" s="92"/>
      <c r="C26" s="149"/>
      <c r="D26" s="161"/>
      <c r="E26" s="161"/>
      <c r="F26" s="231"/>
      <c r="G26" s="162"/>
      <c r="H26" s="162"/>
      <c r="I26" s="162"/>
      <c r="J26" s="162"/>
      <c r="K26" s="162"/>
      <c r="L26" s="162"/>
      <c r="M26" s="162"/>
      <c r="N26" s="162"/>
      <c r="O26" s="162"/>
    </row>
    <row r="27" spans="1:15" s="84" customFormat="1" x14ac:dyDescent="0.6">
      <c r="A27" s="235" t="s">
        <v>862</v>
      </c>
      <c r="B27" s="477"/>
      <c r="C27" s="478"/>
      <c r="D27" s="479"/>
      <c r="E27" s="479"/>
      <c r="F27" s="480"/>
      <c r="G27" s="481"/>
      <c r="H27" s="481"/>
      <c r="I27" s="481"/>
      <c r="J27" s="481"/>
      <c r="K27" s="481"/>
      <c r="L27" s="481"/>
      <c r="M27" s="481"/>
      <c r="N27" s="481"/>
      <c r="O27" s="481"/>
    </row>
    <row r="28" spans="1:15" x14ac:dyDescent="0.6">
      <c r="A28" t="s">
        <v>105</v>
      </c>
      <c r="B28" s="92"/>
      <c r="C28" s="166">
        <f>C11*Macro!C$4</f>
        <v>0</v>
      </c>
      <c r="D28" s="166">
        <f>D11*Macro!D$4</f>
        <v>0</v>
      </c>
      <c r="E28" s="166">
        <f>E11*Macro!E$4</f>
        <v>226.05644999999998</v>
      </c>
      <c r="F28" s="166">
        <f>F11*Macro!F$4</f>
        <v>5238.1865495000002</v>
      </c>
      <c r="G28" s="166">
        <f>G11*Macro!G$4</f>
        <v>14223.36</v>
      </c>
      <c r="H28" s="263">
        <f t="shared" ref="H28:O28" si="6">H29*H20</f>
        <v>18472.937411764709</v>
      </c>
      <c r="I28" s="263">
        <f t="shared" si="6"/>
        <v>22768.810465882358</v>
      </c>
      <c r="J28" s="263">
        <f t="shared" si="6"/>
        <v>28492.346307764714</v>
      </c>
      <c r="K28" s="263">
        <f t="shared" si="6"/>
        <v>34501.014500894133</v>
      </c>
      <c r="L28" s="263">
        <f t="shared" si="6"/>
        <v>40731.417485854137</v>
      </c>
      <c r="M28" s="263">
        <f t="shared" si="6"/>
        <v>46907.162270185443</v>
      </c>
      <c r="N28" s="263">
        <f t="shared" si="6"/>
        <v>53490.221229375289</v>
      </c>
      <c r="O28" s="263">
        <f t="shared" si="6"/>
        <v>60458.247689837161</v>
      </c>
    </row>
    <row r="29" spans="1:15" x14ac:dyDescent="0.6">
      <c r="A29" s="92" t="s">
        <v>304</v>
      </c>
      <c r="B29" s="92"/>
      <c r="C29" s="150">
        <f>C28/C20</f>
        <v>0</v>
      </c>
      <c r="D29" s="150">
        <f>D28/D20</f>
        <v>0</v>
      </c>
      <c r="E29" s="220">
        <f>E28/E20</f>
        <v>7.7888592454654522E-3</v>
      </c>
      <c r="F29" s="220">
        <f>F28/F20</f>
        <v>9.7096293691103008E-2</v>
      </c>
      <c r="G29" s="220">
        <f>G28/G20</f>
        <v>0.17573380566801619</v>
      </c>
      <c r="H29" s="158">
        <f t="shared" ref="H29:O29" si="7">G29</f>
        <v>0.17573380566801619</v>
      </c>
      <c r="I29" s="158">
        <f t="shared" si="7"/>
        <v>0.17573380566801619</v>
      </c>
      <c r="J29" s="158">
        <f t="shared" si="7"/>
        <v>0.17573380566801619</v>
      </c>
      <c r="K29" s="158">
        <f t="shared" si="7"/>
        <v>0.17573380566801619</v>
      </c>
      <c r="L29" s="158">
        <f t="shared" si="7"/>
        <v>0.17573380566801619</v>
      </c>
      <c r="M29" s="158">
        <f t="shared" si="7"/>
        <v>0.17573380566801619</v>
      </c>
      <c r="N29" s="158">
        <f t="shared" si="7"/>
        <v>0.17573380566801619</v>
      </c>
      <c r="O29" s="158">
        <f t="shared" si="7"/>
        <v>0.17573380566801619</v>
      </c>
    </row>
    <row r="30" spans="1:15" x14ac:dyDescent="0.6">
      <c r="A30" s="92"/>
      <c r="B30" s="92"/>
      <c r="C30" s="149"/>
      <c r="D30" s="161"/>
      <c r="E30" s="161"/>
      <c r="F30" s="231"/>
      <c r="G30" s="162"/>
      <c r="H30" s="162"/>
      <c r="I30" s="162"/>
      <c r="J30" s="162"/>
      <c r="K30" s="162"/>
      <c r="L30" s="162"/>
      <c r="M30" s="162"/>
      <c r="N30" s="162"/>
      <c r="O30" s="162"/>
    </row>
    <row r="31" spans="1:15" x14ac:dyDescent="0.6">
      <c r="A31" t="s">
        <v>117</v>
      </c>
      <c r="B31" s="92"/>
      <c r="C31" s="166">
        <f>C14*Macro!C$4</f>
        <v>6493.7773200000001</v>
      </c>
      <c r="D31" s="166">
        <f>D14*Macro!D$4</f>
        <v>11997.378550000001</v>
      </c>
      <c r="E31" s="166">
        <f>E14*Macro!E$4</f>
        <v>17311.76671</v>
      </c>
      <c r="F31" s="166">
        <f>F14*Macro!F$4</f>
        <v>27244.888299499999</v>
      </c>
      <c r="G31" s="166">
        <f>G14*Macro!G$4</f>
        <v>36116.480000000003</v>
      </c>
      <c r="H31" s="166">
        <f ca="1">H32*Master!H172</f>
        <v>22134.128135649855</v>
      </c>
      <c r="I31" s="166">
        <f ca="1">I32*Master!I172</f>
        <v>26338.053838984055</v>
      </c>
      <c r="J31" s="166">
        <f ca="1">J32*Master!J172</f>
        <v>32807.787691275247</v>
      </c>
      <c r="K31" s="166">
        <f ca="1">K32*Master!K172</f>
        <v>39599.827627813786</v>
      </c>
      <c r="L31" s="166">
        <f ca="1">L32*Master!L172</f>
        <v>46642.510720710234</v>
      </c>
      <c r="M31" s="166">
        <f ca="1">M32*Master!M172</f>
        <v>53623.40962622987</v>
      </c>
      <c r="N31" s="166">
        <f ca="1">N32*Master!N172</f>
        <v>61064.725724617761</v>
      </c>
      <c r="O31" s="166">
        <f ca="1">O32*Master!O172</f>
        <v>68941.198925855642</v>
      </c>
    </row>
    <row r="32" spans="1:15" x14ac:dyDescent="0.6">
      <c r="A32" s="92" t="s">
        <v>301</v>
      </c>
      <c r="B32" s="92"/>
      <c r="C32" s="150">
        <f>C31/(Master!C154*Macro!C$4)</f>
        <v>1.0320852321714498</v>
      </c>
      <c r="D32" s="150">
        <f>D31/(Master!D154*Macro!D$4)</f>
        <v>1.068185896285663</v>
      </c>
      <c r="E32" s="150">
        <f>E31/(Master!E154*Macro!E$4)</f>
        <v>1.1452095293753652</v>
      </c>
      <c r="F32" s="150">
        <f>F31/(Master!F154*Macro!F$4)</f>
        <v>1.0212653488128856</v>
      </c>
      <c r="G32" s="150">
        <f>G31/(Master!G154*Macro!G$4)</f>
        <v>0.85679582169318602</v>
      </c>
      <c r="H32" s="158">
        <f t="shared" ref="H32:O32" si="8">G32</f>
        <v>0.85679582169318602</v>
      </c>
      <c r="I32" s="158">
        <f t="shared" si="8"/>
        <v>0.85679582169318602</v>
      </c>
      <c r="J32" s="158">
        <f t="shared" si="8"/>
        <v>0.85679582169318602</v>
      </c>
      <c r="K32" s="158">
        <f t="shared" si="8"/>
        <v>0.85679582169318602</v>
      </c>
      <c r="L32" s="158">
        <f t="shared" si="8"/>
        <v>0.85679582169318602</v>
      </c>
      <c r="M32" s="158">
        <f t="shared" si="8"/>
        <v>0.85679582169318602</v>
      </c>
      <c r="N32" s="158">
        <f t="shared" si="8"/>
        <v>0.85679582169318602</v>
      </c>
      <c r="O32" s="158">
        <f t="shared" si="8"/>
        <v>0.85679582169318602</v>
      </c>
    </row>
  </sheetData>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2B893-FEED-42F2-9732-C0534C80D257}">
  <dimension ref="A1:R17"/>
  <sheetViews>
    <sheetView showGridLines="0" zoomScale="76" zoomScaleNormal="80" workbookViewId="0">
      <selection activeCell="B5" sqref="B5"/>
    </sheetView>
  </sheetViews>
  <sheetFormatPr defaultRowHeight="15.6" x14ac:dyDescent="0.6"/>
  <cols>
    <col min="1" max="1" width="18" bestFit="1" customWidth="1"/>
    <col min="17" max="17" width="10.59765625" bestFit="1" customWidth="1"/>
    <col min="18" max="18" width="10.19921875" bestFit="1" customWidth="1"/>
  </cols>
  <sheetData>
    <row r="1" spans="1:18" x14ac:dyDescent="0.6">
      <c r="B1" s="32">
        <v>2017</v>
      </c>
      <c r="C1" s="32">
        <v>2018</v>
      </c>
      <c r="D1" s="32">
        <v>2019</v>
      </c>
      <c r="E1" s="32">
        <v>2020</v>
      </c>
      <c r="F1" s="32">
        <v>2021</v>
      </c>
      <c r="G1" s="32">
        <v>2022</v>
      </c>
      <c r="H1" s="72">
        <v>2023</v>
      </c>
      <c r="I1" s="72">
        <v>2024</v>
      </c>
      <c r="J1" s="72">
        <v>2025</v>
      </c>
      <c r="K1" s="72">
        <v>2026</v>
      </c>
      <c r="L1" s="72">
        <v>2027</v>
      </c>
      <c r="M1" s="72">
        <v>2028</v>
      </c>
      <c r="N1" s="72">
        <v>2029</v>
      </c>
      <c r="O1" s="72">
        <v>2030</v>
      </c>
      <c r="Q1" s="17"/>
      <c r="R1" s="73"/>
    </row>
    <row r="2" spans="1:18" s="17" customFormat="1" ht="14.4" x14ac:dyDescent="0.55000000000000004">
      <c r="A2" s="17" t="s">
        <v>65</v>
      </c>
      <c r="B2" s="74">
        <v>9.9299999999999999E-2</v>
      </c>
      <c r="C2" s="74">
        <v>6.4199999999999993E-2</v>
      </c>
      <c r="D2" s="75">
        <v>5.96E-2</v>
      </c>
      <c r="E2" s="75">
        <v>2.7699999999999999E-2</v>
      </c>
      <c r="F2" s="75">
        <v>4.3499999999999997E-2</v>
      </c>
      <c r="G2" s="75">
        <v>0.127</v>
      </c>
      <c r="H2" s="75">
        <v>0.13385416666666666</v>
      </c>
      <c r="I2" s="75">
        <v>0.10250000000000001</v>
      </c>
      <c r="J2" s="75">
        <v>8.5000000000000006E-2</v>
      </c>
      <c r="K2" s="744">
        <v>0.08</v>
      </c>
      <c r="L2" s="744">
        <v>0.08</v>
      </c>
      <c r="M2" s="744">
        <v>0.08</v>
      </c>
      <c r="N2" s="744">
        <v>0.08</v>
      </c>
      <c r="O2" s="744">
        <v>0.08</v>
      </c>
    </row>
    <row r="4" spans="1:18" x14ac:dyDescent="0.6">
      <c r="A4" t="s">
        <v>858</v>
      </c>
      <c r="B4" s="349">
        <v>3.3079999999999998</v>
      </c>
      <c r="C4" s="349">
        <v>3.8748</v>
      </c>
      <c r="D4" s="349">
        <v>4.0307000000000004</v>
      </c>
      <c r="E4" s="349">
        <v>5.1966999999999999</v>
      </c>
      <c r="F4" s="349">
        <v>5.5804999999999998</v>
      </c>
      <c r="G4" s="349">
        <v>5.12</v>
      </c>
      <c r="H4" s="1098">
        <v>5.04</v>
      </c>
      <c r="I4" s="349">
        <f>I5</f>
        <v>5.17</v>
      </c>
      <c r="J4" s="349">
        <f t="shared" ref="J4:O4" si="0">I4</f>
        <v>5.17</v>
      </c>
      <c r="K4" s="349">
        <f t="shared" si="0"/>
        <v>5.17</v>
      </c>
      <c r="L4" s="349">
        <f t="shared" si="0"/>
        <v>5.17</v>
      </c>
      <c r="M4" s="349">
        <f t="shared" si="0"/>
        <v>5.17</v>
      </c>
      <c r="N4" s="349">
        <f t="shared" si="0"/>
        <v>5.17</v>
      </c>
      <c r="O4" s="349">
        <f t="shared" si="0"/>
        <v>5.17</v>
      </c>
    </row>
    <row r="5" spans="1:18" x14ac:dyDescent="0.6">
      <c r="A5" t="s">
        <v>859</v>
      </c>
      <c r="B5" s="349">
        <v>3.1924999999999999</v>
      </c>
      <c r="C5" s="349">
        <v>3.6558000000000002</v>
      </c>
      <c r="D5" s="349">
        <v>3.9460999999999999</v>
      </c>
      <c r="E5" s="349">
        <v>5.1551999999999998</v>
      </c>
      <c r="F5" s="349">
        <v>5.3956</v>
      </c>
      <c r="G5" s="349">
        <v>5.16</v>
      </c>
      <c r="H5" s="1098">
        <v>5.0149999999999997</v>
      </c>
      <c r="I5" s="1098">
        <v>5.17</v>
      </c>
      <c r="J5" s="1098">
        <f>J4</f>
        <v>5.17</v>
      </c>
      <c r="K5" s="1098">
        <f t="shared" ref="K5:O5" si="1">K4</f>
        <v>5.17</v>
      </c>
      <c r="L5" s="1098">
        <f t="shared" si="1"/>
        <v>5.17</v>
      </c>
      <c r="M5" s="1098">
        <f t="shared" si="1"/>
        <v>5.17</v>
      </c>
      <c r="N5" s="1098">
        <f t="shared" si="1"/>
        <v>5.17</v>
      </c>
      <c r="O5" s="1098">
        <f t="shared" si="1"/>
        <v>5.17</v>
      </c>
    </row>
    <row r="8" spans="1:18" x14ac:dyDescent="0.6">
      <c r="G8" s="194"/>
    </row>
    <row r="10" spans="1:18" ht="15.9" thickBot="1" x14ac:dyDescent="0.65"/>
    <row r="11" spans="1:18" x14ac:dyDescent="0.6">
      <c r="A11" t="s">
        <v>443</v>
      </c>
      <c r="B11" s="291">
        <v>0.105</v>
      </c>
      <c r="F11" s="1242" t="s">
        <v>444</v>
      </c>
      <c r="G11" s="1243"/>
      <c r="H11" s="1243"/>
      <c r="I11" s="1243"/>
      <c r="J11" s="1243"/>
      <c r="K11" s="1244"/>
    </row>
    <row r="12" spans="1:18" x14ac:dyDescent="0.6">
      <c r="B12" s="291"/>
      <c r="E12" s="292">
        <f>Master!G57</f>
        <v>-7.5953238412574356E-2</v>
      </c>
      <c r="F12" s="298">
        <f>G12-1%</f>
        <v>9.2500000000000013E-2</v>
      </c>
      <c r="G12" s="293">
        <f>H12-1%</f>
        <v>0.10250000000000001</v>
      </c>
      <c r="H12" s="293">
        <v>0.1125</v>
      </c>
      <c r="I12" s="293">
        <f>H12+1%</f>
        <v>0.1225</v>
      </c>
      <c r="J12" s="293">
        <f>I12+1%</f>
        <v>0.13250000000000001</v>
      </c>
      <c r="K12" s="294">
        <f>J12+1%</f>
        <v>0.14250000000000002</v>
      </c>
    </row>
    <row r="13" spans="1:18" x14ac:dyDescent="0.6">
      <c r="E13" s="280"/>
      <c r="F13" s="299">
        <f t="dataTable" ref="F13:K17" dt2D="1" dtr="1" r1="B11" r2="B12"/>
        <v>-7.5953238412574356E-2</v>
      </c>
      <c r="G13" s="111">
        <v>-7.5953238412574356E-2</v>
      </c>
      <c r="H13" s="111">
        <v>-7.5953238412574356E-2</v>
      </c>
      <c r="I13" s="111">
        <v>-7.5953238412574356E-2</v>
      </c>
      <c r="J13" s="111">
        <v>-7.5953238412574356E-2</v>
      </c>
      <c r="K13" s="295">
        <v>-7.5953238412574356E-2</v>
      </c>
    </row>
    <row r="14" spans="1:18" x14ac:dyDescent="0.6">
      <c r="E14" s="280"/>
      <c r="F14" s="299">
        <v>-7.5953238412574356E-2</v>
      </c>
      <c r="G14" s="111">
        <v>-7.5953238412574356E-2</v>
      </c>
      <c r="H14" s="111">
        <v>-7.5953238412574356E-2</v>
      </c>
      <c r="I14" s="111">
        <v>-7.5953238412574356E-2</v>
      </c>
      <c r="J14" s="111">
        <v>-7.5953238412574356E-2</v>
      </c>
      <c r="K14" s="295">
        <v>-7.5953238412574356E-2</v>
      </c>
    </row>
    <row r="15" spans="1:18" x14ac:dyDescent="0.6">
      <c r="E15" s="280"/>
      <c r="F15" s="299">
        <v>-7.5953238412574356E-2</v>
      </c>
      <c r="G15" s="111">
        <v>-7.5953238412574356E-2</v>
      </c>
      <c r="H15" s="111">
        <v>-7.5953238412574356E-2</v>
      </c>
      <c r="I15" s="111">
        <v>-7.5953238412574356E-2</v>
      </c>
      <c r="J15" s="111">
        <v>-7.5953238412574356E-2</v>
      </c>
      <c r="K15" s="295">
        <v>-7.5953238412574356E-2</v>
      </c>
    </row>
    <row r="16" spans="1:18" x14ac:dyDescent="0.6">
      <c r="E16" s="280"/>
      <c r="F16" s="299">
        <v>-7.5953238412574356E-2</v>
      </c>
      <c r="G16" s="111">
        <v>-7.5953238412574356E-2</v>
      </c>
      <c r="H16" s="111">
        <v>-7.5953238412574356E-2</v>
      </c>
      <c r="I16" s="111">
        <v>-7.5953238412574356E-2</v>
      </c>
      <c r="J16" s="111">
        <v>-7.5953238412574356E-2</v>
      </c>
      <c r="K16" s="295">
        <v>-7.5953238412574356E-2</v>
      </c>
    </row>
    <row r="17" spans="5:11" ht="15.9" thickBot="1" x14ac:dyDescent="0.65">
      <c r="E17" s="280"/>
      <c r="F17" s="300">
        <v>-7.5953238412574356E-2</v>
      </c>
      <c r="G17" s="296">
        <v>-7.5953238412574356E-2</v>
      </c>
      <c r="H17" s="296">
        <v>-7.5953238412574356E-2</v>
      </c>
      <c r="I17" s="296">
        <v>-7.5953238412574356E-2</v>
      </c>
      <c r="J17" s="296">
        <v>-7.5953238412574356E-2</v>
      </c>
      <c r="K17" s="297">
        <v>-7.5953238412574356E-2</v>
      </c>
    </row>
  </sheetData>
  <mergeCells count="1">
    <mergeCell ref="F11:K11"/>
  </mergeCells>
  <conditionalFormatting sqref="F13:K17">
    <cfRule type="colorScale" priority="1">
      <colorScale>
        <cfvo type="min"/>
        <cfvo type="percentile" val="50"/>
        <cfvo type="max"/>
        <color rgb="FF63BE7B"/>
        <color rgb="FFFFEB84"/>
        <color rgb="FFF8696B"/>
      </colorScale>
    </cfRule>
  </conditionalFormatting>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2DD24-1621-4A0E-AFD4-7206B5746650}">
  <dimension ref="B2:AN224"/>
  <sheetViews>
    <sheetView showGridLines="0" zoomScale="80" zoomScaleNormal="80" workbookViewId="0">
      <selection activeCell="B178" sqref="B178"/>
    </sheetView>
  </sheetViews>
  <sheetFormatPr defaultRowHeight="15.6" outlineLevelRow="1" outlineLevelCol="1" x14ac:dyDescent="0.6"/>
  <cols>
    <col min="2" max="2" width="54.69921875" customWidth="1"/>
    <col min="3" max="3" width="9.09765625" hidden="1" customWidth="1"/>
    <col min="4" max="6" width="9.19921875" customWidth="1"/>
    <col min="7" max="14" width="9.09765625" customWidth="1"/>
    <col min="16" max="29" width="8.69921875" hidden="1" customWidth="1" outlineLevel="1"/>
    <col min="30" max="30" width="8.69921875" collapsed="1"/>
  </cols>
  <sheetData>
    <row r="2" spans="2:40" x14ac:dyDescent="0.6">
      <c r="B2" s="128" t="s">
        <v>136</v>
      </c>
      <c r="C2" s="128">
        <v>2019</v>
      </c>
      <c r="D2" s="128">
        <f>C2+1</f>
        <v>2020</v>
      </c>
      <c r="E2" s="128">
        <f t="shared" ref="E2:N2" si="0">D2+1</f>
        <v>2021</v>
      </c>
      <c r="F2" s="128">
        <f t="shared" si="0"/>
        <v>2022</v>
      </c>
      <c r="G2" s="128">
        <f t="shared" si="0"/>
        <v>2023</v>
      </c>
      <c r="H2" s="128">
        <f t="shared" si="0"/>
        <v>2024</v>
      </c>
      <c r="I2" s="128">
        <f t="shared" si="0"/>
        <v>2025</v>
      </c>
      <c r="J2" s="128">
        <f t="shared" si="0"/>
        <v>2026</v>
      </c>
      <c r="K2" s="128">
        <f t="shared" si="0"/>
        <v>2027</v>
      </c>
      <c r="L2" s="128">
        <f t="shared" si="0"/>
        <v>2028</v>
      </c>
      <c r="M2" s="128">
        <f t="shared" si="0"/>
        <v>2029</v>
      </c>
      <c r="N2" s="128">
        <f t="shared" si="0"/>
        <v>2030</v>
      </c>
      <c r="O2" s="79"/>
      <c r="P2" s="350">
        <v>2019</v>
      </c>
      <c r="Q2" s="350">
        <v>2020</v>
      </c>
      <c r="R2" s="350">
        <v>2021</v>
      </c>
      <c r="S2" s="350">
        <v>2022</v>
      </c>
      <c r="T2" s="350">
        <v>2023</v>
      </c>
      <c r="U2" s="350">
        <v>2024</v>
      </c>
      <c r="V2" s="350">
        <v>2025</v>
      </c>
      <c r="W2" s="350">
        <v>2026</v>
      </c>
      <c r="X2" s="350">
        <v>2027</v>
      </c>
      <c r="Y2" s="350">
        <v>2028</v>
      </c>
      <c r="Z2" s="350">
        <v>2029</v>
      </c>
      <c r="AA2" s="350">
        <v>2030</v>
      </c>
      <c r="AC2" s="235">
        <v>2019</v>
      </c>
      <c r="AD2" s="235">
        <f t="shared" ref="AD2:AN2" si="1">AC2+1</f>
        <v>2020</v>
      </c>
      <c r="AE2" s="235">
        <f t="shared" si="1"/>
        <v>2021</v>
      </c>
      <c r="AF2" s="235">
        <f t="shared" si="1"/>
        <v>2022</v>
      </c>
      <c r="AG2" s="235">
        <f t="shared" si="1"/>
        <v>2023</v>
      </c>
      <c r="AH2" s="235">
        <f t="shared" si="1"/>
        <v>2024</v>
      </c>
      <c r="AI2" s="235">
        <f t="shared" si="1"/>
        <v>2025</v>
      </c>
      <c r="AJ2" s="235">
        <f t="shared" si="1"/>
        <v>2026</v>
      </c>
      <c r="AK2" s="235">
        <f t="shared" si="1"/>
        <v>2027</v>
      </c>
      <c r="AL2" s="235">
        <f t="shared" si="1"/>
        <v>2028</v>
      </c>
      <c r="AM2" s="235">
        <f t="shared" si="1"/>
        <v>2029</v>
      </c>
      <c r="AN2" s="235">
        <f t="shared" si="1"/>
        <v>2030</v>
      </c>
    </row>
    <row r="3" spans="2:40" x14ac:dyDescent="0.6">
      <c r="B3" s="77" t="s">
        <v>367</v>
      </c>
      <c r="C3" s="430">
        <f>Drivers!D8</f>
        <v>12.1</v>
      </c>
      <c r="D3" s="430">
        <f>Drivers!E8</f>
        <v>21.8</v>
      </c>
      <c r="E3" s="430">
        <f>Drivers!F8</f>
        <v>41.1</v>
      </c>
      <c r="F3" s="430">
        <f>Drivers!G8</f>
        <v>61.2</v>
      </c>
      <c r="G3" s="430">
        <f>Drivers!H8</f>
        <v>75.7</v>
      </c>
      <c r="H3" s="430">
        <f>Drivers!I8</f>
        <v>87.2</v>
      </c>
      <c r="I3" s="430">
        <f>Drivers!J8</f>
        <v>99.2</v>
      </c>
      <c r="J3" s="430">
        <f>Drivers!K8</f>
        <v>109.2</v>
      </c>
      <c r="K3" s="430">
        <f>Drivers!L8</f>
        <v>117.2</v>
      </c>
      <c r="L3" s="430">
        <f>Drivers!M8</f>
        <v>122.7</v>
      </c>
      <c r="M3" s="430">
        <f>Drivers!N8</f>
        <v>127.2</v>
      </c>
      <c r="N3" s="430">
        <f>Drivers!O8</f>
        <v>130.70000000000002</v>
      </c>
      <c r="O3" s="79"/>
      <c r="P3" s="351">
        <v>12.1</v>
      </c>
      <c r="Q3" s="351">
        <v>21.8</v>
      </c>
      <c r="R3" s="351">
        <v>40.884435504561836</v>
      </c>
      <c r="S3" s="351">
        <v>48.381043136743557</v>
      </c>
      <c r="T3" s="351">
        <v>52.682959048576805</v>
      </c>
      <c r="U3" s="351">
        <v>56.740091374054373</v>
      </c>
      <c r="V3" s="351">
        <v>60.276247890001081</v>
      </c>
      <c r="W3" s="351">
        <v>63.951505090400182</v>
      </c>
      <c r="X3" s="351">
        <v>66.994484432689291</v>
      </c>
      <c r="Y3" s="351">
        <v>70.866869160797748</v>
      </c>
      <c r="Z3" s="351">
        <v>74.541473579775513</v>
      </c>
      <c r="AA3" s="351">
        <v>78.238817387428554</v>
      </c>
      <c r="AE3" s="362"/>
      <c r="AF3" s="362">
        <f t="shared" ref="AF3:AF65" si="2">F3/S3-1</f>
        <v>0.26495825703933473</v>
      </c>
      <c r="AG3" s="362">
        <f t="shared" ref="AG3:AG65" si="3">G3/T3-1</f>
        <v>0.43689726938458651</v>
      </c>
      <c r="AH3" s="362">
        <f t="shared" ref="AH3:AH65" si="4">H3/U3-1</f>
        <v>0.53683220961244493</v>
      </c>
      <c r="AI3" s="362">
        <f t="shared" ref="AI3:AI65" si="5">I3/V3-1</f>
        <v>0.64575605603440001</v>
      </c>
      <c r="AJ3" s="362">
        <f t="shared" ref="AJ3:AJ65" si="6">J3/W3-1</f>
        <v>0.70754386226935129</v>
      </c>
      <c r="AK3" s="362">
        <f t="shared" ref="AK3:AK65" si="7">K3/X3-1</f>
        <v>0.74939774508979484</v>
      </c>
      <c r="AL3" s="362">
        <f t="shared" ref="AL3:AL65" si="8">L3/Y3-1</f>
        <v>0.73141556065630997</v>
      </c>
      <c r="AM3" s="362">
        <f t="shared" ref="AM3:AM65" si="9">M3/Z3-1</f>
        <v>0.70643259237246592</v>
      </c>
      <c r="AN3" s="362">
        <f t="shared" ref="AN3:AN65" si="10">N3/AA3-1</f>
        <v>0.67052627281916144</v>
      </c>
    </row>
    <row r="4" spans="2:40" x14ac:dyDescent="0.6">
      <c r="B4" s="79"/>
      <c r="C4" s="155"/>
      <c r="D4" s="155"/>
      <c r="E4" s="155"/>
      <c r="F4" s="155"/>
      <c r="G4" s="155"/>
      <c r="H4" s="155"/>
      <c r="I4" s="155"/>
      <c r="J4" s="155"/>
      <c r="K4" s="155"/>
      <c r="L4" s="155"/>
      <c r="M4" s="155"/>
      <c r="N4" s="155"/>
      <c r="O4" s="79"/>
      <c r="P4" s="351"/>
      <c r="Q4" s="351"/>
      <c r="R4" s="351"/>
      <c r="S4" s="351"/>
      <c r="T4" s="351"/>
      <c r="U4" s="351"/>
      <c r="V4" s="351"/>
      <c r="W4" s="351"/>
      <c r="X4" s="351"/>
      <c r="Y4" s="351"/>
      <c r="Z4" s="351"/>
      <c r="AA4" s="351"/>
      <c r="AE4" s="362"/>
      <c r="AF4" s="362"/>
      <c r="AG4" s="362"/>
      <c r="AH4" s="362"/>
      <c r="AI4" s="362"/>
      <c r="AJ4" s="362"/>
      <c r="AK4" s="362"/>
      <c r="AL4" s="362"/>
      <c r="AM4" s="362"/>
      <c r="AN4" s="362"/>
    </row>
    <row r="5" spans="2:40" hidden="1" outlineLevel="1" x14ac:dyDescent="0.6">
      <c r="B5" s="82" t="s">
        <v>368</v>
      </c>
      <c r="C5" s="155"/>
      <c r="D5" s="155"/>
      <c r="E5" s="155"/>
      <c r="F5" s="155"/>
      <c r="G5" s="155"/>
      <c r="H5" s="155"/>
      <c r="I5" s="155"/>
      <c r="J5" s="155"/>
      <c r="K5" s="155"/>
      <c r="L5" s="155"/>
      <c r="M5" s="155"/>
      <c r="N5" s="155"/>
      <c r="O5" s="79"/>
      <c r="P5" s="351"/>
      <c r="Q5" s="351"/>
      <c r="R5" s="351"/>
      <c r="S5" s="351"/>
      <c r="T5" s="351"/>
      <c r="U5" s="351"/>
      <c r="V5" s="351"/>
      <c r="W5" s="351"/>
      <c r="X5" s="351"/>
      <c r="Y5" s="351"/>
      <c r="Z5" s="351"/>
      <c r="AA5" s="351"/>
      <c r="AE5" s="362"/>
      <c r="AF5" s="362"/>
      <c r="AG5" s="362"/>
      <c r="AH5" s="362"/>
      <c r="AI5" s="362"/>
      <c r="AJ5" s="362"/>
      <c r="AK5" s="362"/>
      <c r="AL5" s="362"/>
      <c r="AM5" s="362"/>
      <c r="AN5" s="362"/>
    </row>
    <row r="6" spans="2:40" hidden="1" outlineLevel="1" x14ac:dyDescent="0.6">
      <c r="B6" s="79" t="s">
        <v>228</v>
      </c>
      <c r="C6" s="155">
        <f>C23</f>
        <v>8.7724999999999991</v>
      </c>
      <c r="D6" s="155">
        <f t="shared" ref="D6:N6" si="11">D23</f>
        <v>15.805</v>
      </c>
      <c r="E6" s="155">
        <f t="shared" si="11"/>
        <v>23.973729128014842</v>
      </c>
      <c r="F6" s="155">
        <f t="shared" si="11"/>
        <v>32.313672922252017</v>
      </c>
      <c r="G6" s="155">
        <f t="shared" si="11"/>
        <v>39.998766756032175</v>
      </c>
      <c r="H6" s="155">
        <f t="shared" si="11"/>
        <v>46.581997319034862</v>
      </c>
      <c r="I6" s="155">
        <f t="shared" si="11"/>
        <v>53.665227882037541</v>
      </c>
      <c r="J6" s="155">
        <f t="shared" si="11"/>
        <v>56.465227882037539</v>
      </c>
      <c r="K6" s="155">
        <f t="shared" si="11"/>
        <v>58.56522788203754</v>
      </c>
      <c r="L6" s="155">
        <f t="shared" si="11"/>
        <v>59.965227882037539</v>
      </c>
      <c r="M6" s="155">
        <f t="shared" si="11"/>
        <v>61.365227882037537</v>
      </c>
      <c r="N6" s="155">
        <f t="shared" si="11"/>
        <v>62.765227882037536</v>
      </c>
      <c r="O6" s="79"/>
      <c r="P6" s="351">
        <v>8.7724999999999991</v>
      </c>
      <c r="Q6" s="351">
        <v>15.805</v>
      </c>
      <c r="R6" s="351">
        <v>28.689754054907329</v>
      </c>
      <c r="S6" s="351">
        <v>33.513763935873953</v>
      </c>
      <c r="T6" s="351">
        <v>36.170154753441253</v>
      </c>
      <c r="U6" s="351">
        <v>38.899725100072686</v>
      </c>
      <c r="V6" s="351">
        <v>41.130535940250873</v>
      </c>
      <c r="W6" s="351">
        <v>43.370128366740154</v>
      </c>
      <c r="X6" s="351">
        <v>45.616374426552461</v>
      </c>
      <c r="Y6" s="351">
        <v>47.867831951002088</v>
      </c>
      <c r="Z6" s="351">
        <v>50.12326388980582</v>
      </c>
      <c r="AA6" s="351">
        <v>52.381395143999995</v>
      </c>
      <c r="AE6" s="362"/>
      <c r="AF6" s="362"/>
      <c r="AG6" s="362"/>
      <c r="AH6" s="362"/>
      <c r="AI6" s="362"/>
      <c r="AJ6" s="362"/>
      <c r="AK6" s="362"/>
      <c r="AL6" s="362"/>
      <c r="AM6" s="362"/>
      <c r="AN6" s="362"/>
    </row>
    <row r="7" spans="2:40" hidden="1" outlineLevel="1" x14ac:dyDescent="0.6">
      <c r="B7" s="79" t="s">
        <v>229</v>
      </c>
      <c r="C7" s="155">
        <f>C31</f>
        <v>0</v>
      </c>
      <c r="D7" s="155">
        <f t="shared" ref="D7:N7" si="12">D31</f>
        <v>0</v>
      </c>
      <c r="E7" s="155">
        <f t="shared" si="12"/>
        <v>0.64051948051948049</v>
      </c>
      <c r="F7" s="155">
        <f t="shared" si="12"/>
        <v>1.4584450402144775</v>
      </c>
      <c r="G7" s="155">
        <f t="shared" si="12"/>
        <v>4.5751206434316352</v>
      </c>
      <c r="H7" s="155">
        <f t="shared" si="12"/>
        <v>8.206380697050939</v>
      </c>
      <c r="I7" s="155">
        <f t="shared" si="12"/>
        <v>12.337640750670241</v>
      </c>
      <c r="J7" s="155">
        <f t="shared" si="12"/>
        <v>15.837640750670239</v>
      </c>
      <c r="K7" s="155">
        <f t="shared" si="12"/>
        <v>18.63764075067024</v>
      </c>
      <c r="L7" s="155">
        <f t="shared" si="12"/>
        <v>20.737640750670241</v>
      </c>
      <c r="M7" s="155">
        <f t="shared" si="12"/>
        <v>22.13764075067024</v>
      </c>
      <c r="N7" s="155">
        <f t="shared" si="12"/>
        <v>22.837640750670243</v>
      </c>
      <c r="O7" s="79"/>
      <c r="P7" s="351">
        <v>0</v>
      </c>
      <c r="Q7" s="351">
        <v>0</v>
      </c>
      <c r="R7" s="351">
        <v>0.90532242900000015</v>
      </c>
      <c r="S7" s="351">
        <v>1.9892291579999999</v>
      </c>
      <c r="T7" s="351">
        <v>3.1401902755200006</v>
      </c>
      <c r="U7" s="351">
        <v>4.2421133515599996</v>
      </c>
      <c r="V7" s="351">
        <v>5.5195898111999986</v>
      </c>
      <c r="W7" s="351">
        <v>6.9759413762399989</v>
      </c>
      <c r="X7" s="351">
        <v>7.9682244774699997</v>
      </c>
      <c r="Y7" s="351">
        <v>9.0143547886800022</v>
      </c>
      <c r="Z7" s="351">
        <v>10.114822126500002</v>
      </c>
      <c r="AA7" s="351">
        <v>11.27006104</v>
      </c>
      <c r="AE7" s="362"/>
      <c r="AF7" s="362"/>
      <c r="AG7" s="362"/>
      <c r="AH7" s="362"/>
      <c r="AI7" s="362"/>
      <c r="AJ7" s="362"/>
      <c r="AK7" s="362"/>
      <c r="AL7" s="362"/>
      <c r="AM7" s="362"/>
      <c r="AN7" s="362"/>
    </row>
    <row r="8" spans="2:40" hidden="1" outlineLevel="1" x14ac:dyDescent="0.6">
      <c r="B8" s="81" t="s">
        <v>230</v>
      </c>
      <c r="C8" s="431">
        <f>C39</f>
        <v>0</v>
      </c>
      <c r="D8" s="431">
        <f t="shared" ref="D8:N8" si="13">D39</f>
        <v>0</v>
      </c>
      <c r="E8" s="431">
        <f t="shared" si="13"/>
        <v>4.5751391465677221E-2</v>
      </c>
      <c r="F8" s="431">
        <f t="shared" si="13"/>
        <v>0.22788203753350683</v>
      </c>
      <c r="G8" s="431">
        <f t="shared" si="13"/>
        <v>0.84611260053618731</v>
      </c>
      <c r="H8" s="431">
        <f t="shared" si="13"/>
        <v>1.8916219839142032</v>
      </c>
      <c r="I8" s="431">
        <f t="shared" si="13"/>
        <v>3.4371313672922184</v>
      </c>
      <c r="J8" s="431">
        <f t="shared" si="13"/>
        <v>4.1371313672922181</v>
      </c>
      <c r="K8" s="431">
        <f t="shared" si="13"/>
        <v>4.8371313672922183</v>
      </c>
      <c r="L8" s="431">
        <f t="shared" si="13"/>
        <v>5.1871313672922188</v>
      </c>
      <c r="M8" s="431">
        <f t="shared" si="13"/>
        <v>5.5371313672922184</v>
      </c>
      <c r="N8" s="431">
        <f t="shared" si="13"/>
        <v>5.8871313672922181</v>
      </c>
      <c r="O8" s="79"/>
      <c r="P8" s="352">
        <v>0</v>
      </c>
      <c r="Q8" s="352">
        <v>0</v>
      </c>
      <c r="R8" s="352">
        <v>4.6139256900000002E-2</v>
      </c>
      <c r="S8" s="352">
        <v>0.54088404300000004</v>
      </c>
      <c r="T8" s="352">
        <v>0.99211864319999987</v>
      </c>
      <c r="U8" s="352">
        <v>1.399133277</v>
      </c>
      <c r="V8" s="352">
        <v>1.8722538000000002</v>
      </c>
      <c r="W8" s="352">
        <v>2.4139219566000008</v>
      </c>
      <c r="X8" s="352">
        <v>3.0257404416000009</v>
      </c>
      <c r="Y8" s="352">
        <v>3.7089863928000013</v>
      </c>
      <c r="Z8" s="352">
        <v>4.2402886302000011</v>
      </c>
      <c r="AA8" s="352">
        <v>4.8075090300000003</v>
      </c>
      <c r="AE8" s="362"/>
      <c r="AF8" s="362"/>
      <c r="AG8" s="362"/>
      <c r="AH8" s="362"/>
      <c r="AI8" s="362"/>
      <c r="AJ8" s="362"/>
      <c r="AK8" s="362"/>
      <c r="AL8" s="362"/>
      <c r="AM8" s="362"/>
      <c r="AN8" s="362"/>
    </row>
    <row r="9" spans="2:40" hidden="1" outlineLevel="1" x14ac:dyDescent="0.6">
      <c r="B9" s="79" t="s">
        <v>346</v>
      </c>
      <c r="C9" s="155">
        <f>Drivers!D27</f>
        <v>8.7724999999999991</v>
      </c>
      <c r="D9" s="155">
        <f>Drivers!E27</f>
        <v>15.805</v>
      </c>
      <c r="E9" s="155">
        <f>Drivers!F27</f>
        <v>24.66</v>
      </c>
      <c r="F9" s="155">
        <f>Drivers!G27</f>
        <v>34</v>
      </c>
      <c r="G9" s="155">
        <f>Drivers!H27</f>
        <v>45.42</v>
      </c>
      <c r="H9" s="155">
        <f>Drivers!I27</f>
        <v>56.680000000000007</v>
      </c>
      <c r="I9" s="155">
        <f>Drivers!J27</f>
        <v>69.440000000000012</v>
      </c>
      <c r="J9" s="155">
        <f>Drivers!K27</f>
        <v>76.439999999999984</v>
      </c>
      <c r="K9" s="155">
        <f>Drivers!L27</f>
        <v>82.039999999999992</v>
      </c>
      <c r="L9" s="155">
        <f>Drivers!M27</f>
        <v>85.89</v>
      </c>
      <c r="M9" s="155">
        <f>Drivers!N27</f>
        <v>89.039999999999992</v>
      </c>
      <c r="N9" s="155">
        <f>Drivers!O27</f>
        <v>91.49</v>
      </c>
      <c r="O9" s="79"/>
      <c r="P9" s="351">
        <v>8.7724999999999991</v>
      </c>
      <c r="Q9" s="351">
        <v>15.805</v>
      </c>
      <c r="R9" s="351">
        <v>29.641215740807329</v>
      </c>
      <c r="S9" s="351">
        <v>36.043877136873952</v>
      </c>
      <c r="T9" s="351">
        <v>40.302463672161252</v>
      </c>
      <c r="U9" s="351">
        <v>44.540971728632684</v>
      </c>
      <c r="V9" s="351">
        <v>48.522379551450875</v>
      </c>
      <c r="W9" s="351">
        <v>52.759991699580155</v>
      </c>
      <c r="X9" s="351">
        <v>56.610339345622464</v>
      </c>
      <c r="Y9" s="351">
        <v>60.591173132482091</v>
      </c>
      <c r="Z9" s="351">
        <v>64.478374646505827</v>
      </c>
      <c r="AA9" s="351">
        <v>68.458965214000003</v>
      </c>
      <c r="AE9" s="362"/>
      <c r="AF9" s="362"/>
      <c r="AG9" s="362"/>
      <c r="AH9" s="362"/>
      <c r="AI9" s="362"/>
      <c r="AJ9" s="362"/>
      <c r="AK9" s="362"/>
      <c r="AL9" s="362"/>
      <c r="AM9" s="362"/>
      <c r="AN9" s="362"/>
    </row>
    <row r="10" spans="2:40" hidden="1" outlineLevel="1" x14ac:dyDescent="0.6">
      <c r="B10" s="79" t="s">
        <v>347</v>
      </c>
      <c r="C10" s="310">
        <f>C9/C3</f>
        <v>0.72499999999999998</v>
      </c>
      <c r="D10" s="310">
        <f t="shared" ref="D10:N10" si="14">D9/D3</f>
        <v>0.72499999999999998</v>
      </c>
      <c r="E10" s="310">
        <f t="shared" si="14"/>
        <v>0.6</v>
      </c>
      <c r="F10" s="310">
        <f t="shared" si="14"/>
        <v>0.55555555555555558</v>
      </c>
      <c r="G10" s="310">
        <f t="shared" si="14"/>
        <v>0.6</v>
      </c>
      <c r="H10" s="310">
        <f t="shared" si="14"/>
        <v>0.65</v>
      </c>
      <c r="I10" s="310">
        <f t="shared" si="14"/>
        <v>0.70000000000000007</v>
      </c>
      <c r="J10" s="310">
        <f t="shared" si="14"/>
        <v>0.69999999999999984</v>
      </c>
      <c r="K10" s="310">
        <f t="shared" si="14"/>
        <v>0.7</v>
      </c>
      <c r="L10" s="310">
        <f t="shared" si="14"/>
        <v>0.7</v>
      </c>
      <c r="M10" s="310">
        <f t="shared" si="14"/>
        <v>0.7</v>
      </c>
      <c r="N10" s="310">
        <f t="shared" si="14"/>
        <v>0.69999999999999984</v>
      </c>
      <c r="O10" s="79"/>
      <c r="P10" s="353">
        <v>0.72499999999999998</v>
      </c>
      <c r="Q10" s="353">
        <v>0.72499999999999998</v>
      </c>
      <c r="R10" s="353">
        <v>0.72499999999999998</v>
      </c>
      <c r="S10" s="353">
        <v>0.745</v>
      </c>
      <c r="T10" s="353">
        <v>0.7649999999999999</v>
      </c>
      <c r="U10" s="353">
        <v>0.78500000000000003</v>
      </c>
      <c r="V10" s="353">
        <v>0.80500000000000005</v>
      </c>
      <c r="W10" s="353">
        <v>0.82500000000000007</v>
      </c>
      <c r="X10" s="353">
        <v>0.8450000000000002</v>
      </c>
      <c r="Y10" s="353">
        <v>0.8550000000000002</v>
      </c>
      <c r="Z10" s="353">
        <v>0.8650000000000001</v>
      </c>
      <c r="AA10" s="353">
        <v>0.87500000000000022</v>
      </c>
      <c r="AE10" s="362"/>
      <c r="AF10" s="362"/>
      <c r="AG10" s="362"/>
      <c r="AH10" s="362"/>
      <c r="AI10" s="362"/>
      <c r="AJ10" s="362"/>
      <c r="AK10" s="362"/>
      <c r="AL10" s="362"/>
      <c r="AM10" s="362"/>
      <c r="AN10" s="362"/>
    </row>
    <row r="11" spans="2:40" hidden="1" outlineLevel="1" x14ac:dyDescent="0.6">
      <c r="B11" s="79"/>
      <c r="C11" s="79"/>
      <c r="D11" s="79"/>
      <c r="E11" s="79"/>
      <c r="F11" s="79"/>
      <c r="G11" s="79"/>
      <c r="H11" s="79"/>
      <c r="I11" s="79"/>
      <c r="J11" s="79"/>
      <c r="K11" s="79"/>
      <c r="L11" s="79"/>
      <c r="M11" s="79"/>
      <c r="N11" s="79"/>
      <c r="O11" s="79"/>
      <c r="P11" s="354"/>
      <c r="Q11" s="354"/>
      <c r="R11" s="354"/>
      <c r="S11" s="354"/>
      <c r="T11" s="354"/>
      <c r="U11" s="354"/>
      <c r="V11" s="354"/>
      <c r="W11" s="354"/>
      <c r="X11" s="354"/>
      <c r="Y11" s="354"/>
      <c r="Z11" s="354"/>
      <c r="AA11" s="354"/>
      <c r="AE11" s="362"/>
      <c r="AF11" s="362"/>
      <c r="AG11" s="362"/>
      <c r="AH11" s="362"/>
      <c r="AI11" s="362"/>
      <c r="AJ11" s="362"/>
      <c r="AK11" s="362"/>
      <c r="AL11" s="362"/>
      <c r="AM11" s="362"/>
      <c r="AN11" s="362"/>
    </row>
    <row r="12" spans="2:40" hidden="1" outlineLevel="1" x14ac:dyDescent="0.6">
      <c r="B12" s="82" t="s">
        <v>353</v>
      </c>
      <c r="C12" s="79"/>
      <c r="D12" s="79"/>
      <c r="E12" s="79"/>
      <c r="F12" s="79"/>
      <c r="G12" s="79"/>
      <c r="H12" s="79"/>
      <c r="I12" s="79"/>
      <c r="J12" s="79"/>
      <c r="K12" s="79"/>
      <c r="L12" s="79"/>
      <c r="M12" s="79"/>
      <c r="N12" s="79"/>
      <c r="O12" s="79"/>
      <c r="P12" s="354"/>
      <c r="Q12" s="354"/>
      <c r="R12" s="354"/>
      <c r="S12" s="354"/>
      <c r="T12" s="354"/>
      <c r="U12" s="354"/>
      <c r="V12" s="354"/>
      <c r="W12" s="354"/>
      <c r="X12" s="354"/>
      <c r="Y12" s="354"/>
      <c r="Z12" s="354"/>
      <c r="AA12" s="354"/>
      <c r="AE12" s="362"/>
      <c r="AF12" s="362"/>
      <c r="AG12" s="362"/>
      <c r="AH12" s="362"/>
      <c r="AI12" s="362"/>
      <c r="AJ12" s="362"/>
      <c r="AK12" s="362"/>
      <c r="AL12" s="362"/>
      <c r="AM12" s="362"/>
      <c r="AN12" s="362"/>
    </row>
    <row r="13" spans="2:40" hidden="1" outlineLevel="1" x14ac:dyDescent="0.6">
      <c r="B13" s="79" t="str">
        <f>B6</f>
        <v>Brazil</v>
      </c>
      <c r="C13" s="310">
        <f>C6/C$9</f>
        <v>1</v>
      </c>
      <c r="D13" s="310">
        <f t="shared" ref="D13:N13" si="15">D6/D$9</f>
        <v>1</v>
      </c>
      <c r="E13" s="310">
        <f t="shared" si="15"/>
        <v>0.9721706864564007</v>
      </c>
      <c r="F13" s="310">
        <f t="shared" si="15"/>
        <v>0.95040214477211815</v>
      </c>
      <c r="G13" s="310">
        <f t="shared" si="15"/>
        <v>0.88064215667177836</v>
      </c>
      <c r="H13" s="310">
        <f t="shared" si="15"/>
        <v>0.82184187224832139</v>
      </c>
      <c r="I13" s="310">
        <f t="shared" si="15"/>
        <v>0.77282874254086309</v>
      </c>
      <c r="J13" s="310">
        <f t="shared" si="15"/>
        <v>0.73868691630085759</v>
      </c>
      <c r="K13" s="310">
        <f t="shared" si="15"/>
        <v>0.71386187081957031</v>
      </c>
      <c r="L13" s="310">
        <f t="shared" si="15"/>
        <v>0.69816309095398232</v>
      </c>
      <c r="M13" s="310">
        <f t="shared" si="15"/>
        <v>0.68918719544067319</v>
      </c>
      <c r="N13" s="310">
        <f t="shared" si="15"/>
        <v>0.6860337510333101</v>
      </c>
      <c r="O13" s="79"/>
      <c r="P13" s="353">
        <v>1</v>
      </c>
      <c r="Q13" s="353">
        <v>1</v>
      </c>
      <c r="R13" s="353">
        <v>0.96790071992255988</v>
      </c>
      <c r="S13" s="353">
        <v>0.92980463252074463</v>
      </c>
      <c r="T13" s="353">
        <v>0.89746758529865323</v>
      </c>
      <c r="U13" s="353">
        <v>0.8733470238833253</v>
      </c>
      <c r="V13" s="353">
        <v>0.84766114771098489</v>
      </c>
      <c r="W13" s="353">
        <v>0.82202682315974052</v>
      </c>
      <c r="X13" s="353">
        <v>0.80579581316500026</v>
      </c>
      <c r="Y13" s="353">
        <v>0.7900132886739043</v>
      </c>
      <c r="Z13" s="353">
        <v>0.77736549912431874</v>
      </c>
      <c r="AA13" s="353">
        <v>0.7651502616239938</v>
      </c>
      <c r="AE13" s="362"/>
      <c r="AF13" s="362"/>
      <c r="AG13" s="362"/>
      <c r="AH13" s="362"/>
      <c r="AI13" s="362"/>
      <c r="AJ13" s="362"/>
      <c r="AK13" s="362"/>
      <c r="AL13" s="362"/>
      <c r="AM13" s="362"/>
      <c r="AN13" s="362"/>
    </row>
    <row r="14" spans="2:40" hidden="1" outlineLevel="1" x14ac:dyDescent="0.6">
      <c r="B14" s="79" t="str">
        <f>B7</f>
        <v>Mexico</v>
      </c>
      <c r="C14" s="310">
        <f t="shared" ref="C14:N16" si="16">C7/C$9</f>
        <v>0</v>
      </c>
      <c r="D14" s="310">
        <f t="shared" si="16"/>
        <v>0</v>
      </c>
      <c r="E14" s="310">
        <f t="shared" si="16"/>
        <v>2.5974025974025972E-2</v>
      </c>
      <c r="F14" s="310">
        <f t="shared" si="16"/>
        <v>4.2895442359249338E-2</v>
      </c>
      <c r="G14" s="310">
        <f t="shared" si="16"/>
        <v>0.1007292083538449</v>
      </c>
      <c r="H14" s="310">
        <f t="shared" si="16"/>
        <v>0.14478441596773003</v>
      </c>
      <c r="I14" s="310">
        <f t="shared" si="16"/>
        <v>0.1776733979071175</v>
      </c>
      <c r="J14" s="310">
        <f t="shared" si="16"/>
        <v>0.20719048601086137</v>
      </c>
      <c r="K14" s="310">
        <f t="shared" si="16"/>
        <v>0.22717748355278208</v>
      </c>
      <c r="L14" s="310">
        <f t="shared" si="16"/>
        <v>0.24144418151903879</v>
      </c>
      <c r="M14" s="310">
        <f t="shared" si="16"/>
        <v>0.24862579459423004</v>
      </c>
      <c r="N14" s="310">
        <f t="shared" si="16"/>
        <v>0.24961898295628204</v>
      </c>
      <c r="O14" s="79"/>
      <c r="P14" s="353">
        <v>0</v>
      </c>
      <c r="Q14" s="353">
        <v>0</v>
      </c>
      <c r="R14" s="353">
        <v>3.054268883288868E-2</v>
      </c>
      <c r="S14" s="353">
        <v>5.5189100507862944E-2</v>
      </c>
      <c r="T14" s="353">
        <v>7.7915590993735531E-2</v>
      </c>
      <c r="U14" s="353">
        <v>9.5240700571267572E-2</v>
      </c>
      <c r="V14" s="353">
        <v>0.11375348575696462</v>
      </c>
      <c r="W14" s="353">
        <v>0.13222028949438805</v>
      </c>
      <c r="X14" s="353">
        <v>0.14075563880339401</v>
      </c>
      <c r="Y14" s="353">
        <v>0.14877339920404234</v>
      </c>
      <c r="Z14" s="353">
        <v>0.15687154308639414</v>
      </c>
      <c r="AA14" s="353">
        <v>0.16462505684639311</v>
      </c>
      <c r="AE14" s="362"/>
      <c r="AF14" s="362"/>
      <c r="AG14" s="362"/>
      <c r="AH14" s="362"/>
      <c r="AI14" s="362"/>
      <c r="AJ14" s="362"/>
      <c r="AK14" s="362"/>
      <c r="AL14" s="362"/>
      <c r="AM14" s="362"/>
      <c r="AN14" s="362"/>
    </row>
    <row r="15" spans="2:40" hidden="1" outlineLevel="1" x14ac:dyDescent="0.6">
      <c r="B15" s="81" t="str">
        <f>B8</f>
        <v>Colombia</v>
      </c>
      <c r="C15" s="312">
        <f t="shared" si="16"/>
        <v>0</v>
      </c>
      <c r="D15" s="312">
        <f t="shared" si="16"/>
        <v>0</v>
      </c>
      <c r="E15" s="312">
        <f t="shared" si="16"/>
        <v>1.8552875695732856E-3</v>
      </c>
      <c r="F15" s="312">
        <f t="shared" si="16"/>
        <v>6.7024128686325535E-3</v>
      </c>
      <c r="G15" s="312">
        <f t="shared" si="16"/>
        <v>1.8628634974376647E-2</v>
      </c>
      <c r="H15" s="312">
        <f t="shared" si="16"/>
        <v>3.3373711783948538E-2</v>
      </c>
      <c r="I15" s="312">
        <f t="shared" si="16"/>
        <v>4.9497859552019262E-2</v>
      </c>
      <c r="J15" s="312">
        <f t="shared" si="16"/>
        <v>5.4122597688281253E-2</v>
      </c>
      <c r="K15" s="312">
        <f t="shared" si="16"/>
        <v>5.8960645627647718E-2</v>
      </c>
      <c r="L15" s="312">
        <f t="shared" si="16"/>
        <v>6.0392727526978912E-2</v>
      </c>
      <c r="M15" s="312">
        <f t="shared" si="16"/>
        <v>6.2187009965096796E-2</v>
      </c>
      <c r="N15" s="312">
        <f t="shared" si="16"/>
        <v>6.4347266010407897E-2</v>
      </c>
      <c r="O15" s="79"/>
      <c r="P15" s="355">
        <v>0</v>
      </c>
      <c r="Q15" s="355">
        <v>0</v>
      </c>
      <c r="R15" s="355">
        <v>1.5565912445514058E-3</v>
      </c>
      <c r="S15" s="355">
        <v>1.5006266971392478E-2</v>
      </c>
      <c r="T15" s="355">
        <v>2.461682370761124E-2</v>
      </c>
      <c r="U15" s="355">
        <v>3.141227554540716E-2</v>
      </c>
      <c r="V15" s="355">
        <v>3.858536653205042E-2</v>
      </c>
      <c r="W15" s="355">
        <v>4.5752887345871393E-2</v>
      </c>
      <c r="X15" s="355">
        <v>5.344854803160571E-2</v>
      </c>
      <c r="Y15" s="355">
        <v>6.1213312122053387E-2</v>
      </c>
      <c r="Z15" s="355">
        <v>6.5762957789287077E-2</v>
      </c>
      <c r="AA15" s="355">
        <v>7.0224681529612934E-2</v>
      </c>
      <c r="AE15" s="362"/>
      <c r="AF15" s="362"/>
      <c r="AG15" s="362"/>
      <c r="AH15" s="362"/>
      <c r="AI15" s="362"/>
      <c r="AJ15" s="362"/>
      <c r="AK15" s="362"/>
      <c r="AL15" s="362"/>
      <c r="AM15" s="362"/>
      <c r="AN15" s="362"/>
    </row>
    <row r="16" spans="2:40" hidden="1" outlineLevel="1" x14ac:dyDescent="0.6">
      <c r="B16" s="79" t="s">
        <v>354</v>
      </c>
      <c r="C16" s="310">
        <f t="shared" si="16"/>
        <v>1</v>
      </c>
      <c r="D16" s="310">
        <f t="shared" si="16"/>
        <v>1</v>
      </c>
      <c r="E16" s="310">
        <f t="shared" si="16"/>
        <v>1</v>
      </c>
      <c r="F16" s="310">
        <f t="shared" si="16"/>
        <v>1</v>
      </c>
      <c r="G16" s="310">
        <f t="shared" si="16"/>
        <v>1</v>
      </c>
      <c r="H16" s="310">
        <f t="shared" si="16"/>
        <v>1</v>
      </c>
      <c r="I16" s="310">
        <f t="shared" si="16"/>
        <v>1</v>
      </c>
      <c r="J16" s="310">
        <f t="shared" si="16"/>
        <v>1</v>
      </c>
      <c r="K16" s="310">
        <f t="shared" si="16"/>
        <v>1</v>
      </c>
      <c r="L16" s="310">
        <f t="shared" si="16"/>
        <v>1</v>
      </c>
      <c r="M16" s="310">
        <f t="shared" si="16"/>
        <v>1</v>
      </c>
      <c r="N16" s="310">
        <f t="shared" si="16"/>
        <v>1</v>
      </c>
      <c r="O16" s="79"/>
      <c r="P16" s="353">
        <v>1</v>
      </c>
      <c r="Q16" s="353">
        <v>1</v>
      </c>
      <c r="R16" s="353">
        <v>1</v>
      </c>
      <c r="S16" s="353">
        <v>1</v>
      </c>
      <c r="T16" s="353">
        <v>1</v>
      </c>
      <c r="U16" s="353">
        <v>1</v>
      </c>
      <c r="V16" s="353">
        <v>1</v>
      </c>
      <c r="W16" s="353">
        <v>1</v>
      </c>
      <c r="X16" s="353">
        <v>1</v>
      </c>
      <c r="Y16" s="353">
        <v>1</v>
      </c>
      <c r="Z16" s="353">
        <v>1</v>
      </c>
      <c r="AA16" s="353">
        <v>1</v>
      </c>
      <c r="AE16" s="362"/>
      <c r="AF16" s="362"/>
      <c r="AG16" s="362"/>
      <c r="AH16" s="362"/>
      <c r="AI16" s="362"/>
      <c r="AJ16" s="362"/>
      <c r="AK16" s="362"/>
      <c r="AL16" s="362"/>
      <c r="AM16" s="362"/>
      <c r="AN16" s="362"/>
    </row>
    <row r="17" spans="2:40" hidden="1" outlineLevel="1" x14ac:dyDescent="0.6">
      <c r="B17" s="79"/>
      <c r="C17" s="79"/>
      <c r="D17" s="79"/>
      <c r="E17" s="79"/>
      <c r="F17" s="79"/>
      <c r="G17" s="79"/>
      <c r="H17" s="79"/>
      <c r="I17" s="79"/>
      <c r="J17" s="79"/>
      <c r="K17" s="79"/>
      <c r="L17" s="79"/>
      <c r="M17" s="79"/>
      <c r="N17" s="79"/>
      <c r="O17" s="79"/>
      <c r="P17" s="354"/>
      <c r="Q17" s="354"/>
      <c r="R17" s="354"/>
      <c r="S17" s="354"/>
      <c r="T17" s="354"/>
      <c r="U17" s="354"/>
      <c r="V17" s="354"/>
      <c r="W17" s="354"/>
      <c r="X17" s="354"/>
      <c r="Y17" s="354"/>
      <c r="Z17" s="354"/>
      <c r="AA17" s="354"/>
      <c r="AE17" s="362"/>
      <c r="AF17" s="362"/>
      <c r="AG17" s="362"/>
      <c r="AH17" s="362"/>
      <c r="AI17" s="362"/>
      <c r="AJ17" s="362"/>
      <c r="AK17" s="362"/>
      <c r="AL17" s="362"/>
      <c r="AM17" s="362"/>
      <c r="AN17" s="362"/>
    </row>
    <row r="18" spans="2:40" collapsed="1" x14ac:dyDescent="0.6">
      <c r="B18" s="379" t="s">
        <v>228</v>
      </c>
      <c r="C18" s="379">
        <f t="shared" ref="C18:N18" si="17">C2</f>
        <v>2019</v>
      </c>
      <c r="D18" s="379">
        <f t="shared" si="17"/>
        <v>2020</v>
      </c>
      <c r="E18" s="379">
        <f t="shared" si="17"/>
        <v>2021</v>
      </c>
      <c r="F18" s="379">
        <f t="shared" si="17"/>
        <v>2022</v>
      </c>
      <c r="G18" s="379">
        <f t="shared" si="17"/>
        <v>2023</v>
      </c>
      <c r="H18" s="379">
        <f t="shared" si="17"/>
        <v>2024</v>
      </c>
      <c r="I18" s="379">
        <f t="shared" si="17"/>
        <v>2025</v>
      </c>
      <c r="J18" s="379">
        <f t="shared" si="17"/>
        <v>2026</v>
      </c>
      <c r="K18" s="379">
        <f t="shared" si="17"/>
        <v>2027</v>
      </c>
      <c r="L18" s="379">
        <f t="shared" si="17"/>
        <v>2028</v>
      </c>
      <c r="M18" s="379">
        <f t="shared" si="17"/>
        <v>2029</v>
      </c>
      <c r="N18" s="379">
        <f t="shared" si="17"/>
        <v>2030</v>
      </c>
      <c r="O18" s="79"/>
      <c r="P18" s="350">
        <v>2019</v>
      </c>
      <c r="Q18" s="350">
        <v>2020</v>
      </c>
      <c r="R18" s="350">
        <v>2021</v>
      </c>
      <c r="S18" s="350">
        <v>2022</v>
      </c>
      <c r="T18" s="350">
        <v>2023</v>
      </c>
      <c r="U18" s="350">
        <v>2024</v>
      </c>
      <c r="V18" s="350">
        <v>2025</v>
      </c>
      <c r="W18" s="350">
        <v>2026</v>
      </c>
      <c r="X18" s="350">
        <v>2027</v>
      </c>
      <c r="Y18" s="350">
        <v>2028</v>
      </c>
      <c r="Z18" s="350">
        <v>2029</v>
      </c>
      <c r="AA18" s="350">
        <v>2030</v>
      </c>
      <c r="AE18" s="362"/>
      <c r="AF18" s="362"/>
      <c r="AG18" s="362"/>
      <c r="AH18" s="362"/>
      <c r="AI18" s="362"/>
      <c r="AJ18" s="362"/>
      <c r="AK18" s="362"/>
      <c r="AL18" s="362"/>
      <c r="AM18" s="362"/>
      <c r="AN18" s="362"/>
    </row>
    <row r="19" spans="2:40" x14ac:dyDescent="0.6">
      <c r="B19" s="79" t="s">
        <v>369</v>
      </c>
      <c r="C19" s="143">
        <f>Drivers!D70</f>
        <v>119.449</v>
      </c>
      <c r="D19" s="143">
        <f>Drivers!E70</f>
        <v>133.75700000000001</v>
      </c>
      <c r="E19" s="143">
        <f>Drivers!F70</f>
        <v>143.44877027453666</v>
      </c>
      <c r="F19" s="143">
        <f>Drivers!G70</f>
        <v>157.99345855483438</v>
      </c>
      <c r="G19" s="143">
        <f>Drivers!H70</f>
        <v>173.20919177704263</v>
      </c>
      <c r="H19" s="143">
        <f>Drivers!I70</f>
        <v>183.69314630589881</v>
      </c>
      <c r="I19" s="143">
        <f>Drivers!J70</f>
        <v>194.22753082896244</v>
      </c>
      <c r="J19" s="143">
        <f>Drivers!K70</f>
        <v>204.80338395405073</v>
      </c>
      <c r="K19" s="143">
        <f>Drivers!L70</f>
        <v>215.4106570142755</v>
      </c>
      <c r="L19" s="143">
        <f>Drivers!M70</f>
        <v>226.042539768621</v>
      </c>
      <c r="M19" s="143">
        <f>Drivers!N70</f>
        <v>236.69319059074971</v>
      </c>
      <c r="N19" s="143">
        <f>Drivers!O70</f>
        <v>247.35658817999999</v>
      </c>
      <c r="O19" s="79"/>
      <c r="P19" s="356">
        <v>119.449</v>
      </c>
      <c r="Q19" s="356">
        <v>133.75700000000001</v>
      </c>
      <c r="R19" s="356">
        <v>143.44877027453666</v>
      </c>
      <c r="S19" s="356">
        <v>153.20577799256668</v>
      </c>
      <c r="T19" s="356">
        <v>163.02041579015778</v>
      </c>
      <c r="U19" s="356">
        <v>172.88766711143418</v>
      </c>
      <c r="V19" s="356">
        <v>182.80238195667056</v>
      </c>
      <c r="W19" s="356">
        <v>192.7561260744007</v>
      </c>
      <c r="X19" s="356">
        <v>202.73944189578873</v>
      </c>
      <c r="Y19" s="356">
        <v>212.74591978223154</v>
      </c>
      <c r="Z19" s="356">
        <v>222.77006173247034</v>
      </c>
      <c r="AA19" s="356">
        <v>232.80620064000001</v>
      </c>
      <c r="AE19" s="362"/>
      <c r="AF19" s="362">
        <f t="shared" si="2"/>
        <v>3.125E-2</v>
      </c>
      <c r="AG19" s="362">
        <f t="shared" si="3"/>
        <v>6.25E-2</v>
      </c>
      <c r="AH19" s="362">
        <f t="shared" si="4"/>
        <v>6.25E-2</v>
      </c>
      <c r="AI19" s="362">
        <f t="shared" si="5"/>
        <v>6.2499999999999778E-2</v>
      </c>
      <c r="AJ19" s="362">
        <f t="shared" si="6"/>
        <v>6.25E-2</v>
      </c>
      <c r="AK19" s="362">
        <f t="shared" si="7"/>
        <v>6.2499999999999778E-2</v>
      </c>
      <c r="AL19" s="362">
        <f t="shared" si="8"/>
        <v>6.25E-2</v>
      </c>
      <c r="AM19" s="362">
        <f t="shared" si="9"/>
        <v>6.2499999999999778E-2</v>
      </c>
      <c r="AN19" s="362">
        <f t="shared" si="10"/>
        <v>6.2499999999999778E-2</v>
      </c>
    </row>
    <row r="20" spans="2:40" x14ac:dyDescent="0.6">
      <c r="B20" s="77" t="s">
        <v>349</v>
      </c>
      <c r="C20" s="432">
        <f>Drivers!D73</f>
        <v>1.55</v>
      </c>
      <c r="D20" s="432">
        <f>Drivers!E73</f>
        <v>1.6</v>
      </c>
      <c r="E20" s="432">
        <f>Drivers!F73</f>
        <v>1.6</v>
      </c>
      <c r="F20" s="432">
        <f>Drivers!G73</f>
        <v>1.65</v>
      </c>
      <c r="G20" s="432">
        <f>Drivers!H73</f>
        <v>1.7</v>
      </c>
      <c r="H20" s="432">
        <f>Drivers!I73</f>
        <v>1.7</v>
      </c>
      <c r="I20" s="432">
        <f>Drivers!J73</f>
        <v>1.7</v>
      </c>
      <c r="J20" s="432">
        <f>Drivers!K73</f>
        <v>1.7</v>
      </c>
      <c r="K20" s="432">
        <f>Drivers!L73</f>
        <v>1.7</v>
      </c>
      <c r="L20" s="432">
        <f>Drivers!M73</f>
        <v>1.7</v>
      </c>
      <c r="M20" s="432">
        <f>Drivers!N73</f>
        <v>1.7</v>
      </c>
      <c r="N20" s="432">
        <f>Drivers!O73</f>
        <v>1.7</v>
      </c>
      <c r="O20" s="79"/>
      <c r="P20" s="357">
        <v>1.55</v>
      </c>
      <c r="Q20" s="357">
        <v>1.6</v>
      </c>
      <c r="R20" s="357">
        <v>1.6</v>
      </c>
      <c r="S20" s="357">
        <v>1.6</v>
      </c>
      <c r="T20" s="357">
        <v>1.6</v>
      </c>
      <c r="U20" s="357">
        <v>1.6</v>
      </c>
      <c r="V20" s="357">
        <v>1.6</v>
      </c>
      <c r="W20" s="357">
        <v>1.6</v>
      </c>
      <c r="X20" s="357">
        <v>1.6</v>
      </c>
      <c r="Y20" s="357">
        <v>1.6</v>
      </c>
      <c r="Z20" s="357">
        <v>1.6</v>
      </c>
      <c r="AA20" s="357">
        <v>1.6</v>
      </c>
      <c r="AE20" s="362"/>
      <c r="AF20" s="362">
        <f t="shared" si="2"/>
        <v>3.1249999999999778E-2</v>
      </c>
      <c r="AG20" s="362">
        <f t="shared" si="3"/>
        <v>6.25E-2</v>
      </c>
      <c r="AH20" s="362">
        <f t="shared" si="4"/>
        <v>6.25E-2</v>
      </c>
      <c r="AI20" s="362">
        <f t="shared" si="5"/>
        <v>6.25E-2</v>
      </c>
      <c r="AJ20" s="362">
        <f t="shared" si="6"/>
        <v>6.25E-2</v>
      </c>
      <c r="AK20" s="362">
        <f t="shared" si="7"/>
        <v>6.25E-2</v>
      </c>
      <c r="AL20" s="362">
        <f t="shared" si="8"/>
        <v>6.25E-2</v>
      </c>
      <c r="AM20" s="362">
        <f t="shared" si="9"/>
        <v>6.25E-2</v>
      </c>
      <c r="AN20" s="362">
        <f t="shared" si="10"/>
        <v>6.25E-2</v>
      </c>
    </row>
    <row r="21" spans="2:40" x14ac:dyDescent="0.6">
      <c r="B21" s="79" t="s">
        <v>350</v>
      </c>
      <c r="C21" s="143">
        <f>Drivers!D72</f>
        <v>77.063870967741934</v>
      </c>
      <c r="D21" s="143">
        <f>Drivers!E72</f>
        <v>83.598124999999996</v>
      </c>
      <c r="E21" s="143">
        <f>Drivers!F72</f>
        <v>89.655481421585407</v>
      </c>
      <c r="F21" s="143">
        <f>Drivers!G72</f>
        <v>95.753611245354165</v>
      </c>
      <c r="G21" s="143">
        <f>Drivers!H72</f>
        <v>101.8877598688486</v>
      </c>
      <c r="H21" s="143">
        <f>Drivers!I72</f>
        <v>108.05479194464635</v>
      </c>
      <c r="I21" s="143">
        <f>Drivers!J72</f>
        <v>114.25148872291909</v>
      </c>
      <c r="J21" s="143">
        <f>Drivers!K72</f>
        <v>120.47257879650043</v>
      </c>
      <c r="K21" s="143">
        <f>Drivers!L72</f>
        <v>126.71215118486795</v>
      </c>
      <c r="L21" s="143">
        <f>Drivers!M72</f>
        <v>132.9661998638947</v>
      </c>
      <c r="M21" s="143">
        <f>Drivers!N72</f>
        <v>139.23128858279395</v>
      </c>
      <c r="N21" s="143">
        <f>Drivers!O72</f>
        <v>145.5038754</v>
      </c>
      <c r="O21" s="79"/>
      <c r="P21" s="356">
        <v>77.063870967741934</v>
      </c>
      <c r="Q21" s="356">
        <v>83.598124999999996</v>
      </c>
      <c r="R21" s="356">
        <v>89.655481421585407</v>
      </c>
      <c r="S21" s="356">
        <v>95.753611245354165</v>
      </c>
      <c r="T21" s="356">
        <v>101.8877598688486</v>
      </c>
      <c r="U21" s="356">
        <v>108.05479194464635</v>
      </c>
      <c r="V21" s="356">
        <v>114.25148872291909</v>
      </c>
      <c r="W21" s="356">
        <v>120.47257879650043</v>
      </c>
      <c r="X21" s="356">
        <v>126.71215118486795</v>
      </c>
      <c r="Y21" s="356">
        <v>132.9661998638947</v>
      </c>
      <c r="Z21" s="356">
        <v>139.23128858279395</v>
      </c>
      <c r="AA21" s="356">
        <v>145.5038754</v>
      </c>
      <c r="AE21" s="362"/>
      <c r="AF21" s="362">
        <f t="shared" si="2"/>
        <v>0</v>
      </c>
      <c r="AG21" s="362">
        <f t="shared" si="3"/>
        <v>0</v>
      </c>
      <c r="AH21" s="362">
        <f t="shared" si="4"/>
        <v>0</v>
      </c>
      <c r="AI21" s="362">
        <f t="shared" si="5"/>
        <v>0</v>
      </c>
      <c r="AJ21" s="362">
        <f t="shared" si="6"/>
        <v>0</v>
      </c>
      <c r="AK21" s="362">
        <f t="shared" si="7"/>
        <v>0</v>
      </c>
      <c r="AL21" s="362">
        <f t="shared" si="8"/>
        <v>0</v>
      </c>
      <c r="AM21" s="362">
        <f t="shared" si="9"/>
        <v>0</v>
      </c>
      <c r="AN21" s="362">
        <f t="shared" si="10"/>
        <v>0</v>
      </c>
    </row>
    <row r="22" spans="2:40" x14ac:dyDescent="0.6">
      <c r="B22" s="77" t="s">
        <v>351</v>
      </c>
      <c r="C22" s="374">
        <f>Drivers!D71</f>
        <v>0.36514592088571374</v>
      </c>
      <c r="D22" s="374">
        <f>Drivers!E71</f>
        <v>0.39329298756189141</v>
      </c>
      <c r="E22" s="374">
        <f>Drivers!F71</f>
        <v>0.41896368880570228</v>
      </c>
      <c r="F22" s="374">
        <f>Drivers!G71</f>
        <v>0.44463439004951316</v>
      </c>
      <c r="G22" s="374">
        <f>Drivers!H71</f>
        <v>0.47030509129332404</v>
      </c>
      <c r="H22" s="374">
        <f>Drivers!I71</f>
        <v>0.49597579253713492</v>
      </c>
      <c r="I22" s="374">
        <f>Drivers!J71</f>
        <v>0.52164649378094574</v>
      </c>
      <c r="J22" s="374">
        <f>Drivers!K71</f>
        <v>0.54731719502475662</v>
      </c>
      <c r="K22" s="374">
        <f>Drivers!L71</f>
        <v>0.5729878962685675</v>
      </c>
      <c r="L22" s="374">
        <f>Drivers!M71</f>
        <v>0.59865859751237838</v>
      </c>
      <c r="M22" s="374">
        <f>Drivers!N71</f>
        <v>0.62432929875618925</v>
      </c>
      <c r="N22" s="374">
        <f>Drivers!O71</f>
        <v>0.65</v>
      </c>
      <c r="O22" s="79"/>
      <c r="P22" s="353">
        <v>0.36514592088571374</v>
      </c>
      <c r="Q22" s="353">
        <v>0.39329298756189141</v>
      </c>
      <c r="R22" s="353">
        <v>0.41896368880570228</v>
      </c>
      <c r="S22" s="353">
        <v>0.44463439004951316</v>
      </c>
      <c r="T22" s="353">
        <v>0.47030509129332404</v>
      </c>
      <c r="U22" s="353">
        <v>0.49597579253713492</v>
      </c>
      <c r="V22" s="353">
        <v>0.52164649378094574</v>
      </c>
      <c r="W22" s="353">
        <v>0.54731719502475662</v>
      </c>
      <c r="X22" s="353">
        <v>0.5729878962685675</v>
      </c>
      <c r="Y22" s="353">
        <v>0.59865859751237838</v>
      </c>
      <c r="Z22" s="353">
        <v>0.62432929875618925</v>
      </c>
      <c r="AA22" s="353">
        <v>0.65</v>
      </c>
      <c r="AE22" s="362"/>
      <c r="AF22" s="362">
        <f t="shared" si="2"/>
        <v>0</v>
      </c>
      <c r="AG22" s="362">
        <f t="shared" si="3"/>
        <v>0</v>
      </c>
      <c r="AH22" s="362">
        <f t="shared" si="4"/>
        <v>0</v>
      </c>
      <c r="AI22" s="362">
        <f t="shared" si="5"/>
        <v>0</v>
      </c>
      <c r="AJ22" s="362">
        <f t="shared" si="6"/>
        <v>0</v>
      </c>
      <c r="AK22" s="362">
        <f t="shared" si="7"/>
        <v>0</v>
      </c>
      <c r="AL22" s="362">
        <f t="shared" si="8"/>
        <v>0</v>
      </c>
      <c r="AM22" s="362">
        <f t="shared" si="9"/>
        <v>0</v>
      </c>
      <c r="AN22" s="362">
        <f t="shared" si="10"/>
        <v>0</v>
      </c>
    </row>
    <row r="23" spans="2:40" x14ac:dyDescent="0.6">
      <c r="B23" s="79" t="s">
        <v>352</v>
      </c>
      <c r="C23" s="155">
        <f>Drivers!D79</f>
        <v>8.7724999999999991</v>
      </c>
      <c r="D23" s="155">
        <f>Drivers!E79</f>
        <v>15.805</v>
      </c>
      <c r="E23" s="155">
        <f>Drivers!F79</f>
        <v>23.973729128014842</v>
      </c>
      <c r="F23" s="155">
        <f>Drivers!G79</f>
        <v>32.313672922252017</v>
      </c>
      <c r="G23" s="155">
        <f>Drivers!H79</f>
        <v>39.998766756032175</v>
      </c>
      <c r="H23" s="155">
        <f>Drivers!I79</f>
        <v>46.581997319034862</v>
      </c>
      <c r="I23" s="155">
        <f>Drivers!J79</f>
        <v>53.665227882037541</v>
      </c>
      <c r="J23" s="155">
        <f>Drivers!K79</f>
        <v>56.465227882037539</v>
      </c>
      <c r="K23" s="155">
        <f>Drivers!L79</f>
        <v>58.56522788203754</v>
      </c>
      <c r="L23" s="155">
        <f>Drivers!M79</f>
        <v>59.965227882037539</v>
      </c>
      <c r="M23" s="155">
        <f>Drivers!N79</f>
        <v>61.365227882037537</v>
      </c>
      <c r="N23" s="155">
        <f>Drivers!O79</f>
        <v>62.765227882037536</v>
      </c>
      <c r="O23" s="79"/>
      <c r="P23" s="351">
        <v>8.7724999999999991</v>
      </c>
      <c r="Q23" s="351">
        <v>15.805</v>
      </c>
      <c r="R23" s="351">
        <v>28.689754054907329</v>
      </c>
      <c r="S23" s="351">
        <v>33.513763935873953</v>
      </c>
      <c r="T23" s="351">
        <v>36.170154753441253</v>
      </c>
      <c r="U23" s="351">
        <v>38.899725100072686</v>
      </c>
      <c r="V23" s="351">
        <v>41.130535940250873</v>
      </c>
      <c r="W23" s="351">
        <v>43.370128366740154</v>
      </c>
      <c r="X23" s="351">
        <v>45.616374426552461</v>
      </c>
      <c r="Y23" s="351">
        <v>47.867831951002088</v>
      </c>
      <c r="Z23" s="351">
        <v>50.12326388980582</v>
      </c>
      <c r="AA23" s="351">
        <v>52.381395143999995</v>
      </c>
      <c r="AE23" s="362"/>
      <c r="AF23" s="362">
        <f t="shared" si="2"/>
        <v>-3.5808899767815427E-2</v>
      </c>
      <c r="AG23" s="362">
        <f t="shared" si="3"/>
        <v>0.10585003101836787</v>
      </c>
      <c r="AH23" s="362">
        <f t="shared" si="4"/>
        <v>0.19748911333432084</v>
      </c>
      <c r="AI23" s="362">
        <f t="shared" si="5"/>
        <v>0.30475391713824118</v>
      </c>
      <c r="AJ23" s="362">
        <f t="shared" si="6"/>
        <v>0.30193822357555677</v>
      </c>
      <c r="AK23" s="362">
        <f t="shared" si="7"/>
        <v>0.28386415225379658</v>
      </c>
      <c r="AL23" s="362">
        <f t="shared" si="8"/>
        <v>0.25272496033282743</v>
      </c>
      <c r="AM23" s="362">
        <f t="shared" si="9"/>
        <v>0.22428635168186117</v>
      </c>
      <c r="AN23" s="362">
        <f t="shared" si="10"/>
        <v>0.19823513118525549</v>
      </c>
    </row>
    <row r="24" spans="2:40" x14ac:dyDescent="0.6">
      <c r="B24" s="77" t="s">
        <v>348</v>
      </c>
      <c r="C24" s="374">
        <f>C23/C21</f>
        <v>0.11383414679068053</v>
      </c>
      <c r="D24" s="374">
        <f t="shared" ref="D24:N24" si="18">D23/D21</f>
        <v>0.1890592641880425</v>
      </c>
      <c r="E24" s="374">
        <f t="shared" si="18"/>
        <v>0.26739836480586832</v>
      </c>
      <c r="F24" s="374">
        <f t="shared" si="18"/>
        <v>0.3374668850812646</v>
      </c>
      <c r="G24" s="374">
        <f t="shared" si="18"/>
        <v>0.39257676101152056</v>
      </c>
      <c r="H24" s="374">
        <f t="shared" si="18"/>
        <v>0.43109608080035544</v>
      </c>
      <c r="I24" s="374">
        <f t="shared" si="18"/>
        <v>0.46971141016976686</v>
      </c>
      <c r="J24" s="374">
        <f t="shared" si="18"/>
        <v>0.46869776048720041</v>
      </c>
      <c r="K24" s="374">
        <f t="shared" si="18"/>
        <v>0.46219109481136678</v>
      </c>
      <c r="L24" s="374">
        <f t="shared" si="18"/>
        <v>0.45098098571981782</v>
      </c>
      <c r="M24" s="374">
        <f t="shared" si="18"/>
        <v>0.44074308660546996</v>
      </c>
      <c r="N24" s="374">
        <f t="shared" si="18"/>
        <v>0.43136464722669193</v>
      </c>
      <c r="O24" s="79"/>
      <c r="P24" s="353">
        <v>0.11383414679068053</v>
      </c>
      <c r="Q24" s="353">
        <v>0.1890592641880425</v>
      </c>
      <c r="R24" s="353">
        <v>0.32</v>
      </c>
      <c r="S24" s="353">
        <v>0.35</v>
      </c>
      <c r="T24" s="353">
        <v>0.35499999999999998</v>
      </c>
      <c r="U24" s="353">
        <v>0.36</v>
      </c>
      <c r="V24" s="353">
        <v>0.36</v>
      </c>
      <c r="W24" s="353">
        <v>0.36</v>
      </c>
      <c r="X24" s="353">
        <v>0.36</v>
      </c>
      <c r="Y24" s="353">
        <v>0.36</v>
      </c>
      <c r="Z24" s="353">
        <v>0.36</v>
      </c>
      <c r="AA24" s="353">
        <v>0.36</v>
      </c>
      <c r="AE24" s="362"/>
      <c r="AF24" s="362">
        <f t="shared" si="2"/>
        <v>-3.5808899767815316E-2</v>
      </c>
      <c r="AG24" s="362">
        <f t="shared" si="3"/>
        <v>0.10585003101836787</v>
      </c>
      <c r="AH24" s="362">
        <f t="shared" si="4"/>
        <v>0.19748911333432062</v>
      </c>
      <c r="AI24" s="362">
        <f t="shared" si="5"/>
        <v>0.3047539171382414</v>
      </c>
      <c r="AJ24" s="362">
        <f t="shared" si="6"/>
        <v>0.30193822357555677</v>
      </c>
      <c r="AK24" s="362">
        <f t="shared" si="7"/>
        <v>0.28386415225379658</v>
      </c>
      <c r="AL24" s="362">
        <f t="shared" si="8"/>
        <v>0.25272496033282721</v>
      </c>
      <c r="AM24" s="362">
        <f t="shared" si="9"/>
        <v>0.22428635168186095</v>
      </c>
      <c r="AN24" s="362">
        <f t="shared" si="10"/>
        <v>0.19823513118525549</v>
      </c>
    </row>
    <row r="25" spans="2:40" x14ac:dyDescent="0.6">
      <c r="B25" s="79"/>
      <c r="C25" s="79"/>
      <c r="D25" s="79"/>
      <c r="E25" s="79"/>
      <c r="F25" s="79"/>
      <c r="G25" s="79"/>
      <c r="H25" s="79"/>
      <c r="I25" s="79"/>
      <c r="J25" s="79"/>
      <c r="K25" s="79"/>
      <c r="L25" s="79"/>
      <c r="M25" s="79"/>
      <c r="N25" s="79"/>
      <c r="O25" s="79"/>
      <c r="P25" s="354"/>
      <c r="Q25" s="354"/>
      <c r="R25" s="354"/>
      <c r="S25" s="354"/>
      <c r="T25" s="354"/>
      <c r="U25" s="354"/>
      <c r="V25" s="354"/>
      <c r="W25" s="354"/>
      <c r="X25" s="354"/>
      <c r="Y25" s="354"/>
      <c r="Z25" s="354"/>
      <c r="AA25" s="354"/>
      <c r="AE25" s="362"/>
      <c r="AF25" s="362"/>
      <c r="AG25" s="362"/>
      <c r="AH25" s="362"/>
      <c r="AI25" s="362"/>
      <c r="AJ25" s="362"/>
      <c r="AK25" s="362"/>
      <c r="AL25" s="362"/>
      <c r="AM25" s="362"/>
      <c r="AN25" s="362"/>
    </row>
    <row r="26" spans="2:40" x14ac:dyDescent="0.6">
      <c r="B26" s="379" t="s">
        <v>229</v>
      </c>
      <c r="C26" s="379">
        <f>C18</f>
        <v>2019</v>
      </c>
      <c r="D26" s="379">
        <f t="shared" ref="D26:N26" si="19">D18</f>
        <v>2020</v>
      </c>
      <c r="E26" s="379">
        <f t="shared" si="19"/>
        <v>2021</v>
      </c>
      <c r="F26" s="379">
        <f t="shared" si="19"/>
        <v>2022</v>
      </c>
      <c r="G26" s="379">
        <f t="shared" si="19"/>
        <v>2023</v>
      </c>
      <c r="H26" s="379">
        <f t="shared" si="19"/>
        <v>2024</v>
      </c>
      <c r="I26" s="379">
        <f t="shared" si="19"/>
        <v>2025</v>
      </c>
      <c r="J26" s="379">
        <f t="shared" si="19"/>
        <v>2026</v>
      </c>
      <c r="K26" s="379">
        <f t="shared" si="19"/>
        <v>2027</v>
      </c>
      <c r="L26" s="379">
        <f t="shared" si="19"/>
        <v>2028</v>
      </c>
      <c r="M26" s="379">
        <f t="shared" si="19"/>
        <v>2029</v>
      </c>
      <c r="N26" s="379">
        <f t="shared" si="19"/>
        <v>2030</v>
      </c>
      <c r="O26" s="79"/>
      <c r="P26" s="350">
        <v>2019</v>
      </c>
      <c r="Q26" s="350">
        <v>2020</v>
      </c>
      <c r="R26" s="350">
        <v>2021</v>
      </c>
      <c r="S26" s="350">
        <v>2022</v>
      </c>
      <c r="T26" s="350">
        <v>2023</v>
      </c>
      <c r="U26" s="350">
        <v>2024</v>
      </c>
      <c r="V26" s="350">
        <v>2025</v>
      </c>
      <c r="W26" s="350">
        <v>2026</v>
      </c>
      <c r="X26" s="350">
        <v>2027</v>
      </c>
      <c r="Y26" s="350">
        <v>2028</v>
      </c>
      <c r="Z26" s="350">
        <v>2029</v>
      </c>
      <c r="AA26" s="350">
        <v>2030</v>
      </c>
      <c r="AE26" s="362"/>
      <c r="AF26" s="362">
        <f t="shared" si="2"/>
        <v>0</v>
      </c>
      <c r="AG26" s="362">
        <f t="shared" si="3"/>
        <v>0</v>
      </c>
      <c r="AH26" s="362">
        <f t="shared" si="4"/>
        <v>0</v>
      </c>
      <c r="AI26" s="362">
        <f t="shared" si="5"/>
        <v>0</v>
      </c>
      <c r="AJ26" s="362">
        <f t="shared" si="6"/>
        <v>0</v>
      </c>
      <c r="AK26" s="362">
        <f t="shared" si="7"/>
        <v>0</v>
      </c>
      <c r="AL26" s="362">
        <f t="shared" si="8"/>
        <v>0</v>
      </c>
      <c r="AM26" s="362">
        <f t="shared" si="9"/>
        <v>0</v>
      </c>
      <c r="AN26" s="362">
        <f t="shared" si="10"/>
        <v>0</v>
      </c>
    </row>
    <row r="27" spans="2:40" x14ac:dyDescent="0.6">
      <c r="B27" s="79" t="str">
        <f>B19</f>
        <v>Market cards, millions</v>
      </c>
      <c r="C27" s="143">
        <f>Drivers!D123</f>
        <v>29.2</v>
      </c>
      <c r="D27" s="143">
        <f>Drivers!E123</f>
        <v>31.7690303392</v>
      </c>
      <c r="E27" s="143">
        <f>Drivers!F123</f>
        <v>40.558444819200005</v>
      </c>
      <c r="F27" s="143">
        <f>Drivers!G123</f>
        <v>49.509703488</v>
      </c>
      <c r="G27" s="143">
        <f>Drivers!H123</f>
        <v>58.616885143040015</v>
      </c>
      <c r="H27" s="143">
        <f>Drivers!I123</f>
        <v>67.873813624960007</v>
      </c>
      <c r="I27" s="143">
        <f>Drivers!J123</f>
        <v>77.274257356800007</v>
      </c>
      <c r="J27" s="143">
        <f>Drivers!K123</f>
        <v>86.811714904320013</v>
      </c>
      <c r="K27" s="143">
        <f>Drivers!L123</f>
        <v>96.480123402880025</v>
      </c>
      <c r="L27" s="143">
        <f>Drivers!M123</f>
        <v>106.27449856128004</v>
      </c>
      <c r="M27" s="143">
        <f>Drivers!N123</f>
        <v>116.19077724800005</v>
      </c>
      <c r="N27" s="143">
        <f>Drivers!O123</f>
        <v>126.22468364800002</v>
      </c>
      <c r="O27" s="79"/>
      <c r="P27" s="356">
        <v>29.2</v>
      </c>
      <c r="Q27" s="356">
        <v>31.7690303392</v>
      </c>
      <c r="R27" s="356">
        <v>40.558444819200005</v>
      </c>
      <c r="S27" s="356">
        <v>49.509703488</v>
      </c>
      <c r="T27" s="356">
        <v>58.616885143040015</v>
      </c>
      <c r="U27" s="356">
        <v>67.873813624960007</v>
      </c>
      <c r="V27" s="356">
        <v>77.274257356800007</v>
      </c>
      <c r="W27" s="356">
        <v>86.811714904320013</v>
      </c>
      <c r="X27" s="356">
        <v>96.480123402880025</v>
      </c>
      <c r="Y27" s="356">
        <v>106.27449856128004</v>
      </c>
      <c r="Z27" s="356">
        <v>116.19077724800005</v>
      </c>
      <c r="AA27" s="356">
        <v>126.22468364800002</v>
      </c>
      <c r="AE27" s="362"/>
      <c r="AF27" s="362">
        <f t="shared" si="2"/>
        <v>0</v>
      </c>
      <c r="AG27" s="362">
        <f t="shared" si="3"/>
        <v>0</v>
      </c>
      <c r="AH27" s="362">
        <f t="shared" si="4"/>
        <v>0</v>
      </c>
      <c r="AI27" s="362">
        <f t="shared" si="5"/>
        <v>0</v>
      </c>
      <c r="AJ27" s="362">
        <f t="shared" si="6"/>
        <v>0</v>
      </c>
      <c r="AK27" s="362">
        <f t="shared" si="7"/>
        <v>0</v>
      </c>
      <c r="AL27" s="362">
        <f t="shared" si="8"/>
        <v>0</v>
      </c>
      <c r="AM27" s="362">
        <f t="shared" si="9"/>
        <v>0</v>
      </c>
      <c r="AN27" s="362">
        <f t="shared" si="10"/>
        <v>0</v>
      </c>
    </row>
    <row r="28" spans="2:40" x14ac:dyDescent="0.6">
      <c r="B28" s="77" t="s">
        <v>349</v>
      </c>
      <c r="C28" s="432">
        <f>Drivers!D126</f>
        <v>2.2200000000000002</v>
      </c>
      <c r="D28" s="432">
        <f>Drivers!E126</f>
        <v>2.2400000000000002</v>
      </c>
      <c r="E28" s="432">
        <f>Drivers!F126</f>
        <v>2.2400000000000002</v>
      </c>
      <c r="F28" s="432">
        <f>Drivers!G126</f>
        <v>2.2400000000000002</v>
      </c>
      <c r="G28" s="432">
        <f>Drivers!H126</f>
        <v>2.2400000000000002</v>
      </c>
      <c r="H28" s="432">
        <f>Drivers!I126</f>
        <v>2.2400000000000002</v>
      </c>
      <c r="I28" s="432">
        <f>Drivers!J126</f>
        <v>2.2400000000000002</v>
      </c>
      <c r="J28" s="432">
        <f>Drivers!K126</f>
        <v>2.2400000000000002</v>
      </c>
      <c r="K28" s="432">
        <f>Drivers!L126</f>
        <v>2.2400000000000002</v>
      </c>
      <c r="L28" s="432">
        <f>Drivers!M126</f>
        <v>2.2400000000000002</v>
      </c>
      <c r="M28" s="432">
        <f>Drivers!N126</f>
        <v>2.2400000000000002</v>
      </c>
      <c r="N28" s="432">
        <f>Drivers!O126</f>
        <v>2.2400000000000002</v>
      </c>
      <c r="O28" s="79"/>
      <c r="P28" s="357">
        <v>2.2200000000000002</v>
      </c>
      <c r="Q28" s="357">
        <v>2.2400000000000002</v>
      </c>
      <c r="R28" s="357">
        <v>2.2400000000000002</v>
      </c>
      <c r="S28" s="357">
        <v>2.2400000000000002</v>
      </c>
      <c r="T28" s="357">
        <v>2.2400000000000002</v>
      </c>
      <c r="U28" s="357">
        <v>2.2400000000000002</v>
      </c>
      <c r="V28" s="357">
        <v>2.2400000000000002</v>
      </c>
      <c r="W28" s="357">
        <v>2.2400000000000002</v>
      </c>
      <c r="X28" s="357">
        <v>2.2400000000000002</v>
      </c>
      <c r="Y28" s="357">
        <v>2.2400000000000002</v>
      </c>
      <c r="Z28" s="357">
        <v>2.2400000000000002</v>
      </c>
      <c r="AA28" s="357">
        <v>2.2400000000000002</v>
      </c>
      <c r="AE28" s="362"/>
      <c r="AF28" s="362">
        <f t="shared" si="2"/>
        <v>0</v>
      </c>
      <c r="AG28" s="362">
        <f t="shared" si="3"/>
        <v>0</v>
      </c>
      <c r="AH28" s="362">
        <f t="shared" si="4"/>
        <v>0</v>
      </c>
      <c r="AI28" s="362">
        <f t="shared" si="5"/>
        <v>0</v>
      </c>
      <c r="AJ28" s="362">
        <f t="shared" si="6"/>
        <v>0</v>
      </c>
      <c r="AK28" s="362">
        <f t="shared" si="7"/>
        <v>0</v>
      </c>
      <c r="AL28" s="362">
        <f t="shared" si="8"/>
        <v>0</v>
      </c>
      <c r="AM28" s="362">
        <f t="shared" si="9"/>
        <v>0</v>
      </c>
      <c r="AN28" s="362">
        <f t="shared" si="10"/>
        <v>0</v>
      </c>
    </row>
    <row r="29" spans="2:40" x14ac:dyDescent="0.6">
      <c r="B29" s="79" t="s">
        <v>350</v>
      </c>
      <c r="C29" s="143">
        <f>Drivers!D125</f>
        <v>13.153153153153152</v>
      </c>
      <c r="D29" s="143">
        <f>Drivers!E125</f>
        <v>14.182602829999999</v>
      </c>
      <c r="E29" s="143">
        <f>Drivers!F125</f>
        <v>18.106448580000002</v>
      </c>
      <c r="F29" s="143">
        <f>Drivers!G125</f>
        <v>22.102546199999999</v>
      </c>
      <c r="G29" s="143">
        <f>Drivers!H125</f>
        <v>26.168252296000006</v>
      </c>
      <c r="H29" s="143">
        <f>Drivers!I125</f>
        <v>30.300809653999998</v>
      </c>
      <c r="I29" s="143">
        <f>Drivers!J125</f>
        <v>34.497436319999998</v>
      </c>
      <c r="J29" s="143">
        <f>Drivers!K125</f>
        <v>38.755229868000001</v>
      </c>
      <c r="K29" s="143">
        <f>Drivers!L125</f>
        <v>43.071483662000006</v>
      </c>
      <c r="L29" s="143">
        <f>Drivers!M125</f>
        <v>47.443972572000014</v>
      </c>
      <c r="M29" s="143">
        <f>Drivers!N125</f>
        <v>51.870882700000017</v>
      </c>
      <c r="N29" s="143">
        <f>Drivers!O125</f>
        <v>56.350305200000008</v>
      </c>
      <c r="O29" s="79"/>
      <c r="P29" s="356">
        <v>13.153153153153152</v>
      </c>
      <c r="Q29" s="356">
        <v>14.182602829999999</v>
      </c>
      <c r="R29" s="356">
        <v>18.106448580000002</v>
      </c>
      <c r="S29" s="356">
        <v>22.102546199999999</v>
      </c>
      <c r="T29" s="356">
        <v>26.168252296000006</v>
      </c>
      <c r="U29" s="356">
        <v>30.300809653999998</v>
      </c>
      <c r="V29" s="356">
        <v>34.497436319999998</v>
      </c>
      <c r="W29" s="356">
        <v>38.755229868000001</v>
      </c>
      <c r="X29" s="356">
        <v>43.071483662000006</v>
      </c>
      <c r="Y29" s="356">
        <v>47.443972572000014</v>
      </c>
      <c r="Z29" s="356">
        <v>51.870882700000017</v>
      </c>
      <c r="AA29" s="356">
        <v>56.350305200000008</v>
      </c>
      <c r="AE29" s="362"/>
      <c r="AF29" s="362">
        <f t="shared" si="2"/>
        <v>0</v>
      </c>
      <c r="AG29" s="362">
        <f t="shared" si="3"/>
        <v>0</v>
      </c>
      <c r="AH29" s="362">
        <f t="shared" si="4"/>
        <v>0</v>
      </c>
      <c r="AI29" s="362">
        <f t="shared" si="5"/>
        <v>0</v>
      </c>
      <c r="AJ29" s="362">
        <f t="shared" si="6"/>
        <v>0</v>
      </c>
      <c r="AK29" s="362">
        <f t="shared" si="7"/>
        <v>0</v>
      </c>
      <c r="AL29" s="362">
        <f t="shared" si="8"/>
        <v>0</v>
      </c>
      <c r="AM29" s="362">
        <f t="shared" si="9"/>
        <v>0</v>
      </c>
      <c r="AN29" s="362">
        <f t="shared" si="10"/>
        <v>0</v>
      </c>
    </row>
    <row r="30" spans="2:40" x14ac:dyDescent="0.6">
      <c r="B30" s="77" t="s">
        <v>351</v>
      </c>
      <c r="C30" s="374">
        <f>Drivers!D124</f>
        <v>0.10310091015302122</v>
      </c>
      <c r="D30" s="374">
        <f>Drivers!E124</f>
        <v>0.11</v>
      </c>
      <c r="E30" s="374">
        <f>Drivers!F124</f>
        <v>0.13900000000000001</v>
      </c>
      <c r="F30" s="374">
        <f>Drivers!G124</f>
        <v>0.16800000000000001</v>
      </c>
      <c r="G30" s="374">
        <f>Drivers!H124</f>
        <v>0.19700000000000001</v>
      </c>
      <c r="H30" s="374">
        <f>Drivers!I124</f>
        <v>0.22600000000000001</v>
      </c>
      <c r="I30" s="374">
        <f>Drivers!J124</f>
        <v>0.255</v>
      </c>
      <c r="J30" s="374">
        <f>Drivers!K124</f>
        <v>0.28400000000000003</v>
      </c>
      <c r="K30" s="374">
        <f>Drivers!L124</f>
        <v>0.31300000000000006</v>
      </c>
      <c r="L30" s="374">
        <f>Drivers!M124</f>
        <v>0.34200000000000008</v>
      </c>
      <c r="M30" s="374">
        <f>Drivers!N124</f>
        <v>0.37100000000000011</v>
      </c>
      <c r="N30" s="374">
        <f>Drivers!O124</f>
        <v>0.4</v>
      </c>
      <c r="O30" s="79"/>
      <c r="P30" s="353">
        <v>0.10310091015302122</v>
      </c>
      <c r="Q30" s="353">
        <v>0.11</v>
      </c>
      <c r="R30" s="353">
        <v>0.13900000000000001</v>
      </c>
      <c r="S30" s="353">
        <v>0.16800000000000001</v>
      </c>
      <c r="T30" s="353">
        <v>0.19700000000000001</v>
      </c>
      <c r="U30" s="353">
        <v>0.22600000000000001</v>
      </c>
      <c r="V30" s="353">
        <v>0.255</v>
      </c>
      <c r="W30" s="353">
        <v>0.28400000000000003</v>
      </c>
      <c r="X30" s="353">
        <v>0.31300000000000006</v>
      </c>
      <c r="Y30" s="353">
        <v>0.34200000000000008</v>
      </c>
      <c r="Z30" s="353">
        <v>0.37100000000000011</v>
      </c>
      <c r="AA30" s="353">
        <v>0.4</v>
      </c>
      <c r="AE30" s="362"/>
      <c r="AF30" s="362">
        <f t="shared" si="2"/>
        <v>0</v>
      </c>
      <c r="AG30" s="362">
        <f t="shared" si="3"/>
        <v>0</v>
      </c>
      <c r="AH30" s="362">
        <f t="shared" si="4"/>
        <v>0</v>
      </c>
      <c r="AI30" s="362">
        <f t="shared" si="5"/>
        <v>0</v>
      </c>
      <c r="AJ30" s="362">
        <f t="shared" si="6"/>
        <v>0</v>
      </c>
      <c r="AK30" s="362">
        <f t="shared" si="7"/>
        <v>0</v>
      </c>
      <c r="AL30" s="362">
        <f t="shared" si="8"/>
        <v>0</v>
      </c>
      <c r="AM30" s="362">
        <f t="shared" si="9"/>
        <v>0</v>
      </c>
      <c r="AN30" s="362">
        <f t="shared" si="10"/>
        <v>0</v>
      </c>
    </row>
    <row r="31" spans="2:40" x14ac:dyDescent="0.6">
      <c r="B31" s="79" t="s">
        <v>352</v>
      </c>
      <c r="C31" s="155">
        <f>Drivers!D132</f>
        <v>0</v>
      </c>
      <c r="D31" s="155">
        <f>Drivers!E132</f>
        <v>0</v>
      </c>
      <c r="E31" s="155">
        <f>Drivers!F132</f>
        <v>0.64051948051948049</v>
      </c>
      <c r="F31" s="155">
        <f>Drivers!G132</f>
        <v>1.4584450402144775</v>
      </c>
      <c r="G31" s="155">
        <f>Drivers!H132</f>
        <v>4.5751206434316352</v>
      </c>
      <c r="H31" s="155">
        <f>Drivers!I132</f>
        <v>8.206380697050939</v>
      </c>
      <c r="I31" s="155">
        <f>Drivers!J132</f>
        <v>12.337640750670241</v>
      </c>
      <c r="J31" s="155">
        <f>Drivers!K132</f>
        <v>15.837640750670239</v>
      </c>
      <c r="K31" s="155">
        <f>Drivers!L132</f>
        <v>18.63764075067024</v>
      </c>
      <c r="L31" s="155">
        <f>Drivers!M132</f>
        <v>20.737640750670241</v>
      </c>
      <c r="M31" s="155">
        <f>Drivers!N132</f>
        <v>22.13764075067024</v>
      </c>
      <c r="N31" s="155">
        <f>Drivers!O132</f>
        <v>22.837640750670243</v>
      </c>
      <c r="O31" s="79"/>
      <c r="P31" s="351">
        <v>0</v>
      </c>
      <c r="Q31" s="351">
        <v>0</v>
      </c>
      <c r="R31" s="351">
        <v>0.90532242900000015</v>
      </c>
      <c r="S31" s="351">
        <v>1.9892291579999999</v>
      </c>
      <c r="T31" s="351">
        <v>3.1401902755200006</v>
      </c>
      <c r="U31" s="351">
        <v>4.2421133515599996</v>
      </c>
      <c r="V31" s="351">
        <v>5.5195898111999986</v>
      </c>
      <c r="W31" s="351">
        <v>6.9759413762399989</v>
      </c>
      <c r="X31" s="351">
        <v>7.9682244774699997</v>
      </c>
      <c r="Y31" s="351">
        <v>9.0143547886800022</v>
      </c>
      <c r="Z31" s="351">
        <v>10.114822126500002</v>
      </c>
      <c r="AA31" s="351">
        <v>11.27006104</v>
      </c>
      <c r="AE31" s="362"/>
      <c r="AF31" s="362">
        <f t="shared" si="2"/>
        <v>-0.26682904563855303</v>
      </c>
      <c r="AG31" s="362">
        <f t="shared" si="3"/>
        <v>0.45695650327240656</v>
      </c>
      <c r="AH31" s="362">
        <f t="shared" si="4"/>
        <v>0.93450292742251095</v>
      </c>
      <c r="AI31" s="362">
        <f t="shared" si="5"/>
        <v>1.2352459462903367</v>
      </c>
      <c r="AJ31" s="362">
        <f t="shared" si="6"/>
        <v>1.2703230856573877</v>
      </c>
      <c r="AK31" s="362">
        <f t="shared" si="7"/>
        <v>1.3389954441378764</v>
      </c>
      <c r="AL31" s="362">
        <f t="shared" si="8"/>
        <v>1.3005130413451269</v>
      </c>
      <c r="AM31" s="362">
        <f t="shared" si="9"/>
        <v>1.1886337173118884</v>
      </c>
      <c r="AN31" s="362">
        <f t="shared" si="10"/>
        <v>1.0263990292168144</v>
      </c>
    </row>
    <row r="32" spans="2:40" x14ac:dyDescent="0.6">
      <c r="B32" s="77" t="s">
        <v>348</v>
      </c>
      <c r="C32" s="374">
        <f>C31/C29</f>
        <v>0</v>
      </c>
      <c r="D32" s="374">
        <f t="shared" ref="D32:N32" si="20">D31/D29</f>
        <v>0</v>
      </c>
      <c r="E32" s="374">
        <f t="shared" si="20"/>
        <v>3.5375213294283711E-2</v>
      </c>
      <c r="F32" s="374">
        <f t="shared" si="20"/>
        <v>6.5985385892530224E-2</v>
      </c>
      <c r="G32" s="374">
        <f t="shared" si="20"/>
        <v>0.17483478039268879</v>
      </c>
      <c r="H32" s="374">
        <f t="shared" si="20"/>
        <v>0.27083040983915152</v>
      </c>
      <c r="I32" s="374">
        <f t="shared" si="20"/>
        <v>0.35763935140645375</v>
      </c>
      <c r="J32" s="374">
        <f t="shared" si="20"/>
        <v>0.40865815541832973</v>
      </c>
      <c r="K32" s="374">
        <f t="shared" si="20"/>
        <v>0.43271415716550704</v>
      </c>
      <c r="L32" s="374">
        <f t="shared" si="20"/>
        <v>0.43709747785557412</v>
      </c>
      <c r="M32" s="374">
        <f t="shared" si="20"/>
        <v>0.42678357487581819</v>
      </c>
      <c r="N32" s="374">
        <f t="shared" si="20"/>
        <v>0.40527980584336282</v>
      </c>
      <c r="O32" s="79"/>
      <c r="P32" s="353">
        <v>0</v>
      </c>
      <c r="Q32" s="353">
        <v>0</v>
      </c>
      <c r="R32" s="353">
        <v>0.05</v>
      </c>
      <c r="S32" s="353">
        <v>0.09</v>
      </c>
      <c r="T32" s="353">
        <v>0.12</v>
      </c>
      <c r="U32" s="353">
        <v>0.13999999999999999</v>
      </c>
      <c r="V32" s="353">
        <v>0.15999999999999998</v>
      </c>
      <c r="W32" s="353">
        <v>0.17999999999999997</v>
      </c>
      <c r="X32" s="353">
        <v>0.18499999999999997</v>
      </c>
      <c r="Y32" s="353">
        <v>0.19</v>
      </c>
      <c r="Z32" s="353">
        <v>0.19499999999999998</v>
      </c>
      <c r="AA32" s="353">
        <v>0.19999999999999996</v>
      </c>
      <c r="AE32" s="362"/>
      <c r="AF32" s="362">
        <f t="shared" si="2"/>
        <v>-0.26682904563855303</v>
      </c>
      <c r="AG32" s="362">
        <f t="shared" si="3"/>
        <v>0.45695650327240656</v>
      </c>
      <c r="AH32" s="362">
        <f t="shared" si="4"/>
        <v>0.93450292742251095</v>
      </c>
      <c r="AI32" s="362">
        <f t="shared" si="5"/>
        <v>1.2352459462903362</v>
      </c>
      <c r="AJ32" s="362">
        <f t="shared" si="6"/>
        <v>1.2703230856573877</v>
      </c>
      <c r="AK32" s="362">
        <f t="shared" si="7"/>
        <v>1.3389954441378764</v>
      </c>
      <c r="AL32" s="362">
        <f t="shared" si="8"/>
        <v>1.3005130413451269</v>
      </c>
      <c r="AM32" s="362">
        <f t="shared" si="9"/>
        <v>1.1886337173118884</v>
      </c>
      <c r="AN32" s="362">
        <f t="shared" si="10"/>
        <v>1.0263990292168144</v>
      </c>
    </row>
    <row r="33" spans="2:40" x14ac:dyDescent="0.6">
      <c r="B33" s="79"/>
      <c r="C33" s="79"/>
      <c r="D33" s="79"/>
      <c r="E33" s="79"/>
      <c r="F33" s="79"/>
      <c r="G33" s="79"/>
      <c r="H33" s="79"/>
      <c r="I33" s="79"/>
      <c r="J33" s="79"/>
      <c r="K33" s="79"/>
      <c r="L33" s="79"/>
      <c r="M33" s="79"/>
      <c r="N33" s="79"/>
      <c r="O33" s="79"/>
      <c r="P33" s="354"/>
      <c r="Q33" s="354"/>
      <c r="R33" s="354"/>
      <c r="S33" s="354"/>
      <c r="T33" s="354"/>
      <c r="U33" s="354"/>
      <c r="V33" s="354"/>
      <c r="W33" s="354"/>
      <c r="X33" s="354"/>
      <c r="Y33" s="354"/>
      <c r="Z33" s="354"/>
      <c r="AA33" s="354"/>
      <c r="AE33" s="362"/>
      <c r="AF33" s="362"/>
      <c r="AG33" s="362"/>
      <c r="AH33" s="362"/>
      <c r="AI33" s="362"/>
      <c r="AJ33" s="362"/>
      <c r="AK33" s="362"/>
      <c r="AL33" s="362"/>
      <c r="AM33" s="362"/>
      <c r="AN33" s="362"/>
    </row>
    <row r="34" spans="2:40" x14ac:dyDescent="0.6">
      <c r="B34" s="379" t="s">
        <v>230</v>
      </c>
      <c r="C34" s="379">
        <f>C26</f>
        <v>2019</v>
      </c>
      <c r="D34" s="379">
        <f t="shared" ref="D34:N34" si="21">D26</f>
        <v>2020</v>
      </c>
      <c r="E34" s="379">
        <f t="shared" si="21"/>
        <v>2021</v>
      </c>
      <c r="F34" s="379">
        <f t="shared" si="21"/>
        <v>2022</v>
      </c>
      <c r="G34" s="379">
        <f t="shared" si="21"/>
        <v>2023</v>
      </c>
      <c r="H34" s="379">
        <f t="shared" si="21"/>
        <v>2024</v>
      </c>
      <c r="I34" s="379">
        <f t="shared" si="21"/>
        <v>2025</v>
      </c>
      <c r="J34" s="379">
        <f t="shared" si="21"/>
        <v>2026</v>
      </c>
      <c r="K34" s="379">
        <f t="shared" si="21"/>
        <v>2027</v>
      </c>
      <c r="L34" s="379">
        <f t="shared" si="21"/>
        <v>2028</v>
      </c>
      <c r="M34" s="379">
        <f t="shared" si="21"/>
        <v>2029</v>
      </c>
      <c r="N34" s="379">
        <f t="shared" si="21"/>
        <v>2030</v>
      </c>
      <c r="O34" s="79"/>
      <c r="P34" s="350">
        <v>2019</v>
      </c>
      <c r="Q34" s="350">
        <v>2020</v>
      </c>
      <c r="R34" s="350">
        <v>2021</v>
      </c>
      <c r="S34" s="350">
        <v>2022</v>
      </c>
      <c r="T34" s="350">
        <v>2023</v>
      </c>
      <c r="U34" s="350">
        <v>2024</v>
      </c>
      <c r="V34" s="350">
        <v>2025</v>
      </c>
      <c r="W34" s="350">
        <v>2026</v>
      </c>
      <c r="X34" s="350">
        <v>2027</v>
      </c>
      <c r="Y34" s="350">
        <v>2028</v>
      </c>
      <c r="Z34" s="350">
        <v>2029</v>
      </c>
      <c r="AA34" s="350">
        <v>2030</v>
      </c>
      <c r="AE34" s="362"/>
      <c r="AF34" s="362">
        <f t="shared" si="2"/>
        <v>0</v>
      </c>
      <c r="AG34" s="362">
        <f t="shared" si="3"/>
        <v>0</v>
      </c>
      <c r="AH34" s="362">
        <f t="shared" si="4"/>
        <v>0</v>
      </c>
      <c r="AI34" s="362">
        <f t="shared" si="5"/>
        <v>0</v>
      </c>
      <c r="AJ34" s="362">
        <f t="shared" si="6"/>
        <v>0</v>
      </c>
      <c r="AK34" s="362">
        <f t="shared" si="7"/>
        <v>0</v>
      </c>
      <c r="AL34" s="362">
        <f t="shared" si="8"/>
        <v>0</v>
      </c>
      <c r="AM34" s="362">
        <f t="shared" si="9"/>
        <v>0</v>
      </c>
      <c r="AN34" s="362">
        <f t="shared" si="10"/>
        <v>0</v>
      </c>
    </row>
    <row r="35" spans="2:40" x14ac:dyDescent="0.6">
      <c r="B35" s="79" t="str">
        <f>B27</f>
        <v>Market cards, millions</v>
      </c>
      <c r="C35" s="143">
        <f>Drivers!D154</f>
        <v>16.053999999999998</v>
      </c>
      <c r="D35" s="143">
        <f>Drivers!E154</f>
        <v>17.096649024000001</v>
      </c>
      <c r="E35" s="143">
        <f>Drivers!F154</f>
        <v>20.670387091200002</v>
      </c>
      <c r="F35" s="143">
        <f>Drivers!G154</f>
        <v>24.231605126400005</v>
      </c>
      <c r="G35" s="143">
        <f>Drivers!H154</f>
        <v>27.779322009600001</v>
      </c>
      <c r="H35" s="143">
        <f>Drivers!I154</f>
        <v>31.340585404800002</v>
      </c>
      <c r="I35" s="143">
        <f>Drivers!J154</f>
        <v>34.948737600000008</v>
      </c>
      <c r="J35" s="143">
        <f>Drivers!K154</f>
        <v>38.622751305600012</v>
      </c>
      <c r="K35" s="143">
        <f>Drivers!L154</f>
        <v>42.360366182400014</v>
      </c>
      <c r="L35" s="143">
        <f>Drivers!M154</f>
        <v>46.156275110400024</v>
      </c>
      <c r="M35" s="143">
        <f>Drivers!N154</f>
        <v>49.99077121920002</v>
      </c>
      <c r="N35" s="143">
        <f>Drivers!O154</f>
        <v>53.844101136000006</v>
      </c>
      <c r="O35" s="79"/>
      <c r="P35" s="356">
        <v>16.053999999999998</v>
      </c>
      <c r="Q35" s="356">
        <v>17.096649024000001</v>
      </c>
      <c r="R35" s="356">
        <v>20.670387091200002</v>
      </c>
      <c r="S35" s="356">
        <v>24.231605126400005</v>
      </c>
      <c r="T35" s="356">
        <v>27.779322009600001</v>
      </c>
      <c r="U35" s="356">
        <v>31.340585404800002</v>
      </c>
      <c r="V35" s="356">
        <v>34.948737600000008</v>
      </c>
      <c r="W35" s="356">
        <v>38.622751305600012</v>
      </c>
      <c r="X35" s="356">
        <v>42.360366182400014</v>
      </c>
      <c r="Y35" s="356">
        <v>46.156275110400024</v>
      </c>
      <c r="Z35" s="356">
        <v>49.99077121920002</v>
      </c>
      <c r="AA35" s="356">
        <v>53.844101136000006</v>
      </c>
      <c r="AE35" s="362"/>
      <c r="AF35" s="362">
        <f t="shared" si="2"/>
        <v>0</v>
      </c>
      <c r="AG35" s="362">
        <f t="shared" si="3"/>
        <v>0</v>
      </c>
      <c r="AH35" s="362">
        <f t="shared" si="4"/>
        <v>0</v>
      </c>
      <c r="AI35" s="362">
        <f t="shared" si="5"/>
        <v>0</v>
      </c>
      <c r="AJ35" s="362">
        <f t="shared" si="6"/>
        <v>0</v>
      </c>
      <c r="AK35" s="362">
        <f t="shared" si="7"/>
        <v>0</v>
      </c>
      <c r="AL35" s="362">
        <f t="shared" si="8"/>
        <v>0</v>
      </c>
      <c r="AM35" s="362">
        <f t="shared" si="9"/>
        <v>0</v>
      </c>
      <c r="AN35" s="362">
        <f t="shared" si="10"/>
        <v>0</v>
      </c>
    </row>
    <row r="36" spans="2:40" x14ac:dyDescent="0.6">
      <c r="B36" s="77" t="s">
        <v>349</v>
      </c>
      <c r="C36" s="432">
        <f>Drivers!D157</f>
        <v>2.2200000000000002</v>
      </c>
      <c r="D36" s="432">
        <f>Drivers!E157</f>
        <v>2.2400000000000002</v>
      </c>
      <c r="E36" s="432">
        <f>Drivers!F157</f>
        <v>2.2400000000000002</v>
      </c>
      <c r="F36" s="432">
        <f>Drivers!G157</f>
        <v>2.2400000000000002</v>
      </c>
      <c r="G36" s="432">
        <f>Drivers!H157</f>
        <v>2.2400000000000002</v>
      </c>
      <c r="H36" s="432">
        <f>Drivers!I157</f>
        <v>2.2400000000000002</v>
      </c>
      <c r="I36" s="432">
        <f>Drivers!J157</f>
        <v>2.2400000000000002</v>
      </c>
      <c r="J36" s="432">
        <f>Drivers!K157</f>
        <v>2.2400000000000002</v>
      </c>
      <c r="K36" s="432">
        <f>Drivers!L157</f>
        <v>2.2400000000000002</v>
      </c>
      <c r="L36" s="432">
        <f>Drivers!M157</f>
        <v>2.2400000000000002</v>
      </c>
      <c r="M36" s="432">
        <f>Drivers!N157</f>
        <v>2.2400000000000002</v>
      </c>
      <c r="N36" s="432">
        <f>Drivers!O157</f>
        <v>2.2400000000000002</v>
      </c>
      <c r="O36" s="79"/>
      <c r="P36" s="357">
        <v>2.2200000000000002</v>
      </c>
      <c r="Q36" s="357">
        <v>2.2400000000000002</v>
      </c>
      <c r="R36" s="357">
        <v>2.2400000000000002</v>
      </c>
      <c r="S36" s="357">
        <v>2.2400000000000002</v>
      </c>
      <c r="T36" s="357">
        <v>2.2400000000000002</v>
      </c>
      <c r="U36" s="357">
        <v>2.2400000000000002</v>
      </c>
      <c r="V36" s="357">
        <v>2.2400000000000002</v>
      </c>
      <c r="W36" s="357">
        <v>2.2400000000000002</v>
      </c>
      <c r="X36" s="357">
        <v>2.2400000000000002</v>
      </c>
      <c r="Y36" s="357">
        <v>2.2400000000000002</v>
      </c>
      <c r="Z36" s="357">
        <v>2.2400000000000002</v>
      </c>
      <c r="AA36" s="357">
        <v>2.2400000000000002</v>
      </c>
      <c r="AE36" s="362"/>
      <c r="AF36" s="362">
        <f t="shared" si="2"/>
        <v>0</v>
      </c>
      <c r="AG36" s="362">
        <f t="shared" si="3"/>
        <v>0</v>
      </c>
      <c r="AH36" s="362">
        <f t="shared" si="4"/>
        <v>0</v>
      </c>
      <c r="AI36" s="362">
        <f t="shared" si="5"/>
        <v>0</v>
      </c>
      <c r="AJ36" s="362">
        <f t="shared" si="6"/>
        <v>0</v>
      </c>
      <c r="AK36" s="362">
        <f t="shared" si="7"/>
        <v>0</v>
      </c>
      <c r="AL36" s="362">
        <f t="shared" si="8"/>
        <v>0</v>
      </c>
      <c r="AM36" s="362">
        <f t="shared" si="9"/>
        <v>0</v>
      </c>
      <c r="AN36" s="362">
        <f t="shared" si="10"/>
        <v>0</v>
      </c>
    </row>
    <row r="37" spans="2:40" x14ac:dyDescent="0.6">
      <c r="B37" s="79" t="s">
        <v>350</v>
      </c>
      <c r="C37" s="155">
        <f>Drivers!D156</f>
        <v>7.2315315315315303</v>
      </c>
      <c r="D37" s="155">
        <f>Drivers!E156</f>
        <v>7.6324325999999996</v>
      </c>
      <c r="E37" s="155">
        <f>Drivers!F156</f>
        <v>9.2278513800000006</v>
      </c>
      <c r="F37" s="155">
        <f>Drivers!G156</f>
        <v>10.817680860000001</v>
      </c>
      <c r="G37" s="155">
        <f>Drivers!H156</f>
        <v>12.401483039999999</v>
      </c>
      <c r="H37" s="155">
        <f>Drivers!I156</f>
        <v>13.99133277</v>
      </c>
      <c r="I37" s="155">
        <f>Drivers!J156</f>
        <v>15.602115000000001</v>
      </c>
      <c r="J37" s="155">
        <f>Drivers!K156</f>
        <v>17.242299690000003</v>
      </c>
      <c r="K37" s="155">
        <f>Drivers!L156</f>
        <v>18.910877760000005</v>
      </c>
      <c r="L37" s="155">
        <f>Drivers!M156</f>
        <v>20.605479960000007</v>
      </c>
      <c r="M37" s="155">
        <f>Drivers!N156</f>
        <v>22.317308580000006</v>
      </c>
      <c r="N37" s="155">
        <f>Drivers!O156</f>
        <v>24.03754515</v>
      </c>
      <c r="O37" s="79"/>
      <c r="P37" s="351">
        <v>7.2315315315315303</v>
      </c>
      <c r="Q37" s="351">
        <v>7.6324325999999996</v>
      </c>
      <c r="R37" s="351">
        <v>9.2278513800000006</v>
      </c>
      <c r="S37" s="351">
        <v>10.817680860000001</v>
      </c>
      <c r="T37" s="351">
        <v>12.401483039999999</v>
      </c>
      <c r="U37" s="351">
        <v>13.99133277</v>
      </c>
      <c r="V37" s="351">
        <v>15.602115000000001</v>
      </c>
      <c r="W37" s="351">
        <v>17.242299690000003</v>
      </c>
      <c r="X37" s="351">
        <v>18.910877760000005</v>
      </c>
      <c r="Y37" s="351">
        <v>20.605479960000007</v>
      </c>
      <c r="Z37" s="351">
        <v>22.317308580000006</v>
      </c>
      <c r="AA37" s="351">
        <v>24.03754515</v>
      </c>
      <c r="AE37" s="362"/>
      <c r="AF37" s="362">
        <f t="shared" si="2"/>
        <v>0</v>
      </c>
      <c r="AG37" s="362">
        <f t="shared" si="3"/>
        <v>0</v>
      </c>
      <c r="AH37" s="362">
        <f t="shared" si="4"/>
        <v>0</v>
      </c>
      <c r="AI37" s="362">
        <f t="shared" si="5"/>
        <v>0</v>
      </c>
      <c r="AJ37" s="362">
        <f t="shared" si="6"/>
        <v>0</v>
      </c>
      <c r="AK37" s="362">
        <f t="shared" si="7"/>
        <v>0</v>
      </c>
      <c r="AL37" s="362">
        <f t="shared" si="8"/>
        <v>0</v>
      </c>
      <c r="AM37" s="362">
        <f t="shared" si="9"/>
        <v>0</v>
      </c>
      <c r="AN37" s="362">
        <f t="shared" si="10"/>
        <v>0</v>
      </c>
    </row>
    <row r="38" spans="2:40" x14ac:dyDescent="0.6">
      <c r="B38" s="77" t="s">
        <v>351</v>
      </c>
      <c r="C38" s="374">
        <f>Drivers!D155</f>
        <v>0.14365537440554377</v>
      </c>
      <c r="D38" s="374">
        <f>Drivers!E155</f>
        <v>0.15</v>
      </c>
      <c r="E38" s="374">
        <f>Drivers!F155</f>
        <v>0.18</v>
      </c>
      <c r="F38" s="374">
        <f>Drivers!G155</f>
        <v>0.21</v>
      </c>
      <c r="G38" s="374">
        <f>Drivers!H155</f>
        <v>0.24</v>
      </c>
      <c r="H38" s="374">
        <f>Drivers!I155</f>
        <v>0.27</v>
      </c>
      <c r="I38" s="374">
        <f>Drivers!J155</f>
        <v>0.30000000000000004</v>
      </c>
      <c r="J38" s="374">
        <f>Drivers!K155</f>
        <v>0.33000000000000007</v>
      </c>
      <c r="K38" s="374">
        <f>Drivers!L155</f>
        <v>0.3600000000000001</v>
      </c>
      <c r="L38" s="374">
        <f>Drivers!M155</f>
        <v>0.39000000000000012</v>
      </c>
      <c r="M38" s="374">
        <f>Drivers!N155</f>
        <v>0.42000000000000015</v>
      </c>
      <c r="N38" s="374">
        <f>Drivers!O155</f>
        <v>0.45</v>
      </c>
      <c r="O38" s="79"/>
      <c r="P38" s="353">
        <v>0.14365537440554377</v>
      </c>
      <c r="Q38" s="353">
        <v>0.15</v>
      </c>
      <c r="R38" s="353">
        <v>0.18</v>
      </c>
      <c r="S38" s="353">
        <v>0.21</v>
      </c>
      <c r="T38" s="353">
        <v>0.24</v>
      </c>
      <c r="U38" s="353">
        <v>0.27</v>
      </c>
      <c r="V38" s="353">
        <v>0.30000000000000004</v>
      </c>
      <c r="W38" s="353">
        <v>0.33000000000000007</v>
      </c>
      <c r="X38" s="353">
        <v>0.3600000000000001</v>
      </c>
      <c r="Y38" s="353">
        <v>0.39000000000000012</v>
      </c>
      <c r="Z38" s="353">
        <v>0.42000000000000015</v>
      </c>
      <c r="AA38" s="353">
        <v>0.45</v>
      </c>
      <c r="AE38" s="362"/>
      <c r="AF38" s="362">
        <f t="shared" si="2"/>
        <v>0</v>
      </c>
      <c r="AG38" s="362">
        <f t="shared" si="3"/>
        <v>0</v>
      </c>
      <c r="AH38" s="362">
        <f t="shared" si="4"/>
        <v>0</v>
      </c>
      <c r="AI38" s="362">
        <f t="shared" si="5"/>
        <v>0</v>
      </c>
      <c r="AJ38" s="362">
        <f t="shared" si="6"/>
        <v>0</v>
      </c>
      <c r="AK38" s="362">
        <f t="shared" si="7"/>
        <v>0</v>
      </c>
      <c r="AL38" s="362">
        <f t="shared" si="8"/>
        <v>0</v>
      </c>
      <c r="AM38" s="362">
        <f t="shared" si="9"/>
        <v>0</v>
      </c>
      <c r="AN38" s="362">
        <f t="shared" si="10"/>
        <v>0</v>
      </c>
    </row>
    <row r="39" spans="2:40" x14ac:dyDescent="0.6">
      <c r="B39" s="79" t="s">
        <v>352</v>
      </c>
      <c r="C39" s="155">
        <f>Drivers!D163</f>
        <v>0</v>
      </c>
      <c r="D39" s="155">
        <f>Drivers!E163</f>
        <v>0</v>
      </c>
      <c r="E39" s="155">
        <f>Drivers!F163</f>
        <v>4.5751391465677221E-2</v>
      </c>
      <c r="F39" s="155">
        <f>Drivers!G163</f>
        <v>0.22788203753350683</v>
      </c>
      <c r="G39" s="155">
        <f>Drivers!H163</f>
        <v>0.84611260053618731</v>
      </c>
      <c r="H39" s="155">
        <f>Drivers!I163</f>
        <v>1.8916219839142032</v>
      </c>
      <c r="I39" s="155">
        <f>Drivers!J163</f>
        <v>3.4371313672922184</v>
      </c>
      <c r="J39" s="155">
        <f>Drivers!K163</f>
        <v>4.1371313672922181</v>
      </c>
      <c r="K39" s="155">
        <f>Drivers!L163</f>
        <v>4.8371313672922183</v>
      </c>
      <c r="L39" s="155">
        <f>Drivers!M163</f>
        <v>5.1871313672922188</v>
      </c>
      <c r="M39" s="155">
        <f>Drivers!N163</f>
        <v>5.5371313672922184</v>
      </c>
      <c r="N39" s="155">
        <f>Drivers!O163</f>
        <v>5.8871313672922181</v>
      </c>
      <c r="O39" s="79"/>
      <c r="P39" s="351">
        <v>0</v>
      </c>
      <c r="Q39" s="351">
        <v>0</v>
      </c>
      <c r="R39" s="351">
        <v>4.6139256900000002E-2</v>
      </c>
      <c r="S39" s="351">
        <v>0.54088404300000004</v>
      </c>
      <c r="T39" s="351">
        <v>0.99211864319999987</v>
      </c>
      <c r="U39" s="351">
        <v>1.399133277</v>
      </c>
      <c r="V39" s="351">
        <v>1.8722538000000002</v>
      </c>
      <c r="W39" s="351">
        <v>2.4139219566000008</v>
      </c>
      <c r="X39" s="351">
        <v>3.0257404416000009</v>
      </c>
      <c r="Y39" s="351">
        <v>3.7089863928000013</v>
      </c>
      <c r="Z39" s="351">
        <v>4.2402886302000011</v>
      </c>
      <c r="AA39" s="351">
        <v>4.8075090300000003</v>
      </c>
      <c r="AE39" s="362"/>
      <c r="AF39" s="362">
        <f t="shared" si="2"/>
        <v>-0.57868596701510233</v>
      </c>
      <c r="AG39" s="362">
        <f t="shared" si="3"/>
        <v>-0.14716590970701016</v>
      </c>
      <c r="AH39" s="362">
        <f t="shared" si="4"/>
        <v>0.35199556397528475</v>
      </c>
      <c r="AI39" s="362">
        <f t="shared" si="5"/>
        <v>0.83582555276011083</v>
      </c>
      <c r="AJ39" s="362">
        <f t="shared" si="6"/>
        <v>0.71386293412706303</v>
      </c>
      <c r="AK39" s="362">
        <f t="shared" si="7"/>
        <v>0.59866038103861952</v>
      </c>
      <c r="AL39" s="362">
        <f t="shared" si="8"/>
        <v>0.39853070837942095</v>
      </c>
      <c r="AM39" s="362">
        <f t="shared" si="9"/>
        <v>0.30583831672587092</v>
      </c>
      <c r="AN39" s="362">
        <f t="shared" si="10"/>
        <v>0.22457000716069753</v>
      </c>
    </row>
    <row r="40" spans="2:40" x14ac:dyDescent="0.6">
      <c r="B40" s="77" t="s">
        <v>348</v>
      </c>
      <c r="C40" s="374">
        <f>C39/C37</f>
        <v>0</v>
      </c>
      <c r="D40" s="374">
        <f t="shared" ref="D40:N40" si="22">D39/D37</f>
        <v>0</v>
      </c>
      <c r="E40" s="374">
        <f t="shared" si="22"/>
        <v>4.9579679582656237E-3</v>
      </c>
      <c r="F40" s="374">
        <f t="shared" si="22"/>
        <v>2.1065701649244883E-2</v>
      </c>
      <c r="G40" s="374">
        <f t="shared" si="22"/>
        <v>6.8226727223439185E-2</v>
      </c>
      <c r="H40" s="374">
        <f t="shared" si="22"/>
        <v>0.13519955639752848</v>
      </c>
      <c r="I40" s="374">
        <f t="shared" si="22"/>
        <v>0.22029906633121329</v>
      </c>
      <c r="J40" s="374">
        <f t="shared" si="22"/>
        <v>0.23994081077778887</v>
      </c>
      <c r="K40" s="374">
        <f t="shared" si="22"/>
        <v>0.25578566096617911</v>
      </c>
      <c r="L40" s="374">
        <f t="shared" si="22"/>
        <v>0.25173552750829575</v>
      </c>
      <c r="M40" s="374">
        <f t="shared" si="22"/>
        <v>0.24810928017791548</v>
      </c>
      <c r="N40" s="374">
        <f t="shared" si="22"/>
        <v>0.24491400143213951</v>
      </c>
      <c r="O40" s="79"/>
      <c r="P40" s="353">
        <v>0</v>
      </c>
      <c r="Q40" s="353">
        <v>0</v>
      </c>
      <c r="R40" s="353">
        <v>5.0000000000000001E-3</v>
      </c>
      <c r="S40" s="353">
        <v>4.9999999999999996E-2</v>
      </c>
      <c r="T40" s="353">
        <v>0.08</v>
      </c>
      <c r="U40" s="353">
        <v>0.1</v>
      </c>
      <c r="V40" s="353">
        <v>0.12</v>
      </c>
      <c r="W40" s="353">
        <v>0.14000000000000001</v>
      </c>
      <c r="X40" s="353">
        <v>0.16</v>
      </c>
      <c r="Y40" s="353">
        <v>0.18</v>
      </c>
      <c r="Z40" s="353">
        <v>0.19</v>
      </c>
      <c r="AA40" s="353">
        <v>0.2</v>
      </c>
      <c r="AE40" s="362"/>
      <c r="AF40" s="362">
        <f t="shared" si="2"/>
        <v>-0.57868596701510233</v>
      </c>
      <c r="AG40" s="362">
        <f t="shared" si="3"/>
        <v>-0.14716590970701016</v>
      </c>
      <c r="AH40" s="362">
        <f t="shared" si="4"/>
        <v>0.35199556397528475</v>
      </c>
      <c r="AI40" s="362">
        <f t="shared" si="5"/>
        <v>0.83582555276011083</v>
      </c>
      <c r="AJ40" s="362">
        <f t="shared" si="6"/>
        <v>0.71386293412706325</v>
      </c>
      <c r="AK40" s="362">
        <f t="shared" si="7"/>
        <v>0.59866038103861929</v>
      </c>
      <c r="AL40" s="362">
        <f t="shared" si="8"/>
        <v>0.39853070837942095</v>
      </c>
      <c r="AM40" s="362">
        <f t="shared" si="9"/>
        <v>0.30583831672587092</v>
      </c>
      <c r="AN40" s="362">
        <f t="shared" si="10"/>
        <v>0.22457000716069753</v>
      </c>
    </row>
    <row r="41" spans="2:40" x14ac:dyDescent="0.6">
      <c r="B41" s="79"/>
      <c r="C41" s="79"/>
      <c r="D41" s="79"/>
      <c r="E41" s="79"/>
      <c r="F41" s="79"/>
      <c r="G41" s="79"/>
      <c r="H41" s="79"/>
      <c r="I41" s="79"/>
      <c r="J41" s="79"/>
      <c r="K41" s="79"/>
      <c r="L41" s="79"/>
      <c r="M41" s="79"/>
      <c r="N41" s="79"/>
      <c r="O41" s="79"/>
      <c r="P41" s="354"/>
      <c r="Q41" s="354"/>
      <c r="R41" s="354"/>
      <c r="S41" s="354"/>
      <c r="T41" s="354"/>
      <c r="U41" s="354"/>
      <c r="V41" s="354"/>
      <c r="W41" s="354"/>
      <c r="X41" s="354"/>
      <c r="Y41" s="354"/>
      <c r="Z41" s="354"/>
      <c r="AA41" s="354"/>
      <c r="AE41" s="362"/>
      <c r="AF41" s="362"/>
      <c r="AG41" s="362"/>
      <c r="AH41" s="362"/>
      <c r="AI41" s="362"/>
      <c r="AJ41" s="362"/>
      <c r="AK41" s="362"/>
      <c r="AL41" s="362"/>
      <c r="AM41" s="362"/>
      <c r="AN41" s="362"/>
    </row>
    <row r="42" spans="2:40" x14ac:dyDescent="0.6">
      <c r="B42" s="372" t="s">
        <v>474</v>
      </c>
      <c r="C42" s="77"/>
      <c r="D42" s="77"/>
      <c r="E42" s="77"/>
      <c r="F42" s="77"/>
      <c r="G42" s="77"/>
      <c r="H42" s="77"/>
      <c r="I42" s="77"/>
      <c r="J42" s="77"/>
      <c r="K42" s="77"/>
      <c r="L42" s="77"/>
      <c r="M42" s="77"/>
      <c r="N42" s="78"/>
      <c r="O42" s="79"/>
      <c r="P42" s="354"/>
      <c r="Q42" s="354"/>
      <c r="R42" s="354"/>
      <c r="S42" s="354"/>
      <c r="T42" s="354"/>
      <c r="U42" s="354"/>
      <c r="V42" s="354"/>
      <c r="W42" s="354"/>
      <c r="X42" s="354"/>
      <c r="Y42" s="354"/>
      <c r="Z42" s="354"/>
      <c r="AA42" s="358"/>
      <c r="AE42" s="362"/>
      <c r="AF42" s="362"/>
      <c r="AG42" s="362"/>
      <c r="AH42" s="362"/>
      <c r="AI42" s="362"/>
      <c r="AJ42" s="362"/>
      <c r="AK42" s="362"/>
      <c r="AL42" s="362"/>
      <c r="AM42" s="362"/>
      <c r="AN42" s="362"/>
    </row>
    <row r="43" spans="2:40" x14ac:dyDescent="0.6">
      <c r="B43" s="79" t="str">
        <f>B6</f>
        <v>Brazil</v>
      </c>
      <c r="C43" s="80">
        <f>Drivers!D94</f>
        <v>2786.5</v>
      </c>
      <c r="D43" s="80">
        <f>Drivers!E94</f>
        <v>2908.9</v>
      </c>
      <c r="E43" s="80">
        <f>Drivers!F94</f>
        <v>4647.4619666048238</v>
      </c>
      <c r="F43" s="80">
        <f>Drivers!G94</f>
        <v>7824.6608579088488</v>
      </c>
      <c r="G43" s="80">
        <f>Drivers!H94</f>
        <v>10995.443620988126</v>
      </c>
      <c r="H43" s="80">
        <f>Drivers!I94</f>
        <v>13981.130092435229</v>
      </c>
      <c r="I43" s="80">
        <f>Drivers!J94</f>
        <v>16107.092345573446</v>
      </c>
      <c r="J43" s="80">
        <f>Drivers!K94</f>
        <v>17794.859157207789</v>
      </c>
      <c r="K43" s="80">
        <f>Drivers!L94</f>
        <v>19379.501718123272</v>
      </c>
      <c r="L43" s="80">
        <f>Drivers!M94</f>
        <v>20834.906526168001</v>
      </c>
      <c r="M43" s="80">
        <f>Drivers!N94</f>
        <v>22387.403060721892</v>
      </c>
      <c r="N43" s="80">
        <f>Drivers!O94</f>
        <v>24043.061982415755</v>
      </c>
      <c r="O43" s="79"/>
      <c r="P43" s="358">
        <v>2786.5</v>
      </c>
      <c r="Q43" s="358">
        <v>2908.9</v>
      </c>
      <c r="R43" s="358">
        <v>4646.6909523493541</v>
      </c>
      <c r="S43" s="358">
        <v>5753.6843837586757</v>
      </c>
      <c r="T43" s="358">
        <v>6582.3210505059469</v>
      </c>
      <c r="U43" s="358">
        <v>7503.7972604302095</v>
      </c>
      <c r="V43" s="358">
        <v>8410.1703608794487</v>
      </c>
      <c r="W43" s="358">
        <v>9400.1979159084713</v>
      </c>
      <c r="X43" s="358">
        <v>10480.280824653915</v>
      </c>
      <c r="Y43" s="358">
        <v>11657.402134158674</v>
      </c>
      <c r="Z43" s="358">
        <v>12939.074965425836</v>
      </c>
      <c r="AA43" s="358">
        <v>14333.320512705754</v>
      </c>
      <c r="AE43" s="362"/>
      <c r="AF43" s="362">
        <f t="shared" si="2"/>
        <v>0.35993918609718367</v>
      </c>
      <c r="AG43" s="362">
        <f t="shared" si="3"/>
        <v>0.67045082374749354</v>
      </c>
      <c r="AH43" s="362">
        <f t="shared" si="4"/>
        <v>0.86320733452674059</v>
      </c>
      <c r="AI43" s="362">
        <f t="shared" si="5"/>
        <v>0.91519216073158516</v>
      </c>
      <c r="AJ43" s="362">
        <f t="shared" si="6"/>
        <v>0.89303026557478882</v>
      </c>
      <c r="AK43" s="362">
        <f t="shared" si="7"/>
        <v>0.84913954524336255</v>
      </c>
      <c r="AL43" s="362">
        <f t="shared" si="8"/>
        <v>0.78726840563535871</v>
      </c>
      <c r="AM43" s="362">
        <f t="shared" si="9"/>
        <v>0.73021665926990043</v>
      </c>
      <c r="AN43" s="362">
        <f t="shared" si="10"/>
        <v>0.6774244293988132</v>
      </c>
    </row>
    <row r="44" spans="2:40" x14ac:dyDescent="0.6">
      <c r="B44" s="77" t="str">
        <f>B7</f>
        <v>Mexico</v>
      </c>
      <c r="C44" s="78">
        <f>Drivers!D143</f>
        <v>0</v>
      </c>
      <c r="D44" s="78">
        <f>Drivers!E143</f>
        <v>0</v>
      </c>
      <c r="E44" s="78">
        <f>Drivers!F143</f>
        <v>124.16883116883116</v>
      </c>
      <c r="F44" s="78">
        <f>Drivers!G143</f>
        <v>353.1581769436998</v>
      </c>
      <c r="G44" s="78">
        <f>Drivers!H143</f>
        <v>1218.6372083267624</v>
      </c>
      <c r="H44" s="78">
        <f>Drivers!I143</f>
        <v>2404.4526487462554</v>
      </c>
      <c r="I44" s="78">
        <f>Drivers!J143</f>
        <v>3795.648505867372</v>
      </c>
      <c r="J44" s="78">
        <f>Drivers!K143</f>
        <v>5116.0367366754472</v>
      </c>
      <c r="K44" s="78">
        <f>Drivers!L143</f>
        <v>6321.5474501415729</v>
      </c>
      <c r="L44" s="78">
        <f>Drivers!M143</f>
        <v>7385.5205629966304</v>
      </c>
      <c r="M44" s="78">
        <f>Drivers!N143</f>
        <v>8278.3236093900468</v>
      </c>
      <c r="N44" s="78">
        <f>Drivers!O143</f>
        <v>8967.0914744374313</v>
      </c>
      <c r="O44" s="79"/>
      <c r="P44" s="358">
        <v>0</v>
      </c>
      <c r="Q44" s="358">
        <v>0</v>
      </c>
      <c r="R44" s="358">
        <v>146.62912521809102</v>
      </c>
      <c r="S44" s="358">
        <v>341.5133186472853</v>
      </c>
      <c r="T44" s="358">
        <v>571.45844948818853</v>
      </c>
      <c r="U44" s="358">
        <v>818.30805909244998</v>
      </c>
      <c r="V44" s="358">
        <v>1128.618666720035</v>
      </c>
      <c r="W44" s="358">
        <v>1511.9906732099851</v>
      </c>
      <c r="X44" s="358">
        <v>1830.6853897875233</v>
      </c>
      <c r="Y44" s="358">
        <v>2195.293884610996</v>
      </c>
      <c r="Z44" s="358">
        <v>2611.0917685739423</v>
      </c>
      <c r="AA44" s="358">
        <v>3083.8696953374515</v>
      </c>
      <c r="AE44" s="362"/>
      <c r="AF44" s="362">
        <f t="shared" si="2"/>
        <v>3.4097815987204072E-2</v>
      </c>
      <c r="AG44" s="362">
        <f t="shared" si="3"/>
        <v>1.1325036131991788</v>
      </c>
      <c r="AH44" s="362">
        <f t="shared" si="4"/>
        <v>1.9383220927983156</v>
      </c>
      <c r="AI44" s="362">
        <f t="shared" si="5"/>
        <v>2.3630920857424735</v>
      </c>
      <c r="AJ44" s="362">
        <f t="shared" si="6"/>
        <v>2.3836430523833876</v>
      </c>
      <c r="AK44" s="362">
        <f t="shared" si="7"/>
        <v>2.4531042228262265</v>
      </c>
      <c r="AL44" s="362">
        <f t="shared" si="8"/>
        <v>2.3642514174385076</v>
      </c>
      <c r="AM44" s="362">
        <f t="shared" si="9"/>
        <v>2.1704452938133554</v>
      </c>
      <c r="AN44" s="362">
        <f t="shared" si="10"/>
        <v>1.9077400669668081</v>
      </c>
    </row>
    <row r="45" spans="2:40" x14ac:dyDescent="0.6">
      <c r="B45" s="81" t="str">
        <f>B8</f>
        <v>Colombia</v>
      </c>
      <c r="C45" s="311">
        <f>Drivers!D173</f>
        <v>0</v>
      </c>
      <c r="D45" s="311">
        <f>Drivers!E173</f>
        <v>0</v>
      </c>
      <c r="E45" s="311">
        <f>Drivers!F173</f>
        <v>0</v>
      </c>
      <c r="F45" s="311">
        <f>Drivers!G173</f>
        <v>0</v>
      </c>
      <c r="G45" s="311">
        <f>Drivers!H173</f>
        <v>3.9353239215687079</v>
      </c>
      <c r="H45" s="311">
        <f>Drivers!I173</f>
        <v>1.5548556679355858</v>
      </c>
      <c r="I45" s="311">
        <f>Drivers!J173</f>
        <v>1.0406404179615598</v>
      </c>
      <c r="J45" s="311">
        <f>Drivers!K173</f>
        <v>0.43046557779431582</v>
      </c>
      <c r="K45" s="311">
        <f>Drivers!L173</f>
        <v>0.22765933318212794</v>
      </c>
      <c r="L45" s="311">
        <f>Drivers!M173</f>
        <v>0.12597478176527654</v>
      </c>
      <c r="M45" s="311">
        <f>Drivers!N173</f>
        <v>0.12084840810419695</v>
      </c>
      <c r="N45" s="311">
        <f>Drivers!O173</f>
        <v>0.11637010676156589</v>
      </c>
      <c r="O45" s="79"/>
      <c r="P45" s="359">
        <v>0</v>
      </c>
      <c r="Q45" s="359">
        <v>0</v>
      </c>
      <c r="R45" s="359">
        <v>7.4728722726251702</v>
      </c>
      <c r="S45" s="359">
        <v>92.85964052226656</v>
      </c>
      <c r="T45" s="359">
        <v>180.54784322186089</v>
      </c>
      <c r="U45" s="359">
        <v>269.89425822214162</v>
      </c>
      <c r="V45" s="359">
        <v>382.82927894928565</v>
      </c>
      <c r="W45" s="359">
        <v>523.20214396687493</v>
      </c>
      <c r="X45" s="359">
        <v>695.15848046052054</v>
      </c>
      <c r="Y45" s="359">
        <v>903.2610028223155</v>
      </c>
      <c r="Z45" s="359">
        <v>1094.6097321559159</v>
      </c>
      <c r="AA45" s="359">
        <v>1315.4969928785895</v>
      </c>
      <c r="AE45" s="362"/>
      <c r="AF45" s="362">
        <f t="shared" si="2"/>
        <v>-1</v>
      </c>
      <c r="AG45" s="362">
        <f t="shared" si="3"/>
        <v>-0.97820342879015787</v>
      </c>
      <c r="AH45" s="362">
        <f t="shared" si="4"/>
        <v>-0.99423901909519008</v>
      </c>
      <c r="AI45" s="362">
        <f t="shared" si="5"/>
        <v>-0.99728171152212364</v>
      </c>
      <c r="AJ45" s="362">
        <f t="shared" si="6"/>
        <v>-0.99917724806222974</v>
      </c>
      <c r="AK45" s="362">
        <f t="shared" si="7"/>
        <v>-0.99967250729210511</v>
      </c>
      <c r="AL45" s="362">
        <f t="shared" si="8"/>
        <v>-0.99986053335484248</v>
      </c>
      <c r="AM45" s="362">
        <f t="shared" si="9"/>
        <v>-0.99988959680829237</v>
      </c>
      <c r="AN45" s="362">
        <f t="shared" si="10"/>
        <v>-0.99991153905528363</v>
      </c>
    </row>
    <row r="46" spans="2:40" x14ac:dyDescent="0.6">
      <c r="B46" s="77" t="s">
        <v>354</v>
      </c>
      <c r="C46" s="78">
        <f>SUM(C43:C45)</f>
        <v>2786.5</v>
      </c>
      <c r="D46" s="78">
        <f t="shared" ref="D46:N46" si="23">SUM(D43:D45)</f>
        <v>2908.9</v>
      </c>
      <c r="E46" s="78">
        <f t="shared" si="23"/>
        <v>4771.6307977736551</v>
      </c>
      <c r="F46" s="78">
        <f t="shared" si="23"/>
        <v>8177.8190348525486</v>
      </c>
      <c r="G46" s="78">
        <f t="shared" si="23"/>
        <v>12218.016153236456</v>
      </c>
      <c r="H46" s="78">
        <f t="shared" si="23"/>
        <v>16387.137596849418</v>
      </c>
      <c r="I46" s="78">
        <f t="shared" si="23"/>
        <v>19903.781491858783</v>
      </c>
      <c r="J46" s="78">
        <f t="shared" si="23"/>
        <v>22911.326359461033</v>
      </c>
      <c r="K46" s="78">
        <f t="shared" si="23"/>
        <v>25701.276827598027</v>
      </c>
      <c r="L46" s="78">
        <f t="shared" si="23"/>
        <v>28220.553063946394</v>
      </c>
      <c r="M46" s="78">
        <f t="shared" si="23"/>
        <v>30665.84751852004</v>
      </c>
      <c r="N46" s="78">
        <f t="shared" si="23"/>
        <v>33010.26982695995</v>
      </c>
      <c r="O46" s="79"/>
      <c r="P46" s="358">
        <v>2786.5</v>
      </c>
      <c r="Q46" s="358">
        <v>2908.9</v>
      </c>
      <c r="R46" s="358">
        <v>4800.7929498400699</v>
      </c>
      <c r="S46" s="358">
        <v>6188.0573429282276</v>
      </c>
      <c r="T46" s="358">
        <v>7334.3273432159958</v>
      </c>
      <c r="U46" s="358">
        <v>8591.9995777448021</v>
      </c>
      <c r="V46" s="358">
        <v>9921.6183065487694</v>
      </c>
      <c r="W46" s="358">
        <v>11435.390733085331</v>
      </c>
      <c r="X46" s="358">
        <v>13006.124694901959</v>
      </c>
      <c r="Y46" s="358">
        <v>14755.957021591985</v>
      </c>
      <c r="Z46" s="358">
        <v>16644.776466155694</v>
      </c>
      <c r="AA46" s="358">
        <v>18732.687200921795</v>
      </c>
      <c r="AE46" s="362"/>
      <c r="AF46" s="362">
        <f t="shared" si="2"/>
        <v>0.32154868348113164</v>
      </c>
      <c r="AG46" s="362">
        <f t="shared" si="3"/>
        <v>0.66586730881840261</v>
      </c>
      <c r="AH46" s="362">
        <f t="shared" si="4"/>
        <v>0.90725540062825005</v>
      </c>
      <c r="AI46" s="362">
        <f t="shared" si="5"/>
        <v>1.0061023188849427</v>
      </c>
      <c r="AJ46" s="362">
        <f t="shared" si="6"/>
        <v>1.0035455625642125</v>
      </c>
      <c r="AK46" s="362">
        <f t="shared" si="7"/>
        <v>0.97609029826326488</v>
      </c>
      <c r="AL46" s="362">
        <f t="shared" si="8"/>
        <v>0.91248544724358016</v>
      </c>
      <c r="AM46" s="362">
        <f t="shared" si="9"/>
        <v>0.84237064287849073</v>
      </c>
      <c r="AN46" s="362">
        <f t="shared" si="10"/>
        <v>0.76217482696959715</v>
      </c>
    </row>
    <row r="47" spans="2:40" x14ac:dyDescent="0.6">
      <c r="B47" s="79"/>
      <c r="C47" s="80"/>
      <c r="D47" s="80"/>
      <c r="E47" s="80"/>
      <c r="F47" s="80"/>
      <c r="G47" s="80"/>
      <c r="H47" s="80"/>
      <c r="I47" s="80"/>
      <c r="J47" s="80"/>
      <c r="K47" s="80"/>
      <c r="L47" s="80"/>
      <c r="M47" s="80"/>
      <c r="N47" s="80"/>
      <c r="O47" s="79"/>
      <c r="P47" s="358"/>
      <c r="Q47" s="358"/>
      <c r="R47" s="358"/>
      <c r="S47" s="358"/>
      <c r="T47" s="358"/>
      <c r="U47" s="358"/>
      <c r="V47" s="358"/>
      <c r="W47" s="358"/>
      <c r="X47" s="358"/>
      <c r="Y47" s="358"/>
      <c r="Z47" s="358"/>
      <c r="AA47" s="358"/>
      <c r="AE47" s="362"/>
      <c r="AF47" s="362"/>
      <c r="AG47" s="362"/>
      <c r="AH47" s="362"/>
      <c r="AI47" s="362"/>
      <c r="AJ47" s="362"/>
      <c r="AK47" s="362"/>
      <c r="AL47" s="362"/>
      <c r="AM47" s="362"/>
      <c r="AN47" s="362"/>
    </row>
    <row r="48" spans="2:40" x14ac:dyDescent="0.6">
      <c r="B48" s="372" t="s">
        <v>475</v>
      </c>
      <c r="C48" s="78"/>
      <c r="D48" s="78"/>
      <c r="E48" s="78"/>
      <c r="F48" s="78"/>
      <c r="G48" s="78"/>
      <c r="H48" s="78"/>
      <c r="I48" s="78"/>
      <c r="J48" s="78"/>
      <c r="K48" s="78"/>
      <c r="L48" s="78"/>
      <c r="M48" s="78"/>
      <c r="N48" s="78"/>
      <c r="O48" s="79"/>
      <c r="P48" s="358"/>
      <c r="Q48" s="358"/>
      <c r="R48" s="358"/>
      <c r="S48" s="358"/>
      <c r="T48" s="358"/>
      <c r="U48" s="358"/>
      <c r="V48" s="358"/>
      <c r="W48" s="358"/>
      <c r="X48" s="358"/>
      <c r="Y48" s="358"/>
      <c r="Z48" s="358"/>
      <c r="AA48" s="358"/>
      <c r="AE48" s="362"/>
      <c r="AF48" s="362"/>
      <c r="AG48" s="362"/>
      <c r="AH48" s="362"/>
      <c r="AI48" s="362"/>
      <c r="AJ48" s="362"/>
      <c r="AK48" s="362"/>
      <c r="AL48" s="362"/>
      <c r="AM48" s="362"/>
      <c r="AN48" s="362"/>
    </row>
    <row r="49" spans="2:40" x14ac:dyDescent="0.6">
      <c r="B49" s="79" t="str">
        <f>B43</f>
        <v>Brazil</v>
      </c>
      <c r="C49" s="80">
        <f>Drivers!D90</f>
        <v>58</v>
      </c>
      <c r="D49" s="80">
        <f>Drivers!E90</f>
        <v>202.32558139534882</v>
      </c>
      <c r="E49" s="80">
        <f>Drivers!F90</f>
        <v>1161.5592578849721</v>
      </c>
      <c r="F49" s="80">
        <f>Drivers!G90</f>
        <v>1590.0227882037536</v>
      </c>
      <c r="G49" s="80">
        <f>Drivers!H90</f>
        <v>2719.2050502234138</v>
      </c>
      <c r="H49" s="80">
        <f>Drivers!I90</f>
        <v>3590.5575750365115</v>
      </c>
      <c r="I49" s="80">
        <f>Drivers!J90</f>
        <v>4705.3092513152787</v>
      </c>
      <c r="J49" s="80">
        <f>Drivers!K90</f>
        <v>5940.9722745980634</v>
      </c>
      <c r="K49" s="80">
        <f>Drivers!L90</f>
        <v>7278.7717260911286</v>
      </c>
      <c r="L49" s="80">
        <f>Drivers!M90</f>
        <v>8694.8989678902235</v>
      </c>
      <c r="M49" s="80">
        <f>Drivers!N90</f>
        <v>9809.9320915132284</v>
      </c>
      <c r="N49" s="80">
        <f>Drivers!O90</f>
        <v>11037.111878020236</v>
      </c>
      <c r="O49" s="79"/>
      <c r="P49" s="358">
        <v>58</v>
      </c>
      <c r="Q49" s="358">
        <v>202.32558139534882</v>
      </c>
      <c r="R49" s="358">
        <v>989.30186396232193</v>
      </c>
      <c r="S49" s="358">
        <v>2982.500065702608</v>
      </c>
      <c r="T49" s="358">
        <v>4181.2698894978093</v>
      </c>
      <c r="U49" s="358">
        <v>4995.7534395284129</v>
      </c>
      <c r="V49" s="358">
        <v>5807.088894751746</v>
      </c>
      <c r="W49" s="358">
        <v>6674.7569801628124</v>
      </c>
      <c r="X49" s="358">
        <v>6991.3803040943885</v>
      </c>
      <c r="Y49" s="358">
        <v>7395.6557168531481</v>
      </c>
      <c r="Z49" s="358">
        <v>7807.6879993508155</v>
      </c>
      <c r="AA49" s="358">
        <v>8227.5095407157332</v>
      </c>
      <c r="AE49" s="362"/>
      <c r="AF49" s="362">
        <f t="shared" si="2"/>
        <v>-0.46688256389721783</v>
      </c>
      <c r="AG49" s="362">
        <f t="shared" si="3"/>
        <v>-0.34967004711814875</v>
      </c>
      <c r="AH49" s="362">
        <f t="shared" si="4"/>
        <v>-0.28127806576149772</v>
      </c>
      <c r="AI49" s="362">
        <f t="shared" si="5"/>
        <v>-0.18973011493456193</v>
      </c>
      <c r="AJ49" s="362">
        <f t="shared" si="6"/>
        <v>-0.10993429539765065</v>
      </c>
      <c r="AK49" s="362">
        <f t="shared" si="7"/>
        <v>4.1106535404522804E-2</v>
      </c>
      <c r="AL49" s="362">
        <f t="shared" si="8"/>
        <v>0.17567654590469539</v>
      </c>
      <c r="AM49" s="362">
        <f t="shared" si="9"/>
        <v>0.25644519764735652</v>
      </c>
      <c r="AN49" s="362">
        <f t="shared" si="10"/>
        <v>0.34148879723572922</v>
      </c>
    </row>
    <row r="50" spans="2:40" x14ac:dyDescent="0.6">
      <c r="B50" s="77" t="str">
        <f>B44</f>
        <v>Mexico</v>
      </c>
      <c r="C50" s="78">
        <f>Drivers!D140</f>
        <v>0</v>
      </c>
      <c r="D50" s="78">
        <f>Drivers!E140</f>
        <v>0</v>
      </c>
      <c r="E50" s="78">
        <f>Drivers!F140</f>
        <v>31.034025974025969</v>
      </c>
      <c r="F50" s="78">
        <f>Drivers!G140</f>
        <v>71.764075067024137</v>
      </c>
      <c r="G50" s="78">
        <f>Drivers!H140</f>
        <v>299.23829246596227</v>
      </c>
      <c r="H50" s="78">
        <f>Drivers!I140</f>
        <v>613.37554654313203</v>
      </c>
      <c r="I50" s="78">
        <f>Drivers!J140</f>
        <v>1035.6466952968537</v>
      </c>
      <c r="J50" s="78">
        <f>Drivers!K140</f>
        <v>1579.9531983095899</v>
      </c>
      <c r="K50" s="78">
        <f>Drivers!L140</f>
        <v>1952.2434310366873</v>
      </c>
      <c r="L50" s="78">
        <f>Drivers!M140</f>
        <v>2280.8235036776705</v>
      </c>
      <c r="M50" s="78">
        <f>Drivers!N140</f>
        <v>2556.5422096239586</v>
      </c>
      <c r="N50" s="78">
        <f>Drivers!O140</f>
        <v>2769.2500237554191</v>
      </c>
      <c r="O50" s="79"/>
      <c r="P50" s="358">
        <v>0</v>
      </c>
      <c r="Q50" s="358">
        <v>0</v>
      </c>
      <c r="R50" s="358">
        <v>6.2436029586206905</v>
      </c>
      <c r="S50" s="358">
        <v>40.852625660939601</v>
      </c>
      <c r="T50" s="358">
        <v>170.82635098828806</v>
      </c>
      <c r="U50" s="358">
        <v>286.73660035555952</v>
      </c>
      <c r="V50" s="358">
        <v>445.31042397400302</v>
      </c>
      <c r="W50" s="358">
        <v>653.5032812640751</v>
      </c>
      <c r="X50" s="358">
        <v>743.36810276335689</v>
      </c>
      <c r="Y50" s="358">
        <v>847.7499537080306</v>
      </c>
      <c r="Z50" s="358">
        <v>959.05067770845187</v>
      </c>
      <c r="AA50" s="358">
        <v>1077.5012957459066</v>
      </c>
      <c r="AE50" s="362"/>
      <c r="AF50" s="362">
        <f t="shared" si="2"/>
        <v>0.75665759314069958</v>
      </c>
      <c r="AG50" s="362">
        <f t="shared" si="3"/>
        <v>0.75171038153521286</v>
      </c>
      <c r="AH50" s="362">
        <f t="shared" si="4"/>
        <v>1.1391602808379999</v>
      </c>
      <c r="AI50" s="362">
        <f t="shared" si="5"/>
        <v>1.3256735965320998</v>
      </c>
      <c r="AJ50" s="362">
        <f t="shared" si="6"/>
        <v>1.4176668176072162</v>
      </c>
      <c r="AK50" s="362">
        <f t="shared" si="7"/>
        <v>1.6262136131205009</v>
      </c>
      <c r="AL50" s="362">
        <f t="shared" si="8"/>
        <v>1.6904436782348653</v>
      </c>
      <c r="AM50" s="362">
        <f t="shared" si="9"/>
        <v>1.6657008529857258</v>
      </c>
      <c r="AN50" s="362">
        <f t="shared" si="10"/>
        <v>1.5700665369858227</v>
      </c>
    </row>
    <row r="51" spans="2:40" x14ac:dyDescent="0.6">
      <c r="B51" s="81" t="str">
        <f>B45</f>
        <v>Colombia</v>
      </c>
      <c r="C51" s="311">
        <f>Drivers!D171</f>
        <v>0</v>
      </c>
      <c r="D51" s="311">
        <f>Drivers!E171</f>
        <v>0</v>
      </c>
      <c r="E51" s="311">
        <f>Drivers!F171</f>
        <v>2.2167161410018572</v>
      </c>
      <c r="F51" s="311">
        <f>Drivers!G171</f>
        <v>11.213136729222262</v>
      </c>
      <c r="G51" s="311">
        <f>Drivers!H171</f>
        <v>55.340461935551332</v>
      </c>
      <c r="H51" s="311">
        <f>Drivers!I171</f>
        <v>141.38689284221687</v>
      </c>
      <c r="I51" s="311">
        <f>Drivers!J171</f>
        <v>288.5198081038277</v>
      </c>
      <c r="J51" s="311">
        <f>Drivers!K171</f>
        <v>412.71765400434703</v>
      </c>
      <c r="K51" s="311">
        <f>Drivers!L171</f>
        <v>506.67667990746884</v>
      </c>
      <c r="L51" s="311">
        <f>Drivers!M171</f>
        <v>570.50516408436715</v>
      </c>
      <c r="M51" s="311">
        <f>Drivers!N171</f>
        <v>639.44980497918664</v>
      </c>
      <c r="N51" s="311">
        <f>Drivers!O171</f>
        <v>713.8626470532771</v>
      </c>
      <c r="O51" s="79"/>
      <c r="P51" s="359">
        <v>0</v>
      </c>
      <c r="Q51" s="359">
        <v>0</v>
      </c>
      <c r="R51" s="359">
        <v>0.31820177172413799</v>
      </c>
      <c r="S51" s="359">
        <v>11.108088399865771</v>
      </c>
      <c r="T51" s="359">
        <v>33.732033868800002</v>
      </c>
      <c r="U51" s="359">
        <v>66.199999912931943</v>
      </c>
      <c r="V51" s="359">
        <v>113.28751256658309</v>
      </c>
      <c r="W51" s="359">
        <v>177.67765951366962</v>
      </c>
      <c r="X51" s="359">
        <v>221.78832505058571</v>
      </c>
      <c r="Y51" s="359">
        <v>274.0646469010012</v>
      </c>
      <c r="Z51" s="359">
        <v>315.89545357827672</v>
      </c>
      <c r="AA51" s="359">
        <v>361.14057982122409</v>
      </c>
      <c r="AE51" s="362"/>
      <c r="AF51" s="362">
        <f t="shared" si="2"/>
        <v>9.4569223411797854E-3</v>
      </c>
      <c r="AG51" s="362">
        <f t="shared" si="3"/>
        <v>0.64059072603795042</v>
      </c>
      <c r="AH51" s="362">
        <f t="shared" si="4"/>
        <v>1.135753671120435</v>
      </c>
      <c r="AI51" s="362">
        <f t="shared" si="5"/>
        <v>1.5467926832117032</v>
      </c>
      <c r="AJ51" s="362">
        <f t="shared" si="6"/>
        <v>1.3228449492976049</v>
      </c>
      <c r="AK51" s="362">
        <f t="shared" si="7"/>
        <v>1.2845056419985386</v>
      </c>
      <c r="AL51" s="362">
        <f t="shared" si="8"/>
        <v>1.0816444971483223</v>
      </c>
      <c r="AM51" s="362">
        <f t="shared" si="9"/>
        <v>1.0242450397303213</v>
      </c>
      <c r="AN51" s="362">
        <f t="shared" si="10"/>
        <v>0.97668909820840821</v>
      </c>
    </row>
    <row r="52" spans="2:40" x14ac:dyDescent="0.6">
      <c r="B52" s="77" t="s">
        <v>354</v>
      </c>
      <c r="C52" s="78">
        <f>SUM(C49:C51)</f>
        <v>58</v>
      </c>
      <c r="D52" s="78">
        <f t="shared" ref="D52:N52" si="24">SUM(D49:D51)</f>
        <v>202.32558139534882</v>
      </c>
      <c r="E52" s="78">
        <f t="shared" si="24"/>
        <v>1194.81</v>
      </c>
      <c r="F52" s="78">
        <f t="shared" si="24"/>
        <v>1673</v>
      </c>
      <c r="G52" s="78">
        <f t="shared" si="24"/>
        <v>3073.7838046249276</v>
      </c>
      <c r="H52" s="78">
        <f t="shared" si="24"/>
        <v>4345.3200144218608</v>
      </c>
      <c r="I52" s="78">
        <f t="shared" si="24"/>
        <v>6029.4757547159606</v>
      </c>
      <c r="J52" s="78">
        <f t="shared" si="24"/>
        <v>7933.6431269120003</v>
      </c>
      <c r="K52" s="78">
        <f t="shared" si="24"/>
        <v>9737.6918370352851</v>
      </c>
      <c r="L52" s="78">
        <f t="shared" si="24"/>
        <v>11546.22763565226</v>
      </c>
      <c r="M52" s="78">
        <f t="shared" si="24"/>
        <v>13005.924106116374</v>
      </c>
      <c r="N52" s="78">
        <f t="shared" si="24"/>
        <v>14520.224548828932</v>
      </c>
      <c r="O52" s="79"/>
      <c r="P52" s="358">
        <v>58</v>
      </c>
      <c r="Q52" s="358">
        <v>202.32558139534882</v>
      </c>
      <c r="R52" s="358">
        <v>995.86366869266681</v>
      </c>
      <c r="S52" s="358">
        <v>3034.4607797634135</v>
      </c>
      <c r="T52" s="358">
        <v>4385.8282743548971</v>
      </c>
      <c r="U52" s="358">
        <v>5348.6900397969048</v>
      </c>
      <c r="V52" s="358">
        <v>6365.6868312923325</v>
      </c>
      <c r="W52" s="358">
        <v>7505.937920940557</v>
      </c>
      <c r="X52" s="358">
        <v>7956.5367319083307</v>
      </c>
      <c r="Y52" s="358">
        <v>8517.4703174621791</v>
      </c>
      <c r="Z52" s="358">
        <v>9082.6341306375434</v>
      </c>
      <c r="AA52" s="358">
        <v>9666.1514162828626</v>
      </c>
      <c r="AE52" s="362"/>
      <c r="AF52" s="362">
        <f t="shared" si="2"/>
        <v>-0.44866646121870846</v>
      </c>
      <c r="AG52" s="362">
        <f t="shared" si="3"/>
        <v>-0.29915545882218919</v>
      </c>
      <c r="AH52" s="362">
        <f t="shared" si="4"/>
        <v>-0.1875917314163793</v>
      </c>
      <c r="AI52" s="362">
        <f t="shared" si="5"/>
        <v>-5.2816150949121621E-2</v>
      </c>
      <c r="AJ52" s="362">
        <f t="shared" si="6"/>
        <v>5.6982246652773849E-2</v>
      </c>
      <c r="AK52" s="362">
        <f t="shared" si="7"/>
        <v>0.22386060231255334</v>
      </c>
      <c r="AL52" s="362">
        <f t="shared" si="8"/>
        <v>0.35559352780844367</v>
      </c>
      <c r="AM52" s="362">
        <f t="shared" si="9"/>
        <v>0.4319550825288434</v>
      </c>
      <c r="AN52" s="362">
        <f t="shared" si="10"/>
        <v>0.50217226313766061</v>
      </c>
    </row>
    <row r="53" spans="2:40" x14ac:dyDescent="0.6">
      <c r="B53" s="79"/>
      <c r="C53" s="79"/>
      <c r="D53" s="79"/>
      <c r="E53" s="79"/>
      <c r="F53" s="79"/>
      <c r="G53" s="79"/>
      <c r="H53" s="79"/>
      <c r="I53" s="79"/>
      <c r="J53" s="79"/>
      <c r="K53" s="79"/>
      <c r="L53" s="79"/>
      <c r="M53" s="79"/>
      <c r="N53" s="79"/>
      <c r="O53" s="79"/>
      <c r="P53" s="354"/>
      <c r="Q53" s="354"/>
      <c r="R53" s="354"/>
      <c r="S53" s="354"/>
      <c r="T53" s="354"/>
      <c r="U53" s="354"/>
      <c r="V53" s="354"/>
      <c r="W53" s="354"/>
      <c r="X53" s="354"/>
      <c r="Y53" s="354"/>
      <c r="Z53" s="354"/>
      <c r="AA53" s="354"/>
      <c r="AE53" s="362"/>
      <c r="AF53" s="362"/>
      <c r="AG53" s="362"/>
      <c r="AH53" s="362"/>
      <c r="AI53" s="362"/>
      <c r="AJ53" s="362"/>
      <c r="AK53" s="362"/>
      <c r="AL53" s="362"/>
      <c r="AM53" s="362"/>
      <c r="AN53" s="362"/>
    </row>
    <row r="54" spans="2:40" x14ac:dyDescent="0.6">
      <c r="B54" s="388" t="s">
        <v>361</v>
      </c>
      <c r="C54" s="79"/>
      <c r="D54" s="79"/>
      <c r="E54" s="79"/>
      <c r="F54" s="79"/>
      <c r="G54" s="79"/>
      <c r="H54" s="79"/>
      <c r="I54" s="79"/>
      <c r="J54" s="79"/>
      <c r="K54" s="79"/>
      <c r="L54" s="79"/>
      <c r="M54" s="79"/>
      <c r="N54" s="79"/>
      <c r="O54" s="79"/>
      <c r="P54" s="354"/>
      <c r="Q54" s="354"/>
      <c r="R54" s="354"/>
      <c r="S54" s="354"/>
      <c r="T54" s="354"/>
      <c r="U54" s="354"/>
      <c r="V54" s="354"/>
      <c r="W54" s="354"/>
      <c r="X54" s="354"/>
      <c r="Y54" s="354"/>
      <c r="Z54" s="354"/>
      <c r="AA54" s="354"/>
      <c r="AE54" s="362"/>
      <c r="AF54" s="362"/>
      <c r="AG54" s="362"/>
      <c r="AH54" s="362"/>
      <c r="AI54" s="362"/>
      <c r="AJ54" s="362"/>
      <c r="AK54" s="362"/>
      <c r="AL54" s="362"/>
      <c r="AM54" s="362"/>
      <c r="AN54" s="362"/>
    </row>
    <row r="55" spans="2:40" x14ac:dyDescent="0.6">
      <c r="B55" s="388"/>
      <c r="C55" s="79"/>
      <c r="D55" s="79"/>
      <c r="E55" s="79"/>
      <c r="F55" s="79"/>
      <c r="G55" s="79"/>
      <c r="H55" s="79"/>
      <c r="I55" s="79"/>
      <c r="J55" s="79"/>
      <c r="K55" s="79"/>
      <c r="L55" s="79"/>
      <c r="M55" s="79"/>
      <c r="N55" s="79"/>
      <c r="O55" s="79"/>
      <c r="P55" s="354"/>
      <c r="Q55" s="354"/>
      <c r="R55" s="354"/>
      <c r="S55" s="354"/>
      <c r="T55" s="354"/>
      <c r="U55" s="354"/>
      <c r="V55" s="354"/>
      <c r="W55" s="354"/>
      <c r="X55" s="354"/>
      <c r="Y55" s="354"/>
      <c r="Z55" s="354"/>
      <c r="AA55" s="354"/>
      <c r="AE55" s="362"/>
      <c r="AF55" s="362"/>
      <c r="AG55" s="362"/>
      <c r="AH55" s="362"/>
      <c r="AI55" s="362"/>
      <c r="AJ55" s="362"/>
      <c r="AK55" s="362"/>
      <c r="AL55" s="362"/>
      <c r="AM55" s="362"/>
      <c r="AN55" s="362"/>
    </row>
    <row r="56" spans="2:40" x14ac:dyDescent="0.6">
      <c r="B56" s="128" t="s">
        <v>362</v>
      </c>
      <c r="C56" s="128">
        <f>C34</f>
        <v>2019</v>
      </c>
      <c r="D56" s="128">
        <f t="shared" ref="D56:N56" si="25">D34</f>
        <v>2020</v>
      </c>
      <c r="E56" s="128">
        <f t="shared" si="25"/>
        <v>2021</v>
      </c>
      <c r="F56" s="128">
        <f t="shared" si="25"/>
        <v>2022</v>
      </c>
      <c r="G56" s="128">
        <f t="shared" si="25"/>
        <v>2023</v>
      </c>
      <c r="H56" s="128">
        <f t="shared" si="25"/>
        <v>2024</v>
      </c>
      <c r="I56" s="128">
        <f t="shared" si="25"/>
        <v>2025</v>
      </c>
      <c r="J56" s="128">
        <f t="shared" si="25"/>
        <v>2026</v>
      </c>
      <c r="K56" s="128">
        <f t="shared" si="25"/>
        <v>2027</v>
      </c>
      <c r="L56" s="128">
        <f t="shared" si="25"/>
        <v>2028</v>
      </c>
      <c r="M56" s="128">
        <f t="shared" si="25"/>
        <v>2029</v>
      </c>
      <c r="N56" s="128">
        <f t="shared" si="25"/>
        <v>2030</v>
      </c>
      <c r="O56" s="79"/>
      <c r="P56" s="350">
        <v>2019</v>
      </c>
      <c r="Q56" s="350">
        <v>2020</v>
      </c>
      <c r="R56" s="350">
        <v>2021</v>
      </c>
      <c r="S56" s="350">
        <v>2022</v>
      </c>
      <c r="T56" s="350">
        <v>2023</v>
      </c>
      <c r="U56" s="350">
        <v>2024</v>
      </c>
      <c r="V56" s="350">
        <v>2025</v>
      </c>
      <c r="W56" s="350">
        <v>2026</v>
      </c>
      <c r="X56" s="350">
        <v>2027</v>
      </c>
      <c r="Y56" s="350">
        <v>2028</v>
      </c>
      <c r="Z56" s="350">
        <v>2029</v>
      </c>
      <c r="AA56" s="350">
        <v>2030</v>
      </c>
      <c r="AE56" s="362"/>
      <c r="AF56" s="362"/>
      <c r="AG56" s="362"/>
      <c r="AH56" s="362"/>
      <c r="AI56" s="362"/>
      <c r="AJ56" s="362"/>
      <c r="AK56" s="362"/>
      <c r="AL56" s="362"/>
      <c r="AM56" s="362"/>
      <c r="AN56" s="362"/>
    </row>
    <row r="57" spans="2:40" x14ac:dyDescent="0.6">
      <c r="B57" s="433" t="s">
        <v>355</v>
      </c>
      <c r="C57" s="372"/>
      <c r="D57" s="372"/>
      <c r="E57" s="372"/>
      <c r="F57" s="372"/>
      <c r="G57" s="372"/>
      <c r="H57" s="372"/>
      <c r="I57" s="372"/>
      <c r="J57" s="372"/>
      <c r="K57" s="372"/>
      <c r="L57" s="372"/>
      <c r="M57" s="372"/>
      <c r="N57" s="372"/>
      <c r="O57" s="79"/>
      <c r="P57" s="360"/>
      <c r="Q57" s="360"/>
      <c r="R57" s="360"/>
      <c r="S57" s="360"/>
      <c r="T57" s="360"/>
      <c r="U57" s="360"/>
      <c r="V57" s="360"/>
      <c r="W57" s="360"/>
      <c r="X57" s="360"/>
      <c r="Y57" s="360"/>
      <c r="Z57" s="360"/>
      <c r="AA57" s="360"/>
      <c r="AE57" s="362"/>
      <c r="AF57" s="362"/>
      <c r="AG57" s="362"/>
      <c r="AH57" s="362"/>
      <c r="AI57" s="362"/>
      <c r="AJ57" s="362"/>
      <c r="AK57" s="362"/>
      <c r="AL57" s="362"/>
      <c r="AM57" s="362"/>
      <c r="AN57" s="362"/>
    </row>
    <row r="58" spans="2:40" x14ac:dyDescent="0.6">
      <c r="B58" s="391" t="s">
        <v>358</v>
      </c>
      <c r="C58" s="80">
        <f>'Revenue and Expenses breakdown'!C8</f>
        <v>214.6</v>
      </c>
      <c r="D58" s="80">
        <f>'Revenue and Expenses breakdown'!D8</f>
        <v>217.5</v>
      </c>
      <c r="E58" s="80">
        <f>'Revenue and Expenses breakdown'!E8</f>
        <v>357</v>
      </c>
      <c r="F58" s="80">
        <f>'Revenue and Expenses breakdown'!F8</f>
        <v>1014.875</v>
      </c>
      <c r="G58" s="80">
        <f>'Revenue and Expenses breakdown'!G8</f>
        <v>2416.3429306511539</v>
      </c>
      <c r="H58" s="80">
        <f>'Revenue and Expenses breakdown'!H8</f>
        <v>3452.5218107423561</v>
      </c>
      <c r="I58" s="80">
        <f>'Revenue and Expenses breakdown'!I8</f>
        <v>4201.0839206008495</v>
      </c>
      <c r="J58" s="80">
        <f>'Revenue and Expenses breakdown'!J8</f>
        <v>4714.7589002941468</v>
      </c>
      <c r="K58" s="80">
        <f>'Revenue and Expenses breakdown'!K8</f>
        <v>4919.1324653571673</v>
      </c>
      <c r="L58" s="80">
        <f>'Revenue and Expenses breakdown'!L8</f>
        <v>4814.4490974593227</v>
      </c>
      <c r="M58" s="80">
        <f>'Revenue and Expenses breakdown'!M8</f>
        <v>5257.7143377202174</v>
      </c>
      <c r="N58" s="80">
        <f>'Revenue and Expenses breakdown'!N8</f>
        <v>5685.3676201321423</v>
      </c>
      <c r="O58" s="79"/>
      <c r="P58" s="358">
        <v>214.6</v>
      </c>
      <c r="Q58" s="358">
        <v>217.5</v>
      </c>
      <c r="R58" s="358">
        <v>578.22697123800515</v>
      </c>
      <c r="S58" s="358">
        <v>1208.7735322045125</v>
      </c>
      <c r="T58" s="358">
        <v>1487.4623154758647</v>
      </c>
      <c r="U58" s="358">
        <v>1751.8959613056877</v>
      </c>
      <c r="V58" s="358">
        <v>2036.4979672722927</v>
      </c>
      <c r="W58" s="358">
        <v>2349.2709943597511</v>
      </c>
      <c r="X58" s="358">
        <v>2688.5666970786015</v>
      </c>
      <c r="Y58" s="358">
        <v>3053.828988814334</v>
      </c>
      <c r="Z58" s="358">
        <v>3454.0806836522447</v>
      </c>
      <c r="AA58" s="358">
        <v>3891.5210033785243</v>
      </c>
      <c r="AE58" s="362"/>
      <c r="AF58" s="362">
        <f t="shared" si="2"/>
        <v>-0.16040931327383401</v>
      </c>
      <c r="AG58" s="362">
        <f t="shared" si="3"/>
        <v>0.62447337691249305</v>
      </c>
      <c r="AH58" s="362">
        <f t="shared" si="4"/>
        <v>0.97073449964984926</v>
      </c>
      <c r="AI58" s="362">
        <f t="shared" si="5"/>
        <v>1.0628962012801941</v>
      </c>
      <c r="AJ58" s="362">
        <f t="shared" si="6"/>
        <v>1.0069029548373001</v>
      </c>
      <c r="AK58" s="362">
        <f t="shared" si="7"/>
        <v>0.82964866398973847</v>
      </c>
      <c r="AL58" s="362">
        <f t="shared" si="8"/>
        <v>0.57652871693007257</v>
      </c>
      <c r="AM58" s="362">
        <f t="shared" si="9"/>
        <v>0.52217473164548744</v>
      </c>
      <c r="AN58" s="362">
        <f t="shared" si="10"/>
        <v>0.46096285107962776</v>
      </c>
    </row>
    <row r="59" spans="2:40" x14ac:dyDescent="0.6">
      <c r="B59" s="390" t="s">
        <v>359</v>
      </c>
      <c r="C59" s="78">
        <f>'Revenue and Expenses breakdown'!C11</f>
        <v>8.6</v>
      </c>
      <c r="D59" s="78">
        <f>'Revenue and Expenses breakdown'!D11</f>
        <v>38.9</v>
      </c>
      <c r="E59" s="78">
        <f>'Revenue and Expenses breakdown'!E11</f>
        <v>292.70100000000002</v>
      </c>
      <c r="F59" s="78">
        <f>'Revenue and Expenses breakdown'!F11</f>
        <v>932.19600000000003</v>
      </c>
      <c r="G59" s="78">
        <f>'Revenue and Expenses breakdown'!G11</f>
        <v>1495.1153443966684</v>
      </c>
      <c r="H59" s="78">
        <f>'Revenue and Expenses breakdown'!H11</f>
        <v>2210.5730526404723</v>
      </c>
      <c r="I59" s="78">
        <f>'Revenue and Expenses breakdown'!I11</f>
        <v>2995.7823982901446</v>
      </c>
      <c r="J59" s="78">
        <f>'Revenue and Expenses breakdown'!J11</f>
        <v>3747.2948319911425</v>
      </c>
      <c r="K59" s="78">
        <f>'Revenue and Expenses breakdown'!K11</f>
        <v>4518.2390532819763</v>
      </c>
      <c r="L59" s="78">
        <f>'Revenue and Expenses breakdown'!L11</f>
        <v>5441.9112288121569</v>
      </c>
      <c r="M59" s="78">
        <f>'Revenue and Expenses breakdown'!M11</f>
        <v>6277.5387976112988</v>
      </c>
      <c r="N59" s="78">
        <f>'Revenue and Expenses breakdown'!N11</f>
        <v>7037.9357356394248</v>
      </c>
      <c r="O59" s="79"/>
      <c r="P59" s="358">
        <v>8.6</v>
      </c>
      <c r="Q59" s="358">
        <v>38.9</v>
      </c>
      <c r="R59" s="358">
        <v>175.58455030390002</v>
      </c>
      <c r="S59" s="358">
        <v>705.30677847981394</v>
      </c>
      <c r="T59" s="358">
        <v>1298.5505844707043</v>
      </c>
      <c r="U59" s="358">
        <v>1703.5407049765654</v>
      </c>
      <c r="V59" s="358">
        <v>2050.0159524406163</v>
      </c>
      <c r="W59" s="358">
        <v>2427.5343316407552</v>
      </c>
      <c r="X59" s="358">
        <v>2705.9330642485552</v>
      </c>
      <c r="Y59" s="358">
        <v>2882.9512336398388</v>
      </c>
      <c r="Z59" s="358">
        <v>3080.0182784174513</v>
      </c>
      <c r="AA59" s="358">
        <v>3281.0374707110714</v>
      </c>
      <c r="AE59" s="362"/>
      <c r="AF59" s="362">
        <f t="shared" si="2"/>
        <v>0.32168870120490367</v>
      </c>
      <c r="AG59" s="362">
        <f t="shared" si="3"/>
        <v>0.15137243190729066</v>
      </c>
      <c r="AH59" s="362">
        <f t="shared" si="4"/>
        <v>0.29763441882117037</v>
      </c>
      <c r="AI59" s="362">
        <f t="shared" si="5"/>
        <v>0.46134589573488927</v>
      </c>
      <c r="AJ59" s="362">
        <f t="shared" si="6"/>
        <v>0.5436629600448819</v>
      </c>
      <c r="AK59" s="362">
        <f t="shared" si="7"/>
        <v>0.66975270489061534</v>
      </c>
      <c r="AL59" s="362">
        <f t="shared" si="8"/>
        <v>0.88761820363556088</v>
      </c>
      <c r="AM59" s="362">
        <f t="shared" si="9"/>
        <v>1.0381498517719092</v>
      </c>
      <c r="AN59" s="362">
        <f t="shared" si="10"/>
        <v>1.1450336359962852</v>
      </c>
    </row>
    <row r="60" spans="2:40" x14ac:dyDescent="0.6">
      <c r="B60" s="434" t="s">
        <v>360</v>
      </c>
      <c r="C60" s="311">
        <f t="shared" ref="C60:N60" si="26">C61-C58-C59</f>
        <v>114.69999999999999</v>
      </c>
      <c r="D60" s="311">
        <f t="shared" si="26"/>
        <v>126.49999999999997</v>
      </c>
      <c r="E60" s="311">
        <f t="shared" si="26"/>
        <v>395.97817000000009</v>
      </c>
      <c r="F60" s="311">
        <f t="shared" si="26"/>
        <v>1608.1</v>
      </c>
      <c r="G60" s="311">
        <f t="shared" si="26"/>
        <v>2224.8881446764626</v>
      </c>
      <c r="H60" s="311">
        <f t="shared" si="26"/>
        <v>2352.7056476201942</v>
      </c>
      <c r="I60" s="311">
        <f t="shared" si="26"/>
        <v>2643.6125825523068</v>
      </c>
      <c r="J60" s="311">
        <f t="shared" si="26"/>
        <v>3129.1064317021987</v>
      </c>
      <c r="K60" s="311">
        <f t="shared" si="26"/>
        <v>3657.1588776476056</v>
      </c>
      <c r="L60" s="311">
        <f t="shared" si="26"/>
        <v>4165.5597112056412</v>
      </c>
      <c r="M60" s="311">
        <f t="shared" si="26"/>
        <v>4650.8760554547125</v>
      </c>
      <c r="N60" s="311">
        <f t="shared" si="26"/>
        <v>5144.2149673622444</v>
      </c>
      <c r="O60" s="79"/>
      <c r="P60" s="359">
        <v>114.69999999999999</v>
      </c>
      <c r="Q60" s="359">
        <v>126.49999999999997</v>
      </c>
      <c r="R60" s="359">
        <v>260.00000000000006</v>
      </c>
      <c r="S60" s="359">
        <v>285.99999999999989</v>
      </c>
      <c r="T60" s="359">
        <v>314.59999999999968</v>
      </c>
      <c r="U60" s="359">
        <v>346.0600000000004</v>
      </c>
      <c r="V60" s="359">
        <v>380.66600000000017</v>
      </c>
      <c r="W60" s="359">
        <v>418.73260000000028</v>
      </c>
      <c r="X60" s="359">
        <v>460.60586000000103</v>
      </c>
      <c r="Y60" s="359">
        <v>506.66644600000109</v>
      </c>
      <c r="Z60" s="359">
        <v>557.33309060000056</v>
      </c>
      <c r="AA60" s="359">
        <v>613.06639966000057</v>
      </c>
      <c r="AE60" s="362"/>
      <c r="AF60" s="362">
        <f t="shared" si="2"/>
        <v>4.6227272727272748</v>
      </c>
      <c r="AG60" s="362">
        <f t="shared" si="3"/>
        <v>6.0721174338094874</v>
      </c>
      <c r="AH60" s="362">
        <f t="shared" si="4"/>
        <v>5.7985483662376218</v>
      </c>
      <c r="AI60" s="362">
        <f t="shared" si="5"/>
        <v>5.9447037102139557</v>
      </c>
      <c r="AJ60" s="362">
        <f t="shared" si="6"/>
        <v>6.4728034829440002</v>
      </c>
      <c r="AK60" s="362">
        <f t="shared" si="7"/>
        <v>6.9398878634492345</v>
      </c>
      <c r="AL60" s="362">
        <f t="shared" si="8"/>
        <v>7.2215030106920324</v>
      </c>
      <c r="AM60" s="362">
        <f t="shared" si="9"/>
        <v>7.3448769396552098</v>
      </c>
      <c r="AN60" s="362">
        <f t="shared" si="10"/>
        <v>7.3909589079016005</v>
      </c>
    </row>
    <row r="61" spans="2:40" x14ac:dyDescent="0.6">
      <c r="B61" s="77" t="s">
        <v>354</v>
      </c>
      <c r="C61" s="78">
        <f>'Revenue and Expenses breakdown'!C7</f>
        <v>337.9</v>
      </c>
      <c r="D61" s="78">
        <f>'Revenue and Expenses breakdown'!D7</f>
        <v>382.9</v>
      </c>
      <c r="E61" s="78">
        <f>'Revenue and Expenses breakdown'!E7</f>
        <v>1045.6791700000001</v>
      </c>
      <c r="F61" s="78">
        <f>'Revenue and Expenses breakdown'!F7</f>
        <v>3555.1709999999998</v>
      </c>
      <c r="G61" s="78">
        <f>'Revenue and Expenses breakdown'!G7</f>
        <v>6136.3464197242847</v>
      </c>
      <c r="H61" s="78">
        <f>'Revenue and Expenses breakdown'!H7</f>
        <v>8015.8005110030226</v>
      </c>
      <c r="I61" s="78">
        <f>'Revenue and Expenses breakdown'!I7</f>
        <v>9840.4789014433009</v>
      </c>
      <c r="J61" s="78">
        <f>'Revenue and Expenses breakdown'!J7</f>
        <v>11591.160163987488</v>
      </c>
      <c r="K61" s="78">
        <f>'Revenue and Expenses breakdown'!K7</f>
        <v>13094.530396286749</v>
      </c>
      <c r="L61" s="78">
        <f>'Revenue and Expenses breakdown'!L7</f>
        <v>14421.920037477121</v>
      </c>
      <c r="M61" s="78">
        <f>'Revenue and Expenses breakdown'!M7</f>
        <v>16186.129190786229</v>
      </c>
      <c r="N61" s="78">
        <f>'Revenue and Expenses breakdown'!N7</f>
        <v>17867.518323133812</v>
      </c>
      <c r="O61" s="79"/>
      <c r="P61" s="358">
        <v>337.9</v>
      </c>
      <c r="Q61" s="358">
        <v>382.9</v>
      </c>
      <c r="R61" s="358">
        <v>1013.8115215419052</v>
      </c>
      <c r="S61" s="358">
        <v>2200.0803106843264</v>
      </c>
      <c r="T61" s="358">
        <v>3100.6128999465686</v>
      </c>
      <c r="U61" s="358">
        <v>3801.4966662822535</v>
      </c>
      <c r="V61" s="358">
        <v>4467.1799197129094</v>
      </c>
      <c r="W61" s="358">
        <v>5195.5379260005066</v>
      </c>
      <c r="X61" s="358">
        <v>5855.1056213271577</v>
      </c>
      <c r="Y61" s="358">
        <v>6443.446668454174</v>
      </c>
      <c r="Z61" s="358">
        <v>7091.4320526696965</v>
      </c>
      <c r="AA61" s="358">
        <v>7785.6248737495962</v>
      </c>
      <c r="AE61" s="362"/>
      <c r="AF61" s="362">
        <f t="shared" si="2"/>
        <v>0.6159278289682879</v>
      </c>
      <c r="AG61" s="362">
        <f t="shared" si="3"/>
        <v>0.97907530470186366</v>
      </c>
      <c r="AH61" s="362">
        <f t="shared" si="4"/>
        <v>1.1085906985267013</v>
      </c>
      <c r="AI61" s="362">
        <f t="shared" si="5"/>
        <v>1.2028391688498892</v>
      </c>
      <c r="AJ61" s="362">
        <f t="shared" si="6"/>
        <v>1.2309836496391995</v>
      </c>
      <c r="AK61" s="362">
        <f t="shared" si="7"/>
        <v>1.2364294076250419</v>
      </c>
      <c r="AL61" s="362">
        <f t="shared" si="8"/>
        <v>1.2382306829796477</v>
      </c>
      <c r="AM61" s="362">
        <f t="shared" si="9"/>
        <v>1.2824909088274592</v>
      </c>
      <c r="AN61" s="362">
        <f t="shared" si="10"/>
        <v>1.2949369656091232</v>
      </c>
    </row>
    <row r="62" spans="2:40" x14ac:dyDescent="0.6">
      <c r="B62" s="79"/>
      <c r="C62" s="80"/>
      <c r="D62" s="80"/>
      <c r="E62" s="80"/>
      <c r="F62" s="80"/>
      <c r="G62" s="80"/>
      <c r="H62" s="80"/>
      <c r="I62" s="80"/>
      <c r="J62" s="80"/>
      <c r="K62" s="80"/>
      <c r="L62" s="80"/>
      <c r="M62" s="80"/>
      <c r="N62" s="80"/>
      <c r="O62" s="79"/>
      <c r="P62" s="358"/>
      <c r="Q62" s="358"/>
      <c r="R62" s="358"/>
      <c r="S62" s="358"/>
      <c r="T62" s="358"/>
      <c r="U62" s="358"/>
      <c r="V62" s="358"/>
      <c r="W62" s="358"/>
      <c r="X62" s="358"/>
      <c r="Y62" s="358"/>
      <c r="Z62" s="358"/>
      <c r="AA62" s="358"/>
      <c r="AE62" s="362"/>
      <c r="AF62" s="362"/>
      <c r="AG62" s="362"/>
      <c r="AH62" s="362"/>
      <c r="AI62" s="362"/>
      <c r="AJ62" s="362"/>
      <c r="AK62" s="362"/>
      <c r="AL62" s="362"/>
      <c r="AM62" s="362"/>
      <c r="AN62" s="362"/>
    </row>
    <row r="63" spans="2:40" x14ac:dyDescent="0.6">
      <c r="B63" s="77" t="s">
        <v>356</v>
      </c>
      <c r="C63" s="78">
        <f>'Revenue and Expenses breakdown'!C28</f>
        <v>203.9</v>
      </c>
      <c r="D63" s="78">
        <f>'Revenue and Expenses breakdown'!D28</f>
        <v>254.3</v>
      </c>
      <c r="E63" s="78">
        <f>'Revenue and Expenses breakdown'!E28</f>
        <v>471.505</v>
      </c>
      <c r="F63" s="78">
        <f>'Revenue and Expenses breakdown'!F28</f>
        <v>917</v>
      </c>
      <c r="G63" s="78">
        <f>'Revenue and Expenses breakdown'!G28</f>
        <v>1168.3232454497493</v>
      </c>
      <c r="H63" s="78">
        <f>'Revenue and Expenses breakdown'!H28</f>
        <v>1425.9836566140139</v>
      </c>
      <c r="I63" s="78">
        <f>'Revenue and Expenses breakdown'!I28</f>
        <v>1973.9597576059828</v>
      </c>
      <c r="J63" s="78">
        <f>'Revenue and Expenses breakdown'!J28</f>
        <v>2372.5599282977792</v>
      </c>
      <c r="K63" s="78">
        <f>'Revenue and Expenses breakdown'!K28</f>
        <v>2827.3795756649079</v>
      </c>
      <c r="L63" s="78">
        <f>'Revenue and Expenses breakdown'!L28</f>
        <v>3163.8126412799993</v>
      </c>
      <c r="M63" s="78">
        <f>'Revenue and Expenses breakdown'!M28</f>
        <v>3507.7517656954888</v>
      </c>
      <c r="N63" s="78">
        <f>'Revenue and Expenses breakdown'!N28</f>
        <v>3864.1938799484037</v>
      </c>
      <c r="O63" s="79"/>
      <c r="P63" s="358">
        <v>203.9</v>
      </c>
      <c r="Q63" s="358">
        <v>254.3</v>
      </c>
      <c r="R63" s="358">
        <v>510.27797142393592</v>
      </c>
      <c r="S63" s="358">
        <v>900.83122419006975</v>
      </c>
      <c r="T63" s="358">
        <v>1242.4659558357384</v>
      </c>
      <c r="U63" s="358">
        <v>1430.8535075226871</v>
      </c>
      <c r="V63" s="358">
        <v>1631.625049428545</v>
      </c>
      <c r="W63" s="358">
        <v>1861.1095796661866</v>
      </c>
      <c r="X63" s="358">
        <v>2117.7902905646738</v>
      </c>
      <c r="Y63" s="358">
        <v>2403.8858835003862</v>
      </c>
      <c r="Z63" s="358">
        <v>2721.768380277309</v>
      </c>
      <c r="AA63" s="358">
        <v>3074.0216258050086</v>
      </c>
      <c r="AE63" s="362"/>
      <c r="AF63" s="362">
        <f t="shared" si="2"/>
        <v>1.7948729324372081E-2</v>
      </c>
      <c r="AG63" s="362">
        <f t="shared" si="3"/>
        <v>-5.9673836564895999E-2</v>
      </c>
      <c r="AH63" s="362">
        <f t="shared" si="4"/>
        <v>-3.4034587629482305E-3</v>
      </c>
      <c r="AI63" s="362">
        <f t="shared" si="5"/>
        <v>0.20981211847497439</v>
      </c>
      <c r="AJ63" s="362">
        <f t="shared" si="6"/>
        <v>0.27480936867958494</v>
      </c>
      <c r="AK63" s="362">
        <f t="shared" si="7"/>
        <v>0.33506116647226381</v>
      </c>
      <c r="AL63" s="362">
        <f t="shared" si="8"/>
        <v>0.31612430648041245</v>
      </c>
      <c r="AM63" s="362">
        <f t="shared" si="9"/>
        <v>0.28877673468236087</v>
      </c>
      <c r="AN63" s="362">
        <f t="shared" si="10"/>
        <v>0.25704837191458241</v>
      </c>
    </row>
    <row r="64" spans="2:40" x14ac:dyDescent="0.6">
      <c r="B64" s="81" t="s">
        <v>365</v>
      </c>
      <c r="C64" s="311">
        <f>'Revenue and Expenses breakdown'!C33</f>
        <v>70.300000000000011</v>
      </c>
      <c r="D64" s="311">
        <f>'Revenue and Expenses breakdown'!D33</f>
        <v>99.9</v>
      </c>
      <c r="E64" s="311">
        <f>'Revenue and Expenses breakdown'!E33</f>
        <v>179.77199999999999</v>
      </c>
      <c r="F64" s="311">
        <f>'Revenue and Expenses breakdown'!F33</f>
        <v>318</v>
      </c>
      <c r="G64" s="311">
        <f>'Revenue and Expenses breakdown'!G33</f>
        <v>428.13757176841568</v>
      </c>
      <c r="H64" s="311">
        <f>'Revenue and Expenses breakdown'!H33</f>
        <v>581.51684240564975</v>
      </c>
      <c r="I64" s="311">
        <f>'Revenue and Expenses breakdown'!I33</f>
        <v>738.31638885492805</v>
      </c>
      <c r="J64" s="311">
        <f>'Revenue and Expenses breakdown'!J33</f>
        <v>863.86396886596197</v>
      </c>
      <c r="K64" s="311">
        <f>'Revenue and Expenses breakdown'!K33</f>
        <v>1006.8742419614556</v>
      </c>
      <c r="L64" s="311">
        <f>'Revenue and Expenses breakdown'!L33</f>
        <v>1138.6836669312956</v>
      </c>
      <c r="M64" s="311">
        <f>'Revenue and Expenses breakdown'!M33</f>
        <v>1279.0778750170753</v>
      </c>
      <c r="N64" s="311">
        <f>'Revenue and Expenses breakdown'!N33</f>
        <v>1427.4191843756494</v>
      </c>
      <c r="O64" s="79"/>
      <c r="P64" s="359">
        <v>70.300000000000011</v>
      </c>
      <c r="Q64" s="359">
        <v>99.9</v>
      </c>
      <c r="R64" s="359">
        <v>129.87</v>
      </c>
      <c r="S64" s="359">
        <v>168.83100000000002</v>
      </c>
      <c r="T64" s="359">
        <v>168.83100000000002</v>
      </c>
      <c r="U64" s="359">
        <v>181.83273186952391</v>
      </c>
      <c r="V64" s="359">
        <v>193.16491311988455</v>
      </c>
      <c r="W64" s="359">
        <v>204.94286484481415</v>
      </c>
      <c r="X64" s="359">
        <v>214.69458066746384</v>
      </c>
      <c r="Y64" s="359">
        <v>227.10425920181601</v>
      </c>
      <c r="Z64" s="359">
        <v>238.88011898388334</v>
      </c>
      <c r="AA64" s="359">
        <v>250.72885078754487</v>
      </c>
      <c r="AE64" s="362"/>
      <c r="AF64" s="362">
        <f t="shared" si="2"/>
        <v>0.88354034507880641</v>
      </c>
      <c r="AG64" s="362">
        <f t="shared" si="3"/>
        <v>1.5358943071379998</v>
      </c>
      <c r="AH64" s="362">
        <f t="shared" si="4"/>
        <v>2.1980867054393904</v>
      </c>
      <c r="AI64" s="362">
        <f t="shared" si="5"/>
        <v>2.8222075475824351</v>
      </c>
      <c r="AJ64" s="362">
        <f t="shared" si="6"/>
        <v>3.2151453748833507</v>
      </c>
      <c r="AK64" s="362">
        <f t="shared" si="7"/>
        <v>3.6897981254635539</v>
      </c>
      <c r="AL64" s="362">
        <f t="shared" si="8"/>
        <v>4.0139247539140399</v>
      </c>
      <c r="AM64" s="362">
        <f t="shared" si="9"/>
        <v>4.3544760462186956</v>
      </c>
      <c r="AN64" s="362">
        <f t="shared" si="10"/>
        <v>4.693079116711516</v>
      </c>
    </row>
    <row r="65" spans="2:40" x14ac:dyDescent="0.6">
      <c r="B65" s="77" t="s">
        <v>366</v>
      </c>
      <c r="C65" s="78">
        <f>Master!D6</f>
        <v>274.2</v>
      </c>
      <c r="D65" s="78">
        <f>Master!E6</f>
        <v>354.20000000000005</v>
      </c>
      <c r="E65" s="78">
        <f>Master!F6</f>
        <v>651.27700000000004</v>
      </c>
      <c r="F65" s="78">
        <f>Master!G6</f>
        <v>1235</v>
      </c>
      <c r="G65" s="78">
        <f>Master!H6</f>
        <v>1596.4608172181649</v>
      </c>
      <c r="H65" s="78">
        <f>Master!I6</f>
        <v>2007.5004990196635</v>
      </c>
      <c r="I65" s="78">
        <f>Master!J6</f>
        <v>2712.2761464609107</v>
      </c>
      <c r="J65" s="78">
        <f>Master!K6</f>
        <v>3236.423897163741</v>
      </c>
      <c r="K65" s="78">
        <f>Master!L6</f>
        <v>3834.2538176263633</v>
      </c>
      <c r="L65" s="78">
        <f>Master!M6</f>
        <v>4302.4963082112954</v>
      </c>
      <c r="M65" s="78">
        <f>Master!N6</f>
        <v>4786.8296407125636</v>
      </c>
      <c r="N65" s="78">
        <f>Master!O6</f>
        <v>5291.6130643240531</v>
      </c>
      <c r="O65" s="143"/>
      <c r="P65" s="358">
        <v>274.2</v>
      </c>
      <c r="Q65" s="358">
        <v>354.2</v>
      </c>
      <c r="R65" s="358">
        <v>640.14797142393593</v>
      </c>
      <c r="S65" s="358">
        <v>1069.6622241900698</v>
      </c>
      <c r="T65" s="358">
        <v>1411.2969558357386</v>
      </c>
      <c r="U65" s="358">
        <v>1612.6862393922111</v>
      </c>
      <c r="V65" s="358">
        <v>1824.7899625484297</v>
      </c>
      <c r="W65" s="358">
        <v>2066.0524445110009</v>
      </c>
      <c r="X65" s="358">
        <v>2332.4848712321377</v>
      </c>
      <c r="Y65" s="358">
        <v>2630.9901427022023</v>
      </c>
      <c r="Z65" s="358">
        <v>2960.6484992611922</v>
      </c>
      <c r="AA65" s="358">
        <v>3324.7504765925537</v>
      </c>
      <c r="AE65" s="362"/>
      <c r="AF65" s="362">
        <f t="shared" si="2"/>
        <v>0.15457008022800967</v>
      </c>
      <c r="AG65" s="362">
        <f t="shared" si="3"/>
        <v>0.13120120511616662</v>
      </c>
      <c r="AH65" s="362">
        <f t="shared" si="4"/>
        <v>0.2448177766905546</v>
      </c>
      <c r="AI65" s="362">
        <f t="shared" si="5"/>
        <v>0.48634977292019554</v>
      </c>
      <c r="AJ65" s="362">
        <f t="shared" si="6"/>
        <v>0.5664771268329285</v>
      </c>
      <c r="AK65" s="362">
        <f t="shared" si="7"/>
        <v>0.64384938351214882</v>
      </c>
      <c r="AL65" s="362">
        <f t="shared" si="8"/>
        <v>0.6353144918256306</v>
      </c>
      <c r="AM65" s="362">
        <f t="shared" si="9"/>
        <v>0.61681795117086047</v>
      </c>
      <c r="AN65" s="362">
        <f t="shared" si="10"/>
        <v>0.5915820154260969</v>
      </c>
    </row>
    <row r="66" spans="2:40" x14ac:dyDescent="0.6">
      <c r="B66" s="79"/>
      <c r="C66" s="80"/>
      <c r="D66" s="80"/>
      <c r="E66" s="80"/>
      <c r="F66" s="80"/>
      <c r="G66" s="80"/>
      <c r="H66" s="80"/>
      <c r="I66" s="80"/>
      <c r="J66" s="80"/>
      <c r="K66" s="80"/>
      <c r="L66" s="80"/>
      <c r="M66" s="80"/>
      <c r="N66" s="80"/>
      <c r="O66" s="79"/>
      <c r="P66" s="358"/>
      <c r="Q66" s="358"/>
      <c r="R66" s="358"/>
      <c r="S66" s="358"/>
      <c r="T66" s="358"/>
      <c r="U66" s="358"/>
      <c r="V66" s="358"/>
      <c r="W66" s="358"/>
      <c r="X66" s="358"/>
      <c r="Y66" s="358"/>
      <c r="Z66" s="358"/>
      <c r="AA66" s="358"/>
      <c r="AE66" s="362"/>
      <c r="AF66" s="362"/>
      <c r="AG66" s="362"/>
      <c r="AH66" s="362"/>
      <c r="AI66" s="362"/>
      <c r="AJ66" s="362"/>
      <c r="AK66" s="362"/>
      <c r="AL66" s="362"/>
      <c r="AM66" s="362"/>
      <c r="AN66" s="362"/>
    </row>
    <row r="67" spans="2:40" x14ac:dyDescent="0.6">
      <c r="B67" s="433" t="s">
        <v>363</v>
      </c>
      <c r="C67" s="78"/>
      <c r="D67" s="78"/>
      <c r="E67" s="78"/>
      <c r="F67" s="78"/>
      <c r="G67" s="78"/>
      <c r="H67" s="78"/>
      <c r="I67" s="78"/>
      <c r="J67" s="78"/>
      <c r="K67" s="78"/>
      <c r="L67" s="78"/>
      <c r="M67" s="78"/>
      <c r="N67" s="78"/>
      <c r="O67" s="79"/>
      <c r="P67" s="358"/>
      <c r="Q67" s="358"/>
      <c r="R67" s="358"/>
      <c r="S67" s="358"/>
      <c r="T67" s="358"/>
      <c r="U67" s="358"/>
      <c r="V67" s="358"/>
      <c r="W67" s="358"/>
      <c r="X67" s="358"/>
      <c r="Y67" s="358"/>
      <c r="Z67" s="358"/>
      <c r="AA67" s="358"/>
      <c r="AE67" s="362"/>
      <c r="AF67" s="362"/>
      <c r="AG67" s="362"/>
      <c r="AH67" s="362"/>
      <c r="AI67" s="362"/>
      <c r="AJ67" s="362"/>
      <c r="AK67" s="362"/>
      <c r="AL67" s="362"/>
      <c r="AM67" s="362"/>
      <c r="AN67" s="362"/>
    </row>
    <row r="68" spans="2:40" x14ac:dyDescent="0.6">
      <c r="B68" s="79" t="str">
        <f>'Revenue and Expenses breakdown'!A43</f>
        <v>Marketplace</v>
      </c>
      <c r="C68" s="80">
        <f>'Revenue and Expenses breakdown'!C43</f>
        <v>0</v>
      </c>
      <c r="D68" s="80">
        <f>'Revenue and Expenses breakdown'!D43</f>
        <v>0</v>
      </c>
      <c r="E68" s="80">
        <f>'Revenue and Expenses breakdown'!E43</f>
        <v>0</v>
      </c>
      <c r="F68" s="80">
        <f>'Revenue and Expenses breakdown'!F43</f>
        <v>23.948651162790693</v>
      </c>
      <c r="G68" s="80">
        <f>'Revenue and Expenses breakdown'!G43</f>
        <v>45.718875373878362</v>
      </c>
      <c r="H68" s="80">
        <f>'Revenue and Expenses breakdown'!H43</f>
        <v>69.068471953578353</v>
      </c>
      <c r="I68" s="80">
        <f>'Revenue and Expenses breakdown'!I43</f>
        <v>102.34920634920636</v>
      </c>
      <c r="J68" s="80">
        <f>'Revenue and Expenses breakdown'!J43</f>
        <v>135.91914893617019</v>
      </c>
      <c r="K68" s="80">
        <f>'Revenue and Expenses breakdown'!K43</f>
        <v>176.82011605415858</v>
      </c>
      <c r="L68" s="80">
        <f>'Revenue and Expenses breakdown'!L43</f>
        <v>200.54448742746615</v>
      </c>
      <c r="M68" s="80">
        <f>'Revenue and Expenses breakdown'!M43</f>
        <v>223.89168278529976</v>
      </c>
      <c r="N68" s="80">
        <f>'Revenue and Expenses breakdown'!N43</f>
        <v>246.48452611218573</v>
      </c>
      <c r="O68" s="79"/>
      <c r="P68" s="358">
        <v>0</v>
      </c>
      <c r="Q68" s="358">
        <v>0</v>
      </c>
      <c r="R68" s="358">
        <v>0</v>
      </c>
      <c r="S68" s="358">
        <v>37.300200878835724</v>
      </c>
      <c r="T68" s="358">
        <v>90.626318129422117</v>
      </c>
      <c r="U68" s="358">
        <v>115.29647472537755</v>
      </c>
      <c r="V68" s="358">
        <v>143.73620913693969</v>
      </c>
      <c r="W68" s="358">
        <v>177.91703649032388</v>
      </c>
      <c r="X68" s="358">
        <v>216.30213601713436</v>
      </c>
      <c r="Y68" s="358">
        <v>264.26946746379167</v>
      </c>
      <c r="Z68" s="358">
        <v>319.66828962805829</v>
      </c>
      <c r="AA68" s="358">
        <v>384.32772994355923</v>
      </c>
      <c r="AE68" s="362"/>
      <c r="AF68" s="362">
        <f t="shared" ref="AF68:AF88" si="27">F68/S68-1</f>
        <v>-0.35794846680358638</v>
      </c>
      <c r="AG68" s="362">
        <f t="shared" ref="AG68:AG88" si="28">G68/T68-1</f>
        <v>-0.4955231954961703</v>
      </c>
      <c r="AH68" s="362">
        <f t="shared" ref="AH68:AH88" si="29">H68/U68-1</f>
        <v>-0.40094896987881712</v>
      </c>
      <c r="AI68" s="362">
        <f t="shared" ref="AI68:AI88" si="30">I68/V68-1</f>
        <v>-0.28793720828064484</v>
      </c>
      <c r="AJ68" s="362">
        <f t="shared" ref="AJ68:AJ88" si="31">J68/W68-1</f>
        <v>-0.23605320987030809</v>
      </c>
      <c r="AK68" s="362">
        <f t="shared" ref="AK68:AK88" si="32">K68/X68-1</f>
        <v>-0.182531808006964</v>
      </c>
      <c r="AL68" s="362">
        <f t="shared" ref="AL68:AL88" si="33">L68/Y68-1</f>
        <v>-0.24113636981183484</v>
      </c>
      <c r="AM68" s="362">
        <f t="shared" ref="AM68:AM88" si="34">M68/Z68-1</f>
        <v>-0.29961247314895356</v>
      </c>
      <c r="AN68" s="362">
        <f t="shared" ref="AN68:AN88" si="35">N68/AA68-1</f>
        <v>-0.35866057297405152</v>
      </c>
    </row>
    <row r="69" spans="2:40" x14ac:dyDescent="0.6">
      <c r="B69" s="77" t="str">
        <f>'Revenue and Expenses breakdown'!A49</f>
        <v>Insurance</v>
      </c>
      <c r="C69" s="78">
        <f>'Revenue and Expenses breakdown'!C49</f>
        <v>0</v>
      </c>
      <c r="D69" s="78">
        <f>'Revenue and Expenses breakdown'!D49</f>
        <v>0</v>
      </c>
      <c r="E69" s="78">
        <f>'Revenue and Expenses breakdown'!E49</f>
        <v>0</v>
      </c>
      <c r="F69" s="78">
        <f>'Revenue and Expenses breakdown'!F49</f>
        <v>25.704000000000004</v>
      </c>
      <c r="G69" s="78">
        <f>'Revenue and Expenses breakdown'!G49</f>
        <v>42.392000000000003</v>
      </c>
      <c r="H69" s="78">
        <f>'Revenue and Expenses breakdown'!H49</f>
        <v>69.760000000000005</v>
      </c>
      <c r="I69" s="78">
        <f>'Revenue and Expenses breakdown'!I49</f>
        <v>107.136</v>
      </c>
      <c r="J69" s="78">
        <f>'Revenue and Expenses breakdown'!J49</f>
        <v>141.96</v>
      </c>
      <c r="K69" s="78">
        <f>'Revenue and Expenses breakdown'!K49</f>
        <v>180.488</v>
      </c>
      <c r="L69" s="78">
        <f>'Revenue and Expenses breakdown'!L49</f>
        <v>220.86000000000007</v>
      </c>
      <c r="M69" s="78">
        <f>'Revenue and Expenses breakdown'!M49</f>
        <v>264.57600000000002</v>
      </c>
      <c r="N69" s="78">
        <f>'Revenue and Expenses breakdown'!N49</f>
        <v>311.06600000000014</v>
      </c>
      <c r="O69" s="79"/>
      <c r="P69" s="358">
        <v>0</v>
      </c>
      <c r="Q69" s="358">
        <v>0</v>
      </c>
      <c r="R69" s="358">
        <v>24.530661302737101</v>
      </c>
      <c r="S69" s="358">
        <v>91.440171528445319</v>
      </c>
      <c r="T69" s="358">
        <v>139.08301188824277</v>
      </c>
      <c r="U69" s="358">
        <v>169.65287320842256</v>
      </c>
      <c r="V69" s="358">
        <v>202.52819291040362</v>
      </c>
      <c r="W69" s="358">
        <v>239.81814408900073</v>
      </c>
      <c r="X69" s="358">
        <v>278.69705523998749</v>
      </c>
      <c r="Y69" s="358">
        <v>325.27892944806172</v>
      </c>
      <c r="Z69" s="358">
        <v>375.6890268420687</v>
      </c>
      <c r="AA69" s="358">
        <v>431.09588380473144</v>
      </c>
      <c r="AE69" s="362"/>
      <c r="AF69" s="362">
        <f t="shared" si="27"/>
        <v>-0.71889816510237003</v>
      </c>
      <c r="AG69" s="362">
        <f t="shared" si="28"/>
        <v>-0.69520360952448157</v>
      </c>
      <c r="AH69" s="362">
        <f t="shared" si="29"/>
        <v>-0.58880743555519865</v>
      </c>
      <c r="AI69" s="362">
        <f t="shared" si="30"/>
        <v>-0.47100698198894286</v>
      </c>
      <c r="AJ69" s="362">
        <f t="shared" si="31"/>
        <v>-0.40805146107995838</v>
      </c>
      <c r="AK69" s="362">
        <f t="shared" si="32"/>
        <v>-0.35238641167348961</v>
      </c>
      <c r="AL69" s="362">
        <f t="shared" si="33"/>
        <v>-0.32101350562497633</v>
      </c>
      <c r="AM69" s="362">
        <f t="shared" si="34"/>
        <v>-0.29575797775104595</v>
      </c>
      <c r="AN69" s="362">
        <f t="shared" si="35"/>
        <v>-0.27842966800188673</v>
      </c>
    </row>
    <row r="70" spans="2:40" x14ac:dyDescent="0.6">
      <c r="B70" s="81" t="str">
        <f>'Revenue and Expenses breakdown'!A54</f>
        <v>Investments</v>
      </c>
      <c r="C70" s="311">
        <f>'Revenue and Expenses breakdown'!C54</f>
        <v>0</v>
      </c>
      <c r="D70" s="311">
        <f>'Revenue and Expenses breakdown'!D54</f>
        <v>0</v>
      </c>
      <c r="E70" s="311">
        <f>'Revenue and Expenses breakdown'!E54</f>
        <v>0</v>
      </c>
      <c r="F70" s="311">
        <f>'Revenue and Expenses breakdown'!F54</f>
        <v>35.581395348837212</v>
      </c>
      <c r="G70" s="311">
        <f>'Revenue and Expenses breakdown'!G54</f>
        <v>45.284147557328019</v>
      </c>
      <c r="H70" s="311">
        <f>'Revenue and Expenses breakdown'!H54</f>
        <v>56.671566731141205</v>
      </c>
      <c r="I70" s="311">
        <f>'Revenue and Expenses breakdown'!I54</f>
        <v>73.612698412698407</v>
      </c>
      <c r="J70" s="311">
        <f>'Revenue and Expenses breakdown'!J54</f>
        <v>87.444487427466171</v>
      </c>
      <c r="K70" s="311">
        <f>'Revenue and Expenses breakdown'!K54</f>
        <v>103.37176015473889</v>
      </c>
      <c r="L70" s="311">
        <f>'Revenue and Expenses breakdown'!L54</f>
        <v>118.66537717601551</v>
      </c>
      <c r="M70" s="311">
        <f>'Revenue and Expenses breakdown'!M54</f>
        <v>134.33500967117993</v>
      </c>
      <c r="N70" s="311">
        <f>'Revenue and Expenses breakdown'!N54</f>
        <v>150.16595744680856</v>
      </c>
      <c r="O70" s="79"/>
      <c r="P70" s="359">
        <v>0</v>
      </c>
      <c r="Q70" s="359">
        <v>0</v>
      </c>
      <c r="R70" s="359">
        <v>35.680961894890331</v>
      </c>
      <c r="S70" s="359">
        <v>66.501942929778423</v>
      </c>
      <c r="T70" s="359">
        <v>95.044847483546079</v>
      </c>
      <c r="U70" s="359">
        <v>114.6479969923893</v>
      </c>
      <c r="V70" s="359">
        <v>135.8754166501501</v>
      </c>
      <c r="W70" s="359">
        <v>160.27224906960524</v>
      </c>
      <c r="X70" s="359">
        <v>186.08741608899939</v>
      </c>
      <c r="Y70" s="359">
        <v>217.5639306512372</v>
      </c>
      <c r="Z70" s="359">
        <v>252.30172630892261</v>
      </c>
      <c r="AA70" s="359">
        <v>291.29780399498037</v>
      </c>
      <c r="AE70" s="362"/>
      <c r="AF70" s="362">
        <f t="shared" si="27"/>
        <v>-0.46495705566965506</v>
      </c>
      <c r="AG70" s="362">
        <f t="shared" si="28"/>
        <v>-0.52354968463527185</v>
      </c>
      <c r="AH70" s="362">
        <f t="shared" si="29"/>
        <v>-0.50569073845308221</v>
      </c>
      <c r="AI70" s="362">
        <f t="shared" si="30"/>
        <v>-0.45823387167794127</v>
      </c>
      <c r="AJ70" s="362">
        <f t="shared" si="31"/>
        <v>-0.45440032235718131</v>
      </c>
      <c r="AK70" s="362">
        <f t="shared" si="32"/>
        <v>-0.44449892245642431</v>
      </c>
      <c r="AL70" s="362">
        <f t="shared" si="33"/>
        <v>-0.45457237869892886</v>
      </c>
      <c r="AM70" s="362">
        <f t="shared" si="34"/>
        <v>-0.46756206690913471</v>
      </c>
      <c r="AN70" s="362">
        <f t="shared" si="35"/>
        <v>-0.48449334190862547</v>
      </c>
    </row>
    <row r="71" spans="2:40" x14ac:dyDescent="0.6">
      <c r="B71" s="77" t="s">
        <v>364</v>
      </c>
      <c r="C71" s="78">
        <f>SUM(C68:C70)</f>
        <v>0</v>
      </c>
      <c r="D71" s="78">
        <f t="shared" ref="D71:N71" si="36">SUM(D68:D70)</f>
        <v>0</v>
      </c>
      <c r="E71" s="78">
        <f t="shared" si="36"/>
        <v>0</v>
      </c>
      <c r="F71" s="78">
        <f t="shared" si="36"/>
        <v>85.234046511627909</v>
      </c>
      <c r="G71" s="78">
        <f t="shared" si="36"/>
        <v>133.3950229312064</v>
      </c>
      <c r="H71" s="78">
        <f t="shared" si="36"/>
        <v>195.50003868471956</v>
      </c>
      <c r="I71" s="78">
        <f t="shared" si="36"/>
        <v>283.09790476190477</v>
      </c>
      <c r="J71" s="78">
        <f t="shared" si="36"/>
        <v>365.32363636363635</v>
      </c>
      <c r="K71" s="78">
        <f t="shared" si="36"/>
        <v>460.67987620889744</v>
      </c>
      <c r="L71" s="78">
        <f t="shared" si="36"/>
        <v>540.06986460348173</v>
      </c>
      <c r="M71" s="78">
        <f t="shared" si="36"/>
        <v>622.80269245647969</v>
      </c>
      <c r="N71" s="78">
        <f t="shared" si="36"/>
        <v>707.71648355899447</v>
      </c>
      <c r="O71" s="79"/>
      <c r="P71" s="358">
        <v>0</v>
      </c>
      <c r="Q71" s="358">
        <v>0</v>
      </c>
      <c r="R71" s="358">
        <v>60.211623197627432</v>
      </c>
      <c r="S71" s="358">
        <v>195.24231533705944</v>
      </c>
      <c r="T71" s="358">
        <v>324.75417750121096</v>
      </c>
      <c r="U71" s="358">
        <v>399.59734492618941</v>
      </c>
      <c r="V71" s="358">
        <v>482.13981869749341</v>
      </c>
      <c r="W71" s="358">
        <v>578.00742964892981</v>
      </c>
      <c r="X71" s="358">
        <v>681.08660734612124</v>
      </c>
      <c r="Y71" s="358">
        <v>807.11232756309062</v>
      </c>
      <c r="Z71" s="358">
        <v>947.65904277904963</v>
      </c>
      <c r="AA71" s="358">
        <v>1106.7214177432711</v>
      </c>
      <c r="AE71" s="362"/>
      <c r="AF71" s="362">
        <f t="shared" si="27"/>
        <v>-0.56344480772785932</v>
      </c>
      <c r="AG71" s="362">
        <f t="shared" si="28"/>
        <v>-0.58924308854900254</v>
      </c>
      <c r="AH71" s="362">
        <f t="shared" si="29"/>
        <v>-0.51075741326351687</v>
      </c>
      <c r="AI71" s="362">
        <f t="shared" si="30"/>
        <v>-0.41283027498807878</v>
      </c>
      <c r="AJ71" s="362">
        <f t="shared" si="31"/>
        <v>-0.36796031050063382</v>
      </c>
      <c r="AK71" s="362">
        <f t="shared" si="32"/>
        <v>-0.32361043185982863</v>
      </c>
      <c r="AL71" s="362">
        <f t="shared" si="33"/>
        <v>-0.33086158374744268</v>
      </c>
      <c r="AM71" s="362">
        <f t="shared" si="34"/>
        <v>-0.34279876586194458</v>
      </c>
      <c r="AN71" s="362">
        <f t="shared" si="35"/>
        <v>-0.36052879052245357</v>
      </c>
    </row>
    <row r="72" spans="2:40" x14ac:dyDescent="0.6">
      <c r="B72" s="79"/>
      <c r="C72" s="80"/>
      <c r="D72" s="80"/>
      <c r="E72" s="80"/>
      <c r="F72" s="80"/>
      <c r="G72" s="80"/>
      <c r="H72" s="80"/>
      <c r="I72" s="80"/>
      <c r="J72" s="80"/>
      <c r="K72" s="80"/>
      <c r="L72" s="80"/>
      <c r="M72" s="80"/>
      <c r="N72" s="80"/>
      <c r="O72" s="79"/>
      <c r="P72" s="358"/>
      <c r="Q72" s="358"/>
      <c r="R72" s="358"/>
      <c r="S72" s="358"/>
      <c r="T72" s="358"/>
      <c r="U72" s="358"/>
      <c r="V72" s="358"/>
      <c r="W72" s="358"/>
      <c r="X72" s="358"/>
      <c r="Y72" s="358"/>
      <c r="Z72" s="358"/>
      <c r="AA72" s="358"/>
      <c r="AE72" s="362"/>
      <c r="AF72" s="362"/>
      <c r="AG72" s="362"/>
      <c r="AH72" s="362"/>
      <c r="AI72" s="362"/>
      <c r="AJ72" s="362"/>
      <c r="AK72" s="362"/>
      <c r="AL72" s="362"/>
      <c r="AM72" s="362"/>
      <c r="AN72" s="362"/>
    </row>
    <row r="73" spans="2:40" x14ac:dyDescent="0.6">
      <c r="B73" s="372" t="s">
        <v>357</v>
      </c>
      <c r="C73" s="389">
        <f>Master!D4</f>
        <v>612.09999999999991</v>
      </c>
      <c r="D73" s="389">
        <f>Master!E4</f>
        <v>737.1</v>
      </c>
      <c r="E73" s="389">
        <f>Master!F4</f>
        <v>1696.9561700000002</v>
      </c>
      <c r="F73" s="389">
        <f>Master!G4</f>
        <v>4790.1710000000003</v>
      </c>
      <c r="G73" s="389">
        <f>Master!H4</f>
        <v>7732.8072369424499</v>
      </c>
      <c r="H73" s="389">
        <f>Master!I4</f>
        <v>10023.301010022686</v>
      </c>
      <c r="I73" s="389">
        <f>Master!J4</f>
        <v>12552.755047904211</v>
      </c>
      <c r="J73" s="389">
        <f>Master!K4</f>
        <v>14827.584061151229</v>
      </c>
      <c r="K73" s="389">
        <f>Master!L4</f>
        <v>16928.784213913113</v>
      </c>
      <c r="L73" s="389">
        <f>Master!M4</f>
        <v>18724.416345688416</v>
      </c>
      <c r="M73" s="389">
        <f>Master!N4</f>
        <v>20972.958831498792</v>
      </c>
      <c r="N73" s="389">
        <f>Master!O4</f>
        <v>23159.131387457866</v>
      </c>
      <c r="O73" s="79"/>
      <c r="P73" s="361">
        <v>612.09999999999991</v>
      </c>
      <c r="Q73" s="361">
        <v>737.09999999999991</v>
      </c>
      <c r="R73" s="361">
        <v>1714.1711161634685</v>
      </c>
      <c r="S73" s="361">
        <v>3464.984850211456</v>
      </c>
      <c r="T73" s="361">
        <v>4836.6640332835177</v>
      </c>
      <c r="U73" s="361">
        <v>5813.7802506006537</v>
      </c>
      <c r="V73" s="361">
        <v>6774.109700958832</v>
      </c>
      <c r="W73" s="361">
        <v>7839.5978001604371</v>
      </c>
      <c r="X73" s="361">
        <v>8868.677099905417</v>
      </c>
      <c r="Y73" s="361">
        <v>9881.549138719467</v>
      </c>
      <c r="Z73" s="361">
        <v>10999.739594709938</v>
      </c>
      <c r="AA73" s="361">
        <v>12217.096768085421</v>
      </c>
      <c r="AE73" s="362"/>
      <c r="AF73" s="368">
        <f t="shared" si="27"/>
        <v>0.38245077744212153</v>
      </c>
      <c r="AG73" s="368">
        <f t="shared" si="28"/>
        <v>0.59878941016558396</v>
      </c>
      <c r="AH73" s="368">
        <f t="shared" si="29"/>
        <v>0.72405914533613869</v>
      </c>
      <c r="AI73" s="368">
        <f t="shared" si="30"/>
        <v>0.85304868123518118</v>
      </c>
      <c r="AJ73" s="368">
        <f t="shared" si="31"/>
        <v>0.89137050638589943</v>
      </c>
      <c r="AK73" s="368">
        <f t="shared" si="32"/>
        <v>0.90882856859154981</v>
      </c>
      <c r="AL73" s="368">
        <f t="shared" si="33"/>
        <v>0.89488673110164596</v>
      </c>
      <c r="AM73" s="368">
        <f t="shared" si="34"/>
        <v>0.90667775822486174</v>
      </c>
      <c r="AN73" s="368">
        <f t="shared" si="35"/>
        <v>0.89563296641442625</v>
      </c>
    </row>
    <row r="74" spans="2:40" x14ac:dyDescent="0.6">
      <c r="B74" s="79" t="s">
        <v>345</v>
      </c>
      <c r="C74" s="79"/>
      <c r="D74" s="310">
        <f>D73/C73-1</f>
        <v>0.2042149975494203</v>
      </c>
      <c r="E74" s="310">
        <f t="shared" ref="E74:N74" si="37">E73/D73-1</f>
        <v>1.3022061728395062</v>
      </c>
      <c r="F74" s="310">
        <f t="shared" si="37"/>
        <v>1.8228018405448858</v>
      </c>
      <c r="G74" s="310">
        <f t="shared" si="37"/>
        <v>0.61430713787512992</v>
      </c>
      <c r="H74" s="310">
        <f t="shared" si="37"/>
        <v>0.29620469034036034</v>
      </c>
      <c r="I74" s="310">
        <f t="shared" si="37"/>
        <v>0.25235738559105703</v>
      </c>
      <c r="J74" s="310">
        <f t="shared" si="37"/>
        <v>0.18122149317546188</v>
      </c>
      <c r="K74" s="310">
        <f t="shared" si="37"/>
        <v>0.14170886801897153</v>
      </c>
      <c r="L74" s="310">
        <f t="shared" si="37"/>
        <v>0.10606976313748162</v>
      </c>
      <c r="M74" s="310">
        <f t="shared" si="37"/>
        <v>0.1200861188032778</v>
      </c>
      <c r="N74" s="310">
        <f t="shared" si="37"/>
        <v>0.10423767926706229</v>
      </c>
      <c r="O74" s="79"/>
      <c r="P74" s="354"/>
      <c r="Q74" s="353">
        <v>0.20421499754942007</v>
      </c>
      <c r="R74" s="353">
        <v>1.3255611398229123</v>
      </c>
      <c r="S74" s="353">
        <v>1.0213762894141687</v>
      </c>
      <c r="T74" s="353">
        <v>0.39586873893210606</v>
      </c>
      <c r="U74" s="353">
        <v>0.20202276002490716</v>
      </c>
      <c r="V74" s="353">
        <v>0.16518158736029998</v>
      </c>
      <c r="W74" s="353">
        <v>0.15728828528578331</v>
      </c>
      <c r="X74" s="353">
        <v>0.13126684888399764</v>
      </c>
      <c r="Y74" s="353">
        <v>0.11420779304557738</v>
      </c>
      <c r="Z74" s="353">
        <v>0.11315942877913732</v>
      </c>
      <c r="AA74" s="353">
        <v>0.11067145389159405</v>
      </c>
      <c r="AE74" s="362"/>
      <c r="AF74" s="362">
        <f t="shared" si="27"/>
        <v>0.78465259027149648</v>
      </c>
      <c r="AG74" s="362">
        <f t="shared" si="28"/>
        <v>0.55179502057243113</v>
      </c>
      <c r="AH74" s="362">
        <f t="shared" si="29"/>
        <v>0.46619465204733168</v>
      </c>
      <c r="AI74" s="362">
        <f t="shared" si="30"/>
        <v>0.52775735857657113</v>
      </c>
      <c r="AJ74" s="362">
        <f t="shared" si="31"/>
        <v>0.15216141396794658</v>
      </c>
      <c r="AK74" s="362">
        <f t="shared" si="32"/>
        <v>7.9548029253003971E-2</v>
      </c>
      <c r="AL74" s="362">
        <f t="shared" si="33"/>
        <v>-7.1256345045106362E-2</v>
      </c>
      <c r="AM74" s="362">
        <f t="shared" si="34"/>
        <v>6.1211779688812973E-2</v>
      </c>
      <c r="AN74" s="362">
        <f t="shared" si="35"/>
        <v>-5.8134002927564654E-2</v>
      </c>
    </row>
    <row r="75" spans="2:40" x14ac:dyDescent="0.6">
      <c r="B75" s="77"/>
      <c r="C75" s="77"/>
      <c r="D75" s="77"/>
      <c r="E75" s="77"/>
      <c r="F75" s="77"/>
      <c r="G75" s="77"/>
      <c r="H75" s="77"/>
      <c r="I75" s="77"/>
      <c r="J75" s="77"/>
      <c r="K75" s="77"/>
      <c r="L75" s="77"/>
      <c r="M75" s="77"/>
      <c r="N75" s="77"/>
      <c r="O75" s="79"/>
      <c r="P75" s="354"/>
      <c r="Q75" s="354"/>
      <c r="R75" s="354"/>
      <c r="S75" s="354"/>
      <c r="T75" s="354"/>
      <c r="U75" s="354"/>
      <c r="V75" s="354"/>
      <c r="W75" s="354"/>
      <c r="X75" s="354"/>
      <c r="Y75" s="354"/>
      <c r="Z75" s="354"/>
      <c r="AA75" s="354"/>
      <c r="AE75" s="362"/>
      <c r="AF75" s="362"/>
      <c r="AG75" s="362"/>
      <c r="AH75" s="362"/>
      <c r="AI75" s="362"/>
      <c r="AJ75" s="362"/>
      <c r="AK75" s="362"/>
      <c r="AL75" s="362"/>
      <c r="AM75" s="362"/>
      <c r="AN75" s="362"/>
    </row>
    <row r="76" spans="2:40" x14ac:dyDescent="0.6">
      <c r="B76" s="79" t="s">
        <v>391</v>
      </c>
      <c r="C76" s="155">
        <f>C73/AVERAGE(6,C3)/12</f>
        <v>5.6362799263351739</v>
      </c>
      <c r="D76" s="155">
        <f>D73/AVERAGE(C3,D3)/12</f>
        <v>3.6238938053097347</v>
      </c>
      <c r="E76" s="155">
        <f t="shared" ref="E76:N76" si="38">E73/AVERAGE(D3,E3)/12</f>
        <v>4.4964392421833601</v>
      </c>
      <c r="F76" s="155">
        <f t="shared" si="38"/>
        <v>7.8041234929944601</v>
      </c>
      <c r="G76" s="155">
        <f t="shared" si="38"/>
        <v>9.4141797381817014</v>
      </c>
      <c r="H76" s="155">
        <f t="shared" si="38"/>
        <v>10.25506549009892</v>
      </c>
      <c r="I76" s="155">
        <f t="shared" si="38"/>
        <v>11.223851080028801</v>
      </c>
      <c r="J76" s="155">
        <f t="shared" si="38"/>
        <v>11.858272601688443</v>
      </c>
      <c r="K76" s="155">
        <f t="shared" si="38"/>
        <v>12.462296977262303</v>
      </c>
      <c r="L76" s="155">
        <f t="shared" si="38"/>
        <v>13.008487109690437</v>
      </c>
      <c r="M76" s="155">
        <f t="shared" si="38"/>
        <v>13.987567581365075</v>
      </c>
      <c r="N76" s="155">
        <f t="shared" si="38"/>
        <v>14.966480152163541</v>
      </c>
      <c r="O76" s="79"/>
      <c r="P76" s="351">
        <v>5.6362799263351739</v>
      </c>
      <c r="Q76" s="351">
        <v>3.6238938053097343</v>
      </c>
      <c r="R76" s="351">
        <v>4.5576734276637678</v>
      </c>
      <c r="S76" s="351">
        <v>6.4694379487483076</v>
      </c>
      <c r="T76" s="351">
        <v>7.976239361031439</v>
      </c>
      <c r="U76" s="351">
        <v>8.8552034635995245</v>
      </c>
      <c r="V76" s="351">
        <v>9.6483815046156156</v>
      </c>
      <c r="W76" s="351">
        <v>10.517775633969714</v>
      </c>
      <c r="X76" s="351">
        <v>11.287958152575593</v>
      </c>
      <c r="Y76" s="351">
        <v>11.94624028797473</v>
      </c>
      <c r="Z76" s="351">
        <v>12.607873096542169</v>
      </c>
      <c r="AA76" s="351">
        <v>13.327522691509943</v>
      </c>
      <c r="AE76" s="362">
        <f t="shared" ref="AE76:AE88" si="39">E76/R76-1</f>
        <v>-1.3435404368538961E-2</v>
      </c>
      <c r="AF76" s="362">
        <f t="shared" si="27"/>
        <v>0.20630625949575498</v>
      </c>
      <c r="AG76" s="362">
        <f t="shared" si="28"/>
        <v>0.18027798716465759</v>
      </c>
      <c r="AH76" s="362">
        <f t="shared" si="29"/>
        <v>0.15808355304919997</v>
      </c>
      <c r="AI76" s="362">
        <f t="shared" si="30"/>
        <v>0.16328848259778161</v>
      </c>
      <c r="AJ76" s="362">
        <f t="shared" si="31"/>
        <v>0.12745061449963502</v>
      </c>
      <c r="AK76" s="362">
        <f t="shared" si="32"/>
        <v>0.10403465434700965</v>
      </c>
      <c r="AL76" s="362">
        <f t="shared" si="33"/>
        <v>8.8918923118010751E-2</v>
      </c>
      <c r="AM76" s="362">
        <f t="shared" si="34"/>
        <v>0.10943118432888577</v>
      </c>
      <c r="AN76" s="362">
        <f t="shared" si="35"/>
        <v>0.12297540200007817</v>
      </c>
    </row>
    <row r="77" spans="2:40" x14ac:dyDescent="0.6">
      <c r="B77" s="77" t="s">
        <v>392</v>
      </c>
      <c r="C77" s="430">
        <f>C76*Drivers!D4</f>
        <v>22.241324217311231</v>
      </c>
      <c r="D77" s="430">
        <f>D76*Drivers!E4</f>
        <v>18.681897345132743</v>
      </c>
      <c r="E77" s="430">
        <f>E76*Drivers!F4</f>
        <v>24.260987575124538</v>
      </c>
      <c r="F77" s="430">
        <f>F76*Drivers!G4</f>
        <v>40.269277223851418</v>
      </c>
      <c r="G77" s="430">
        <f>G76*Drivers!H4</f>
        <v>47.212111386981228</v>
      </c>
      <c r="H77" s="430">
        <f>H76*Drivers!I4</f>
        <v>53.018688583811418</v>
      </c>
      <c r="I77" s="430">
        <f>I76*Drivers!J4</f>
        <v>56.568209443345161</v>
      </c>
      <c r="J77" s="430">
        <f>J76*Drivers!K4</f>
        <v>61.30726935072925</v>
      </c>
      <c r="K77" s="430">
        <f>K76*Drivers!L4</f>
        <v>64.430075372446112</v>
      </c>
      <c r="L77" s="430">
        <f>L76*Drivers!M4</f>
        <v>67.253878357099552</v>
      </c>
      <c r="M77" s="430">
        <f>M76*Drivers!N4</f>
        <v>72.31572439565744</v>
      </c>
      <c r="N77" s="430">
        <f>N76*Drivers!O4</f>
        <v>77.376702386685508</v>
      </c>
      <c r="O77" s="79"/>
      <c r="P77" s="351">
        <v>22.239069705340697</v>
      </c>
      <c r="Q77" s="351">
        <v>18.68479646017699</v>
      </c>
      <c r="R77" s="351">
        <v>25.067203852150723</v>
      </c>
      <c r="S77" s="351">
        <v>35.581908718115692</v>
      </c>
      <c r="T77" s="351">
        <v>43.869316485672911</v>
      </c>
      <c r="U77" s="351">
        <v>48.703619049797382</v>
      </c>
      <c r="V77" s="351">
        <v>53.066098275385883</v>
      </c>
      <c r="W77" s="351">
        <v>57.84776598683343</v>
      </c>
      <c r="X77" s="351">
        <v>62.083769839165761</v>
      </c>
      <c r="Y77" s="351">
        <v>65.704321583861017</v>
      </c>
      <c r="Z77" s="351">
        <v>69.343302030981931</v>
      </c>
      <c r="AA77" s="351">
        <v>73.301374803304682</v>
      </c>
      <c r="AE77" s="362">
        <f t="shared" si="39"/>
        <v>-3.2162194147434264E-2</v>
      </c>
      <c r="AF77" s="362">
        <f t="shared" si="27"/>
        <v>0.13173459981783564</v>
      </c>
      <c r="AG77" s="362">
        <f t="shared" si="28"/>
        <v>7.6198928296501434E-2</v>
      </c>
      <c r="AH77" s="362">
        <f t="shared" si="29"/>
        <v>8.8598539866248105E-2</v>
      </c>
      <c r="AI77" s="362">
        <f t="shared" si="30"/>
        <v>6.5995264053239966E-2</v>
      </c>
      <c r="AJ77" s="362">
        <f t="shared" si="31"/>
        <v>5.9803577629656823E-2</v>
      </c>
      <c r="AK77" s="362">
        <f t="shared" si="32"/>
        <v>3.779257508618894E-2</v>
      </c>
      <c r="AL77" s="362">
        <f t="shared" si="33"/>
        <v>2.358378773092995E-2</v>
      </c>
      <c r="AM77" s="362">
        <f t="shared" si="34"/>
        <v>4.286531326915255E-2</v>
      </c>
      <c r="AN77" s="362">
        <f t="shared" si="35"/>
        <v>5.5596877880073503E-2</v>
      </c>
    </row>
    <row r="78" spans="2:40" x14ac:dyDescent="0.6">
      <c r="B78" s="79"/>
      <c r="C78" s="79"/>
      <c r="D78" s="79"/>
      <c r="E78" s="79"/>
      <c r="F78" s="79"/>
      <c r="G78" s="79"/>
      <c r="H78" s="79"/>
      <c r="I78" s="79"/>
      <c r="J78" s="79"/>
      <c r="K78" s="79"/>
      <c r="L78" s="79"/>
      <c r="M78" s="79"/>
      <c r="N78" s="79"/>
      <c r="O78" s="79"/>
      <c r="P78" s="354"/>
      <c r="Q78" s="354"/>
      <c r="R78" s="354"/>
      <c r="S78" s="354"/>
      <c r="T78" s="354"/>
      <c r="U78" s="354"/>
      <c r="V78" s="354"/>
      <c r="W78" s="354"/>
      <c r="X78" s="354"/>
      <c r="Y78" s="354"/>
      <c r="Z78" s="354"/>
      <c r="AA78" s="354"/>
      <c r="AE78" s="362"/>
      <c r="AF78" s="362"/>
      <c r="AG78" s="362"/>
      <c r="AH78" s="362"/>
      <c r="AI78" s="362"/>
      <c r="AJ78" s="362"/>
      <c r="AK78" s="362"/>
      <c r="AL78" s="362"/>
      <c r="AM78" s="362"/>
      <c r="AN78" s="362"/>
    </row>
    <row r="79" spans="2:40" x14ac:dyDescent="0.6">
      <c r="B79" s="77" t="str">
        <f>'Revenue and Expenses breakdown'!A65</f>
        <v>Interest and other financial expenses</v>
      </c>
      <c r="C79" s="78">
        <f>-'Revenue and Expenses breakdown'!C65</f>
        <v>109.69999999999999</v>
      </c>
      <c r="D79" s="78">
        <f>-'Revenue and Expenses breakdown'!D65</f>
        <v>113.9</v>
      </c>
      <c r="E79" s="78">
        <f>-'Revenue and Expenses breakdown'!E65</f>
        <v>367.34399999999999</v>
      </c>
      <c r="F79" s="78">
        <f>-'Revenue and Expenses breakdown'!F65</f>
        <v>1548</v>
      </c>
      <c r="G79" s="78">
        <f>-'Revenue and Expenses breakdown'!G65</f>
        <v>1869.5716505708156</v>
      </c>
      <c r="H79" s="78">
        <f>-'Revenue and Expenses breakdown'!H65</f>
        <v>1868.1948063999262</v>
      </c>
      <c r="I79" s="78">
        <f>-'Revenue and Expenses breakdown'!I65</f>
        <v>1921.4462352435539</v>
      </c>
      <c r="J79" s="78">
        <f>-'Revenue and Expenses breakdown'!J65</f>
        <v>2208.6217994389854</v>
      </c>
      <c r="K79" s="78">
        <f>-'Revenue and Expenses breakdown'!K65</f>
        <v>2612.6377401543514</v>
      </c>
      <c r="L79" s="78">
        <f>-'Revenue and Expenses breakdown'!L65</f>
        <v>3024.4675446337778</v>
      </c>
      <c r="M79" s="78">
        <f>-'Revenue and Expenses breakdown'!M65</f>
        <v>3450.0998165479441</v>
      </c>
      <c r="N79" s="78">
        <f>-'Revenue and Expenses breakdown'!N65</f>
        <v>3903.3833845936947</v>
      </c>
      <c r="O79" s="80"/>
      <c r="P79" s="358">
        <v>109.69999999999999</v>
      </c>
      <c r="Q79" s="358">
        <v>113.9</v>
      </c>
      <c r="R79" s="358">
        <v>366.19026496366041</v>
      </c>
      <c r="S79" s="358">
        <v>1016.3437480275958</v>
      </c>
      <c r="T79" s="358">
        <v>945.28372233767834</v>
      </c>
      <c r="U79" s="358">
        <v>856.53054305309001</v>
      </c>
      <c r="V79" s="358">
        <v>917.65443193643353</v>
      </c>
      <c r="W79" s="358">
        <v>973.93973765956218</v>
      </c>
      <c r="X79" s="358">
        <v>1024.0850244992578</v>
      </c>
      <c r="Y79" s="358">
        <v>1072.8689003798245</v>
      </c>
      <c r="Z79" s="358">
        <v>1122.8362166886702</v>
      </c>
      <c r="AA79" s="358">
        <v>1167.9682399469796</v>
      </c>
      <c r="AE79" s="362">
        <f t="shared" si="39"/>
        <v>3.1506436591208775E-3</v>
      </c>
      <c r="AF79" s="362">
        <f t="shared" si="27"/>
        <v>0.5231067274277843</v>
      </c>
      <c r="AG79" s="362">
        <f t="shared" si="28"/>
        <v>0.97778889701748084</v>
      </c>
      <c r="AH79" s="362">
        <f t="shared" si="29"/>
        <v>1.1811187254814923</v>
      </c>
      <c r="AI79" s="362">
        <f t="shared" si="30"/>
        <v>1.0938668940866116</v>
      </c>
      <c r="AJ79" s="362">
        <f t="shared" si="31"/>
        <v>1.2677191555469758</v>
      </c>
      <c r="AK79" s="362">
        <f t="shared" si="32"/>
        <v>1.5511922131971816</v>
      </c>
      <c r="AL79" s="362">
        <f t="shared" si="33"/>
        <v>1.8190467107053201</v>
      </c>
      <c r="AM79" s="362">
        <f t="shared" si="34"/>
        <v>2.0726652429528429</v>
      </c>
      <c r="AN79" s="362">
        <f t="shared" si="35"/>
        <v>2.342028705139183</v>
      </c>
    </row>
    <row r="80" spans="2:40" x14ac:dyDescent="0.6">
      <c r="B80" s="79" t="s">
        <v>476</v>
      </c>
      <c r="C80" s="80">
        <f>-'Revenue and Expenses breakdown'!C73</f>
        <v>79.3</v>
      </c>
      <c r="D80" s="80">
        <f>-'Revenue and Expenses breakdown'!D73</f>
        <v>126.8</v>
      </c>
      <c r="E80" s="80">
        <f>-'Revenue and Expenses breakdown'!E73</f>
        <v>117.11899999999999</v>
      </c>
      <c r="F80" s="80">
        <f>-'Revenue and Expenses breakdown'!F73</f>
        <v>174</v>
      </c>
      <c r="G80" s="80">
        <f>-'Revenue and Expenses breakdown'!G73</f>
        <v>217.5</v>
      </c>
      <c r="H80" s="80">
        <f>-'Revenue and Expenses breakdown'!H73</f>
        <v>282.75</v>
      </c>
      <c r="I80" s="80">
        <f>-'Revenue and Expenses breakdown'!I73</f>
        <v>325.16249999999997</v>
      </c>
      <c r="J80" s="80">
        <f>-'Revenue and Expenses breakdown'!J73</f>
        <v>487.74374999999998</v>
      </c>
      <c r="K80" s="80">
        <f>-'Revenue and Expenses breakdown'!K73</f>
        <v>581.24420819060902</v>
      </c>
      <c r="L80" s="80">
        <f>-'Revenue and Expenses breakdown'!L73</f>
        <v>650.40710818312107</v>
      </c>
      <c r="M80" s="80">
        <f>-'Revenue and Expenses breakdown'!M73</f>
        <v>721.11308121811396</v>
      </c>
      <c r="N80" s="80">
        <f>-'Revenue and Expenses breakdown'!N73</f>
        <v>794.38938138237484</v>
      </c>
      <c r="O80" s="80"/>
      <c r="P80" s="358">
        <v>79.3</v>
      </c>
      <c r="Q80" s="358">
        <v>126.8</v>
      </c>
      <c r="R80" s="358">
        <v>126.8</v>
      </c>
      <c r="S80" s="358">
        <v>223.84936372729101</v>
      </c>
      <c r="T80" s="358">
        <v>308.74286569796766</v>
      </c>
      <c r="U80" s="358">
        <v>355.5556675268349</v>
      </c>
      <c r="V80" s="358">
        <v>405.4457920066796</v>
      </c>
      <c r="W80" s="358">
        <v>462.47086473896491</v>
      </c>
      <c r="X80" s="358">
        <v>526.25397113312329</v>
      </c>
      <c r="Y80" s="358">
        <v>597.34644075907488</v>
      </c>
      <c r="Z80" s="358">
        <v>676.33770208833698</v>
      </c>
      <c r="AA80" s="358">
        <v>763.86981994220434</v>
      </c>
      <c r="AE80" s="362">
        <f t="shared" si="39"/>
        <v>-7.6348580441640501E-2</v>
      </c>
      <c r="AF80" s="362">
        <f t="shared" si="27"/>
        <v>-0.2226915587216991</v>
      </c>
      <c r="AG80" s="362">
        <f t="shared" si="28"/>
        <v>-0.29553028048663432</v>
      </c>
      <c r="AH80" s="362">
        <f t="shared" si="29"/>
        <v>-0.20476587543451275</v>
      </c>
      <c r="AI80" s="362">
        <f t="shared" si="30"/>
        <v>-0.19801239423236383</v>
      </c>
      <c r="AJ80" s="362">
        <f t="shared" si="31"/>
        <v>5.4647518769209258E-2</v>
      </c>
      <c r="AK80" s="362">
        <f t="shared" si="32"/>
        <v>0.10449372370355992</v>
      </c>
      <c r="AL80" s="362">
        <f t="shared" si="33"/>
        <v>8.8827293181189093E-2</v>
      </c>
      <c r="AM80" s="362">
        <f t="shared" si="34"/>
        <v>6.6202695770949171E-2</v>
      </c>
      <c r="AN80" s="362">
        <f t="shared" si="35"/>
        <v>3.9953877798810877E-2</v>
      </c>
    </row>
    <row r="81" spans="2:40" x14ac:dyDescent="0.6">
      <c r="B81" s="77" t="str">
        <f>'Revenue and Expenses breakdown'!A79</f>
        <v>Credit loss allowance expenses</v>
      </c>
      <c r="C81" s="78">
        <f>-'Revenue and Expenses breakdown'!C79</f>
        <v>175.2</v>
      </c>
      <c r="D81" s="78">
        <f>-'Revenue and Expenses breakdown'!D79</f>
        <v>169.5</v>
      </c>
      <c r="E81" s="78">
        <f>-'Revenue and Expenses breakdown'!E79</f>
        <v>480.64299999999997</v>
      </c>
      <c r="F81" s="78">
        <f>-'Revenue and Expenses breakdown'!F79</f>
        <v>1405</v>
      </c>
      <c r="G81" s="78">
        <f>-'Revenue and Expenses breakdown'!G79</f>
        <v>2462.84</v>
      </c>
      <c r="H81" s="78">
        <f>-'Revenue and Expenses breakdown'!H79</f>
        <v>3307.16</v>
      </c>
      <c r="I81" s="78">
        <f>-'Revenue and Expenses breakdown'!I79</f>
        <v>3957.8399999999997</v>
      </c>
      <c r="J81" s="78">
        <f>-'Revenue and Expenses breakdown'!J79</f>
        <v>4382.16</v>
      </c>
      <c r="K81" s="78">
        <f>-'Revenue and Expenses breakdown'!K79</f>
        <v>4767.84</v>
      </c>
      <c r="L81" s="78">
        <f>-'Revenue and Expenses breakdown'!L79</f>
        <v>5112.16</v>
      </c>
      <c r="M81" s="78">
        <f>-'Revenue and Expenses breakdown'!M79</f>
        <v>5497.84</v>
      </c>
      <c r="N81" s="78">
        <f>-'Revenue and Expenses breakdown'!N79</f>
        <v>5842.16</v>
      </c>
      <c r="O81" s="80"/>
      <c r="P81" s="358">
        <v>175.2</v>
      </c>
      <c r="Q81" s="358">
        <v>169.5</v>
      </c>
      <c r="R81" s="358">
        <v>434.7492463899552</v>
      </c>
      <c r="S81" s="358">
        <v>783.91404042878958</v>
      </c>
      <c r="T81" s="358">
        <v>972.77291625838427</v>
      </c>
      <c r="U81" s="358">
        <v>1129.1958590208783</v>
      </c>
      <c r="V81" s="358">
        <v>1286.6971058894471</v>
      </c>
      <c r="W81" s="358">
        <v>1458.4823063599933</v>
      </c>
      <c r="X81" s="358">
        <v>1572.1996070107716</v>
      </c>
      <c r="Y81" s="358">
        <v>1698.960195750954</v>
      </c>
      <c r="Z81" s="358">
        <v>1826.6461523723196</v>
      </c>
      <c r="AA81" s="358">
        <v>1959.5198645871212</v>
      </c>
      <c r="AE81" s="362">
        <f t="shared" si="39"/>
        <v>0.10556373355706672</v>
      </c>
      <c r="AF81" s="362">
        <f t="shared" si="27"/>
        <v>0.79228834736967513</v>
      </c>
      <c r="AG81" s="362">
        <f t="shared" si="28"/>
        <v>1.5317727897615829</v>
      </c>
      <c r="AH81" s="362">
        <f t="shared" si="29"/>
        <v>1.9287744668738216</v>
      </c>
      <c r="AI81" s="362">
        <f t="shared" si="30"/>
        <v>2.0759686812725735</v>
      </c>
      <c r="AJ81" s="362">
        <f t="shared" si="31"/>
        <v>2.0046027852999972</v>
      </c>
      <c r="AK81" s="362">
        <f t="shared" si="32"/>
        <v>2.0325920314056751</v>
      </c>
      <c r="AL81" s="362">
        <f t="shared" si="33"/>
        <v>2.0089933906546786</v>
      </c>
      <c r="AM81" s="362">
        <f t="shared" si="34"/>
        <v>2.0098002247779583</v>
      </c>
      <c r="AN81" s="362">
        <f t="shared" si="35"/>
        <v>1.9814242282412211</v>
      </c>
    </row>
    <row r="82" spans="2:40" x14ac:dyDescent="0.6">
      <c r="B82" s="82" t="str">
        <f>Master!B15</f>
        <v>Gross profit</v>
      </c>
      <c r="C82" s="424">
        <f>Master!D15</f>
        <v>247.89999999999992</v>
      </c>
      <c r="D82" s="424">
        <f>Master!E15</f>
        <v>326.90000000000003</v>
      </c>
      <c r="E82" s="424">
        <f>Master!F15</f>
        <v>731.85017000000016</v>
      </c>
      <c r="F82" s="424">
        <f>Master!G15</f>
        <v>1663.1710000000003</v>
      </c>
      <c r="G82" s="424">
        <f>Master!H15</f>
        <v>3182.8955863716346</v>
      </c>
      <c r="H82" s="424">
        <f>Master!I15</f>
        <v>4565.1962036227596</v>
      </c>
      <c r="I82" s="424">
        <f>Master!J15</f>
        <v>6348.3063126606576</v>
      </c>
      <c r="J82" s="424">
        <f>Master!K15</f>
        <v>7749.0585117122428</v>
      </c>
      <c r="K82" s="424">
        <f>Master!L15</f>
        <v>8967.0622655681527</v>
      </c>
      <c r="L82" s="424">
        <f>Master!M15</f>
        <v>9937.3816928715169</v>
      </c>
      <c r="M82" s="424">
        <f>Master!N15</f>
        <v>11303.905933732734</v>
      </c>
      <c r="N82" s="424">
        <f>Master!O15</f>
        <v>12619.198621481797</v>
      </c>
      <c r="O82" s="80"/>
      <c r="P82" s="361">
        <v>247.89999999999992</v>
      </c>
      <c r="Q82" s="361">
        <v>326.89999999999992</v>
      </c>
      <c r="R82" s="361">
        <v>786.43160480985284</v>
      </c>
      <c r="S82" s="361">
        <v>1440.8776980277796</v>
      </c>
      <c r="T82" s="361">
        <v>2609.8645289894876</v>
      </c>
      <c r="U82" s="361">
        <v>3472.4981809998508</v>
      </c>
      <c r="V82" s="361">
        <v>4164.3123711262715</v>
      </c>
      <c r="W82" s="361">
        <v>4944.7048914019169</v>
      </c>
      <c r="X82" s="361">
        <v>5746.1384972622645</v>
      </c>
      <c r="Y82" s="361">
        <v>6512.3736018296131</v>
      </c>
      <c r="Z82" s="361">
        <v>7373.9195235606112</v>
      </c>
      <c r="AA82" s="361">
        <v>8325.7388436091169</v>
      </c>
      <c r="AE82" s="368">
        <f t="shared" si="39"/>
        <v>-6.9403918250525609E-2</v>
      </c>
      <c r="AF82" s="368">
        <f t="shared" si="27"/>
        <v>0.15427631524624719</v>
      </c>
      <c r="AG82" s="368">
        <f t="shared" si="28"/>
        <v>0.21956352562254211</v>
      </c>
      <c r="AH82" s="368">
        <f t="shared" si="29"/>
        <v>0.31467202160154439</v>
      </c>
      <c r="AI82" s="368">
        <f t="shared" si="30"/>
        <v>0.5244548791962278</v>
      </c>
      <c r="AJ82" s="368">
        <f t="shared" si="31"/>
        <v>0.56714276825431309</v>
      </c>
      <c r="AK82" s="368">
        <f t="shared" si="32"/>
        <v>0.56053709283904141</v>
      </c>
      <c r="AL82" s="368">
        <f t="shared" si="33"/>
        <v>0.52592315804481293</v>
      </c>
      <c r="AM82" s="368">
        <f t="shared" si="34"/>
        <v>0.53295759434522116</v>
      </c>
      <c r="AN82" s="368">
        <f t="shared" si="35"/>
        <v>0.51568513720177078</v>
      </c>
    </row>
    <row r="83" spans="2:40" x14ac:dyDescent="0.6">
      <c r="B83" s="77"/>
      <c r="C83" s="78"/>
      <c r="D83" s="78"/>
      <c r="E83" s="78"/>
      <c r="F83" s="78"/>
      <c r="G83" s="78"/>
      <c r="H83" s="78"/>
      <c r="I83" s="78"/>
      <c r="J83" s="78"/>
      <c r="K83" s="78"/>
      <c r="L83" s="78"/>
      <c r="M83" s="78"/>
      <c r="N83" s="78"/>
      <c r="O83" s="79"/>
      <c r="P83" s="358"/>
      <c r="Q83" s="358"/>
      <c r="R83" s="358"/>
      <c r="S83" s="358"/>
      <c r="T83" s="358"/>
      <c r="U83" s="358"/>
      <c r="V83" s="358"/>
      <c r="W83" s="358"/>
      <c r="X83" s="358"/>
      <c r="Y83" s="358"/>
      <c r="Z83" s="358"/>
      <c r="AA83" s="358"/>
      <c r="AE83" s="362"/>
      <c r="AF83" s="362"/>
      <c r="AG83" s="362"/>
      <c r="AH83" s="362"/>
      <c r="AI83" s="362"/>
      <c r="AJ83" s="362"/>
      <c r="AK83" s="362"/>
      <c r="AL83" s="362"/>
      <c r="AM83" s="362"/>
      <c r="AN83" s="362"/>
    </row>
    <row r="84" spans="2:40" x14ac:dyDescent="0.6">
      <c r="B84" s="79" t="str">
        <f>Master!B40</f>
        <v>Total operating expenses</v>
      </c>
      <c r="C84" s="80">
        <f>-Master!D40</f>
        <v>377.20000000000005</v>
      </c>
      <c r="D84" s="80">
        <f>-Master!E40</f>
        <v>418.9</v>
      </c>
      <c r="E84" s="80">
        <f>-Master!F40</f>
        <v>903.0809999999999</v>
      </c>
      <c r="F84" s="80">
        <f>-Master!G40</f>
        <v>1971</v>
      </c>
      <c r="G84" s="80">
        <f>-Master!H40</f>
        <v>1885.7567526400758</v>
      </c>
      <c r="H84" s="80">
        <f>-Master!I40</f>
        <v>2382.9706273750494</v>
      </c>
      <c r="I84" s="80">
        <f>-Master!J40</f>
        <v>2890.5623616323965</v>
      </c>
      <c r="J84" s="80">
        <f>-Master!K40</f>
        <v>3322.0750373711253</v>
      </c>
      <c r="K84" s="80">
        <f>-Master!L40</f>
        <v>3697.9284262048527</v>
      </c>
      <c r="L84" s="80">
        <f>-Master!M40</f>
        <v>3994.9006898045459</v>
      </c>
      <c r="M84" s="80">
        <f>-Master!N40</f>
        <v>4363.7834688793519</v>
      </c>
      <c r="N84" s="80">
        <f>-Master!O40</f>
        <v>4701.4696217078108</v>
      </c>
      <c r="O84" s="79"/>
      <c r="P84" s="358">
        <v>377.20000000000005</v>
      </c>
      <c r="Q84" s="358">
        <v>418.9</v>
      </c>
      <c r="R84" s="358">
        <v>904.22526377622955</v>
      </c>
      <c r="S84" s="358">
        <v>1715.1675008546706</v>
      </c>
      <c r="T84" s="358">
        <v>2258.7221035434027</v>
      </c>
      <c r="U84" s="358">
        <v>2412.7188039992716</v>
      </c>
      <c r="V84" s="358">
        <v>2594.4840154672329</v>
      </c>
      <c r="W84" s="358">
        <v>2869.2927948587203</v>
      </c>
      <c r="X84" s="358">
        <v>3095.1683078669903</v>
      </c>
      <c r="Y84" s="358">
        <v>3280.6743140548629</v>
      </c>
      <c r="Z84" s="358">
        <v>3464.9179723336301</v>
      </c>
      <c r="AA84" s="358">
        <v>3640.6948368894546</v>
      </c>
      <c r="AE84" s="362">
        <f t="shared" si="39"/>
        <v>-1.2654631783356463E-3</v>
      </c>
      <c r="AF84" s="362">
        <f t="shared" si="27"/>
        <v>0.14915890081746985</v>
      </c>
      <c r="AG84" s="362">
        <f t="shared" si="28"/>
        <v>-0.16512228322299238</v>
      </c>
      <c r="AH84" s="362">
        <f t="shared" si="29"/>
        <v>-1.2329732157312479E-2</v>
      </c>
      <c r="AI84" s="362">
        <f t="shared" si="30"/>
        <v>0.11411839286735548</v>
      </c>
      <c r="AJ84" s="362">
        <f t="shared" si="31"/>
        <v>0.15780273220067076</v>
      </c>
      <c r="AK84" s="362">
        <f t="shared" si="32"/>
        <v>0.19474227517961684</v>
      </c>
      <c r="AL84" s="362">
        <f t="shared" si="33"/>
        <v>0.21770718680907719</v>
      </c>
      <c r="AM84" s="362">
        <f t="shared" si="34"/>
        <v>0.25941898299552935</v>
      </c>
      <c r="AN84" s="362">
        <f t="shared" si="35"/>
        <v>0.29136602553721946</v>
      </c>
    </row>
    <row r="85" spans="2:40" x14ac:dyDescent="0.6">
      <c r="B85" s="77"/>
      <c r="C85" s="78"/>
      <c r="D85" s="78"/>
      <c r="E85" s="78"/>
      <c r="F85" s="78"/>
      <c r="G85" s="78"/>
      <c r="H85" s="78"/>
      <c r="I85" s="78"/>
      <c r="J85" s="78"/>
      <c r="K85" s="78"/>
      <c r="L85" s="78"/>
      <c r="M85" s="78"/>
      <c r="N85" s="78"/>
      <c r="O85" s="79"/>
      <c r="P85" s="358"/>
      <c r="Q85" s="358"/>
      <c r="R85" s="358"/>
      <c r="S85" s="358"/>
      <c r="T85" s="358"/>
      <c r="U85" s="358"/>
      <c r="V85" s="358"/>
      <c r="W85" s="358"/>
      <c r="X85" s="358"/>
      <c r="Y85" s="358"/>
      <c r="Z85" s="358"/>
      <c r="AA85" s="358"/>
      <c r="AE85" s="362"/>
      <c r="AF85" s="362"/>
      <c r="AG85" s="362"/>
      <c r="AH85" s="362"/>
      <c r="AI85" s="362"/>
      <c r="AJ85" s="362"/>
      <c r="AK85" s="362"/>
      <c r="AL85" s="362"/>
      <c r="AM85" s="362"/>
      <c r="AN85" s="362"/>
    </row>
    <row r="86" spans="2:40" x14ac:dyDescent="0.6">
      <c r="B86" s="79" t="s">
        <v>477</v>
      </c>
      <c r="C86" s="80">
        <f>Master!D47</f>
        <v>-129.30000000000013</v>
      </c>
      <c r="D86" s="80">
        <f>Master!E47</f>
        <v>-193.19999999999993</v>
      </c>
      <c r="E86" s="80">
        <f>Master!F47</f>
        <v>-171.23082999999974</v>
      </c>
      <c r="F86" s="80">
        <f>Master!G47</f>
        <v>-307.82899999999972</v>
      </c>
      <c r="G86" s="80">
        <f>Master!H47</f>
        <v>1297.1388337315589</v>
      </c>
      <c r="H86" s="80">
        <f>Master!I47</f>
        <v>2182.2255762477103</v>
      </c>
      <c r="I86" s="80">
        <f>Master!J47</f>
        <v>3457.7439510282611</v>
      </c>
      <c r="J86" s="80">
        <f>Master!K47</f>
        <v>4426.9834743411175</v>
      </c>
      <c r="K86" s="80">
        <f>Master!L47</f>
        <v>5269.1338393632996</v>
      </c>
      <c r="L86" s="80">
        <f>Master!M47</f>
        <v>5942.4810030669705</v>
      </c>
      <c r="M86" s="80">
        <f>Master!N47</f>
        <v>6940.1224648533826</v>
      </c>
      <c r="N86" s="80">
        <f>Master!O47</f>
        <v>7917.7289997739863</v>
      </c>
      <c r="O86" s="79"/>
      <c r="P86" s="358">
        <v>-129.30000000000013</v>
      </c>
      <c r="Q86" s="358">
        <v>-193.20000000000005</v>
      </c>
      <c r="R86" s="358">
        <v>-117.79365896637671</v>
      </c>
      <c r="S86" s="358">
        <v>-274.28980282689099</v>
      </c>
      <c r="T86" s="358">
        <v>351.14242544608487</v>
      </c>
      <c r="U86" s="358">
        <v>1059.7793770005792</v>
      </c>
      <c r="V86" s="358">
        <v>1569.8283556590386</v>
      </c>
      <c r="W86" s="358">
        <v>2075.4120965431966</v>
      </c>
      <c r="X86" s="358">
        <v>2650.9701893952742</v>
      </c>
      <c r="Y86" s="358">
        <v>3231.6992877747502</v>
      </c>
      <c r="Z86" s="358">
        <v>3909.0015512269811</v>
      </c>
      <c r="AA86" s="358">
        <v>4685.0440067196623</v>
      </c>
      <c r="AE86" s="362">
        <f t="shared" si="39"/>
        <v>0.45365065914860714</v>
      </c>
      <c r="AF86" s="362">
        <f t="shared" si="27"/>
        <v>0.12227650035636173</v>
      </c>
      <c r="AG86" s="362">
        <f t="shared" si="28"/>
        <v>2.694053294994752</v>
      </c>
      <c r="AH86" s="362">
        <f t="shared" si="29"/>
        <v>1.0591319510518438</v>
      </c>
      <c r="AI86" s="362">
        <f t="shared" si="30"/>
        <v>1.2026254899546935</v>
      </c>
      <c r="AJ86" s="362">
        <f t="shared" si="31"/>
        <v>1.1330623839548273</v>
      </c>
      <c r="AK86" s="362">
        <f t="shared" si="32"/>
        <v>0.98762470451064077</v>
      </c>
      <c r="AL86" s="362">
        <f t="shared" si="33"/>
        <v>0.83881001105111541</v>
      </c>
      <c r="AM86" s="362">
        <f t="shared" si="34"/>
        <v>0.77542074975001607</v>
      </c>
      <c r="AN86" s="362">
        <f t="shared" si="35"/>
        <v>0.69000098791340059</v>
      </c>
    </row>
    <row r="87" spans="2:40" x14ac:dyDescent="0.6">
      <c r="B87" s="77"/>
      <c r="C87" s="78"/>
      <c r="D87" s="78"/>
      <c r="E87" s="78"/>
      <c r="F87" s="78"/>
      <c r="G87" s="78"/>
      <c r="H87" s="78"/>
      <c r="I87" s="78"/>
      <c r="J87" s="78"/>
      <c r="K87" s="78"/>
      <c r="L87" s="78"/>
      <c r="M87" s="78"/>
      <c r="N87" s="78"/>
      <c r="O87" s="79"/>
      <c r="P87" s="358"/>
      <c r="Q87" s="358"/>
      <c r="R87" s="358"/>
      <c r="S87" s="358"/>
      <c r="T87" s="358"/>
      <c r="U87" s="358"/>
      <c r="V87" s="358"/>
      <c r="W87" s="358"/>
      <c r="X87" s="358"/>
      <c r="Y87" s="358"/>
      <c r="Z87" s="358"/>
      <c r="AA87" s="358"/>
      <c r="AE87" s="362"/>
      <c r="AF87" s="362"/>
      <c r="AG87" s="362"/>
      <c r="AH87" s="362"/>
      <c r="AI87" s="362"/>
      <c r="AJ87" s="362"/>
      <c r="AK87" s="362"/>
      <c r="AL87" s="362"/>
      <c r="AM87" s="362"/>
      <c r="AN87" s="362"/>
    </row>
    <row r="88" spans="2:40" x14ac:dyDescent="0.6">
      <c r="B88" s="82" t="s">
        <v>24</v>
      </c>
      <c r="C88" s="424">
        <f>Master!D56</f>
        <v>-92.500000000000114</v>
      </c>
      <c r="D88" s="424">
        <f>Master!E56</f>
        <v>-171.49999999999994</v>
      </c>
      <c r="E88" s="424">
        <f>Master!F56</f>
        <v>-166.40082999999976</v>
      </c>
      <c r="F88" s="424">
        <f>Master!G56</f>
        <v>-363.82899999999972</v>
      </c>
      <c r="G88" s="424">
        <f>Master!H56</f>
        <v>874.28470843288972</v>
      </c>
      <c r="H88" s="424">
        <f>Master!I56</f>
        <v>1472.8902304990841</v>
      </c>
      <c r="I88" s="424">
        <f>Master!J56</f>
        <v>2316.6884471889348</v>
      </c>
      <c r="J88" s="424">
        <f>Master!K56</f>
        <v>2966.0789278085485</v>
      </c>
      <c r="K88" s="424">
        <f>Master!L56</f>
        <v>3477.6283339797774</v>
      </c>
      <c r="L88" s="424">
        <f>Master!M56</f>
        <v>3922.0374620242001</v>
      </c>
      <c r="M88" s="424">
        <f>Master!N56</f>
        <v>4580.480826803232</v>
      </c>
      <c r="N88" s="424">
        <f>Master!O56</f>
        <v>5225.7011398508312</v>
      </c>
      <c r="O88" s="79"/>
      <c r="P88" s="361">
        <v>-92.500000000000114</v>
      </c>
      <c r="Q88" s="361">
        <v>-171.50000000000006</v>
      </c>
      <c r="R88" s="361">
        <v>-214.94339199656861</v>
      </c>
      <c r="S88" s="361">
        <v>-233.71563606526092</v>
      </c>
      <c r="T88" s="361">
        <v>492.9756271102608</v>
      </c>
      <c r="U88" s="361">
        <v>1003.4656751774349</v>
      </c>
      <c r="V88" s="361">
        <v>1369.8442369996803</v>
      </c>
      <c r="W88" s="361">
        <v>1727.174390585853</v>
      </c>
      <c r="X88" s="361">
        <v>2121.7394455738549</v>
      </c>
      <c r="Y88" s="361">
        <v>2509.2282299103122</v>
      </c>
      <c r="Z88" s="361">
        <v>2956.2958777530857</v>
      </c>
      <c r="AA88" s="361">
        <v>3462.787256225045</v>
      </c>
      <c r="AE88" s="362">
        <f t="shared" si="39"/>
        <v>-0.22583881991284382</v>
      </c>
      <c r="AF88" s="362">
        <f t="shared" si="27"/>
        <v>0.55671655574814416</v>
      </c>
      <c r="AG88" s="362">
        <f t="shared" si="28"/>
        <v>0.77348465188390314</v>
      </c>
      <c r="AH88" s="362">
        <f t="shared" si="29"/>
        <v>0.46780330103333578</v>
      </c>
      <c r="AI88" s="362">
        <f t="shared" si="30"/>
        <v>0.69120574778859001</v>
      </c>
      <c r="AJ88" s="362">
        <f t="shared" si="31"/>
        <v>0.71730135878315249</v>
      </c>
      <c r="AK88" s="362">
        <f t="shared" si="32"/>
        <v>0.63904589756976637</v>
      </c>
      <c r="AL88" s="362">
        <f t="shared" si="33"/>
        <v>0.56304532815031583</v>
      </c>
      <c r="AM88" s="362">
        <f t="shared" si="34"/>
        <v>0.54939864486250212</v>
      </c>
      <c r="AN88" s="362">
        <f t="shared" si="35"/>
        <v>0.50910256772390494</v>
      </c>
    </row>
    <row r="89" spans="2:40" x14ac:dyDescent="0.6">
      <c r="B89" s="77" t="s">
        <v>478</v>
      </c>
      <c r="C89" s="374">
        <f>Master!D57</f>
        <v>-0.15111909818657104</v>
      </c>
      <c r="D89" s="374">
        <f>Master!E57</f>
        <v>-0.23266856600189925</v>
      </c>
      <c r="E89" s="374">
        <f>Master!F57</f>
        <v>-9.8058413612415074E-2</v>
      </c>
      <c r="F89" s="374">
        <f>Master!G57</f>
        <v>-7.5953238412574356E-2</v>
      </c>
      <c r="G89" s="374">
        <f>Master!H57</f>
        <v>0.11306174868243343</v>
      </c>
      <c r="H89" s="374">
        <f>Master!I57</f>
        <v>0.14694662257736091</v>
      </c>
      <c r="I89" s="374">
        <f>Master!J57</f>
        <v>0.1845561741902807</v>
      </c>
      <c r="J89" s="374">
        <f>Master!K57</f>
        <v>0.20003791012588326</v>
      </c>
      <c r="K89" s="374">
        <f>Master!L57</f>
        <v>0.20542693970436748</v>
      </c>
      <c r="L89" s="374">
        <f>Master!M57</f>
        <v>0.20946113297290087</v>
      </c>
      <c r="M89" s="374">
        <f>Master!N57</f>
        <v>0.21839936194047718</v>
      </c>
      <c r="N89" s="374">
        <f>Master!O57</f>
        <v>0.22564322695975025</v>
      </c>
      <c r="O89" s="79"/>
      <c r="P89" s="353">
        <v>-0.15111909818657104</v>
      </c>
      <c r="Q89" s="353">
        <v>-0.23266856600189945</v>
      </c>
      <c r="R89" s="353">
        <v>-0.12539202765103116</v>
      </c>
      <c r="S89" s="353">
        <v>-6.7450694929011901E-2</v>
      </c>
      <c r="T89" s="353">
        <v>0.10192471995529306</v>
      </c>
      <c r="U89" s="353">
        <v>0.17260123911180877</v>
      </c>
      <c r="V89" s="353">
        <v>0.20221760459618593</v>
      </c>
      <c r="W89" s="353">
        <v>0.22031415827869466</v>
      </c>
      <c r="X89" s="353">
        <v>0.2392396770874072</v>
      </c>
      <c r="Y89" s="353">
        <v>0.25393065345171967</v>
      </c>
      <c r="Z89" s="353">
        <v>0.26876053312887932</v>
      </c>
      <c r="AA89" s="353">
        <v>0.28343781848981042</v>
      </c>
    </row>
    <row r="90" spans="2:40" x14ac:dyDescent="0.6">
      <c r="B90" s="79"/>
      <c r="C90" s="79"/>
      <c r="D90" s="79"/>
      <c r="E90" s="79"/>
      <c r="F90" s="79"/>
      <c r="G90" s="79"/>
      <c r="H90" s="79"/>
      <c r="I90" s="79"/>
      <c r="J90" s="79"/>
      <c r="K90" s="79"/>
      <c r="L90" s="79"/>
      <c r="M90" s="79"/>
      <c r="N90" s="79"/>
      <c r="O90" s="79"/>
    </row>
    <row r="91" spans="2:40" x14ac:dyDescent="0.6">
      <c r="B91" s="79"/>
      <c r="C91" s="79"/>
      <c r="D91" s="79"/>
      <c r="E91" s="79"/>
      <c r="F91" s="79"/>
      <c r="G91" s="79"/>
      <c r="H91" s="79"/>
      <c r="I91" s="79"/>
      <c r="J91" s="79"/>
      <c r="K91" s="79"/>
      <c r="L91" s="79"/>
      <c r="M91" s="79"/>
      <c r="N91" s="79"/>
      <c r="O91" s="79"/>
    </row>
    <row r="92" spans="2:40" x14ac:dyDescent="0.6">
      <c r="B92" s="388" t="s">
        <v>751</v>
      </c>
      <c r="C92" s="79"/>
      <c r="D92" s="79"/>
      <c r="E92" s="79"/>
      <c r="F92" s="79"/>
      <c r="G92" s="79"/>
      <c r="H92" s="79"/>
      <c r="I92" s="79"/>
      <c r="J92" s="79"/>
      <c r="K92" s="79"/>
      <c r="L92" s="79"/>
      <c r="M92" s="79"/>
      <c r="N92" s="79"/>
      <c r="O92" s="79"/>
    </row>
    <row r="93" spans="2:40" x14ac:dyDescent="0.6">
      <c r="B93" s="388"/>
      <c r="C93" s="79"/>
      <c r="D93" s="79"/>
      <c r="E93" s="79"/>
      <c r="F93" s="79"/>
      <c r="G93" s="79"/>
      <c r="H93" s="79"/>
      <c r="I93" s="79"/>
      <c r="J93" s="79"/>
      <c r="K93" s="79"/>
      <c r="L93" s="79"/>
      <c r="M93" s="79"/>
      <c r="N93" s="79"/>
      <c r="O93" s="79"/>
    </row>
    <row r="94" spans="2:40" x14ac:dyDescent="0.6">
      <c r="B94" s="128" t="s">
        <v>362</v>
      </c>
      <c r="C94" s="191">
        <v>2019</v>
      </c>
      <c r="D94" s="191">
        <v>2020</v>
      </c>
      <c r="E94" s="191" t="s">
        <v>764</v>
      </c>
      <c r="F94" s="191" t="s">
        <v>765</v>
      </c>
      <c r="G94" s="191">
        <v>2022</v>
      </c>
      <c r="H94" s="191">
        <v>2023</v>
      </c>
      <c r="I94" s="191">
        <v>2024</v>
      </c>
      <c r="J94" s="191">
        <v>2025</v>
      </c>
      <c r="K94" s="191">
        <v>2026</v>
      </c>
      <c r="L94" s="191">
        <v>2027</v>
      </c>
      <c r="M94" s="191">
        <v>2028</v>
      </c>
      <c r="N94" s="191">
        <v>2029</v>
      </c>
      <c r="O94" s="191">
        <v>2030</v>
      </c>
    </row>
    <row r="95" spans="2:40" x14ac:dyDescent="0.6">
      <c r="B95" s="433" t="s">
        <v>752</v>
      </c>
      <c r="C95" s="372"/>
      <c r="D95" s="372"/>
      <c r="E95" s="372"/>
      <c r="F95" s="389"/>
      <c r="G95" s="372"/>
      <c r="H95" s="372"/>
      <c r="I95" s="372"/>
      <c r="J95" s="372"/>
      <c r="K95" s="372"/>
      <c r="L95" s="372"/>
      <c r="M95" s="372"/>
      <c r="N95" s="372"/>
      <c r="O95" s="372"/>
    </row>
    <row r="96" spans="2:40" x14ac:dyDescent="0.6">
      <c r="B96" s="391" t="s">
        <v>794</v>
      </c>
      <c r="C96" s="80"/>
      <c r="D96" s="80">
        <f t="shared" ref="D96:O96" si="40">D155</f>
        <v>818.47499999999991</v>
      </c>
      <c r="E96" s="80">
        <f t="shared" si="40"/>
        <v>1355.0249999999999</v>
      </c>
      <c r="F96" s="80">
        <f t="shared" si="40"/>
        <v>2864.91</v>
      </c>
      <c r="G96" s="80">
        <f t="shared" si="40"/>
        <v>4933.9617257609043</v>
      </c>
      <c r="H96" s="80">
        <f t="shared" si="40"/>
        <v>7322.1455198344647</v>
      </c>
      <c r="I96" s="80">
        <f t="shared" si="40"/>
        <v>9820.6619333939707</v>
      </c>
      <c r="J96" s="80">
        <f t="shared" si="40"/>
        <v>11928.154509746084</v>
      </c>
      <c r="K96" s="80">
        <f t="shared" si="40"/>
        <v>13730.548687476938</v>
      </c>
      <c r="L96" s="80">
        <f t="shared" si="40"/>
        <v>15402.540528428795</v>
      </c>
      <c r="M96" s="80">
        <f t="shared" si="40"/>
        <v>16912.319773753927</v>
      </c>
      <c r="N96" s="80">
        <f t="shared" si="40"/>
        <v>18377.762412777585</v>
      </c>
      <c r="O96" s="80">
        <f t="shared" si="40"/>
        <v>19782.753295671129</v>
      </c>
    </row>
    <row r="97" spans="2:15" x14ac:dyDescent="0.6">
      <c r="B97" s="390" t="s">
        <v>795</v>
      </c>
      <c r="C97" s="78"/>
      <c r="D97" s="78">
        <v>0</v>
      </c>
      <c r="E97" s="78">
        <v>0</v>
      </c>
      <c r="F97" s="78">
        <f>F176</f>
        <v>532.05471428571445</v>
      </c>
      <c r="G97" s="78">
        <f>G176</f>
        <v>916.30717764131077</v>
      </c>
      <c r="H97" s="78">
        <f t="shared" ref="H97:O97" si="41">H176</f>
        <v>1359.8270251121153</v>
      </c>
      <c r="I97" s="78">
        <f t="shared" si="41"/>
        <v>1823.8372162017376</v>
      </c>
      <c r="J97" s="78">
        <f t="shared" si="41"/>
        <v>2215.2286946671302</v>
      </c>
      <c r="K97" s="78">
        <f t="shared" si="41"/>
        <v>2549.9590419600036</v>
      </c>
      <c r="L97" s="78">
        <f t="shared" si="41"/>
        <v>2860.4718124224914</v>
      </c>
      <c r="M97" s="78">
        <f t="shared" si="41"/>
        <v>3140.8593865543016</v>
      </c>
      <c r="N97" s="78">
        <f t="shared" si="41"/>
        <v>3413.0130195158372</v>
      </c>
      <c r="O97" s="78">
        <f t="shared" si="41"/>
        <v>3673.9398977674955</v>
      </c>
    </row>
    <row r="98" spans="2:15" x14ac:dyDescent="0.6">
      <c r="B98" s="434" t="s">
        <v>753</v>
      </c>
      <c r="C98" s="311"/>
      <c r="D98" s="311">
        <f>75%*(200.904)</f>
        <v>150.678</v>
      </c>
      <c r="E98" s="311">
        <f>75%*(1392.35)</f>
        <v>1044.2624999999998</v>
      </c>
      <c r="F98" s="311">
        <f>75%*(1392.35)</f>
        <v>1044.2624999999998</v>
      </c>
      <c r="G98" s="311">
        <f>75%*Master!G155</f>
        <v>1254.75</v>
      </c>
      <c r="H98" s="311">
        <f>75%*Master!H155</f>
        <v>2305.3378534686958</v>
      </c>
      <c r="I98" s="311">
        <f>75%*Master!I155</f>
        <v>3258.9900108163956</v>
      </c>
      <c r="J98" s="311">
        <f>75%*Master!J155</f>
        <v>4522.1068160369705</v>
      </c>
      <c r="K98" s="311">
        <f>75%*Master!K155</f>
        <v>5950.2323451840002</v>
      </c>
      <c r="L98" s="311">
        <f>75%*Master!L155</f>
        <v>7303.2688777764633</v>
      </c>
      <c r="M98" s="311">
        <f>75%*Master!M155</f>
        <v>8659.6707267391939</v>
      </c>
      <c r="N98" s="311">
        <f>75%*Master!N155</f>
        <v>9754.4430795872795</v>
      </c>
      <c r="O98" s="311">
        <f>75%*Master!O155</f>
        <v>10890.168411621698</v>
      </c>
    </row>
    <row r="99" spans="2:15" x14ac:dyDescent="0.6">
      <c r="B99" s="77" t="s">
        <v>816</v>
      </c>
      <c r="C99" s="78"/>
      <c r="D99" s="78">
        <v>372.84100000000001</v>
      </c>
      <c r="E99" s="78">
        <v>1891</v>
      </c>
      <c r="F99" s="78">
        <f t="shared" ref="F99:O99" si="42">SUM(F96:F98)</f>
        <v>4441.2272142857146</v>
      </c>
      <c r="G99" s="78">
        <f t="shared" si="42"/>
        <v>7105.0189034022151</v>
      </c>
      <c r="H99" s="78">
        <f t="shared" si="42"/>
        <v>10987.310398415277</v>
      </c>
      <c r="I99" s="78">
        <f t="shared" si="42"/>
        <v>14903.489160412104</v>
      </c>
      <c r="J99" s="78">
        <f t="shared" si="42"/>
        <v>18665.490020450183</v>
      </c>
      <c r="K99" s="78">
        <f t="shared" si="42"/>
        <v>22230.740074620939</v>
      </c>
      <c r="L99" s="78">
        <f t="shared" si="42"/>
        <v>25566.281218627752</v>
      </c>
      <c r="M99" s="78">
        <f t="shared" si="42"/>
        <v>28712.849887047421</v>
      </c>
      <c r="N99" s="78">
        <f t="shared" si="42"/>
        <v>31545.218511880703</v>
      </c>
      <c r="O99" s="78">
        <f t="shared" si="42"/>
        <v>34346.861605060323</v>
      </c>
    </row>
    <row r="100" spans="2:15" x14ac:dyDescent="0.6">
      <c r="B100" s="79"/>
      <c r="C100" s="80"/>
      <c r="D100" s="80"/>
      <c r="E100" s="80"/>
      <c r="F100" s="80"/>
      <c r="G100" s="80"/>
      <c r="H100" s="80"/>
      <c r="I100" s="80"/>
      <c r="J100" s="80"/>
      <c r="K100" s="80"/>
      <c r="L100" s="80"/>
      <c r="M100" s="80"/>
      <c r="N100" s="80"/>
      <c r="O100" s="80"/>
    </row>
    <row r="101" spans="2:15" x14ac:dyDescent="0.6">
      <c r="B101" s="433" t="s">
        <v>754</v>
      </c>
      <c r="C101" s="372"/>
      <c r="D101" s="372"/>
      <c r="E101" s="372"/>
      <c r="F101" s="372"/>
      <c r="G101" s="372"/>
      <c r="H101" s="372"/>
      <c r="I101" s="372"/>
      <c r="J101" s="372"/>
      <c r="K101" s="372"/>
      <c r="L101" s="372"/>
      <c r="M101" s="372"/>
      <c r="N101" s="372"/>
      <c r="O101" s="372"/>
    </row>
    <row r="102" spans="2:15" x14ac:dyDescent="0.6">
      <c r="B102" s="391" t="s">
        <v>755</v>
      </c>
      <c r="C102" s="80"/>
      <c r="D102" s="80">
        <f>1%*D103</f>
        <v>10.72</v>
      </c>
      <c r="E102" s="80">
        <f t="shared" ref="E102:O102" si="43">1%*E103</f>
        <v>16.93</v>
      </c>
      <c r="F102" s="80">
        <f t="shared" si="43"/>
        <v>16.93</v>
      </c>
      <c r="G102" s="80">
        <f t="shared" si="43"/>
        <v>27.683990359252327</v>
      </c>
      <c r="H102" s="80">
        <f t="shared" si="43"/>
        <v>36.525979436956881</v>
      </c>
      <c r="I102" s="80">
        <f t="shared" si="43"/>
        <v>43.888046131258633</v>
      </c>
      <c r="J102" s="80">
        <f t="shared" si="43"/>
        <v>54.920454057831911</v>
      </c>
      <c r="K102" s="80">
        <f t="shared" si="43"/>
        <v>66.502469167608581</v>
      </c>
      <c r="L102" s="80">
        <f t="shared" si="43"/>
        <v>78.511889423883687</v>
      </c>
      <c r="M102" s="80">
        <f t="shared" si="43"/>
        <v>90.415953204279717</v>
      </c>
      <c r="N102" s="80">
        <f t="shared" si="43"/>
        <v>103.10513587891457</v>
      </c>
      <c r="O102" s="80">
        <f t="shared" si="43"/>
        <v>116.53636309207194</v>
      </c>
    </row>
    <row r="103" spans="2:15" x14ac:dyDescent="0.6">
      <c r="B103" s="435" t="s">
        <v>758</v>
      </c>
      <c r="C103" s="78"/>
      <c r="D103" s="78">
        <v>1072</v>
      </c>
      <c r="E103" s="78">
        <v>1693</v>
      </c>
      <c r="F103" s="78">
        <v>1693</v>
      </c>
      <c r="G103" s="78">
        <f>E103*(Master!G173/Master!F173)</f>
        <v>2768.3990359252325</v>
      </c>
      <c r="H103" s="78">
        <f>G103*(Master!H173/Master!G173)</f>
        <v>3652.5979436956882</v>
      </c>
      <c r="I103" s="78">
        <f>H103*(Master!I173/Master!H173)</f>
        <v>4388.8046131258634</v>
      </c>
      <c r="J103" s="78">
        <f>I103*(Master!J173/Master!I173)</f>
        <v>5492.0454057831912</v>
      </c>
      <c r="K103" s="78">
        <f>J103*(Master!K173/Master!J173)</f>
        <v>6650.2469167608579</v>
      </c>
      <c r="L103" s="78">
        <f>K103*(Master!L173/Master!K173)</f>
        <v>7851.1889423883686</v>
      </c>
      <c r="M103" s="78">
        <f>L103*(Master!M173/Master!L173)</f>
        <v>9041.5953204279722</v>
      </c>
      <c r="N103" s="78">
        <f>M103*(Master!N173/Master!M173)</f>
        <v>10310.513587891457</v>
      </c>
      <c r="O103" s="78">
        <f>N103*(Master!O173/Master!N173)</f>
        <v>11653.636309207193</v>
      </c>
    </row>
    <row r="104" spans="2:15" x14ac:dyDescent="0.6">
      <c r="B104" s="391" t="s">
        <v>756</v>
      </c>
      <c r="C104" s="80"/>
      <c r="D104" s="154">
        <f>0.2%*D105</f>
        <v>3.0764</v>
      </c>
      <c r="E104" s="154">
        <f>0.2%*E105</f>
        <v>4.9741999999999997</v>
      </c>
      <c r="F104" s="154">
        <f>0.2%*F105</f>
        <v>4.9741999999999997</v>
      </c>
      <c r="G104" s="154">
        <f>0.2%*G105</f>
        <v>12.830428954423596</v>
      </c>
      <c r="H104" s="154">
        <f t="shared" ref="H104:O104" si="44">0.2%*H105</f>
        <v>18.192426879361921</v>
      </c>
      <c r="I104" s="154">
        <f t="shared" si="44"/>
        <v>21.83816987234043</v>
      </c>
      <c r="J104" s="154">
        <f t="shared" si="44"/>
        <v>28.748535200000003</v>
      </c>
      <c r="K104" s="154">
        <f t="shared" si="44"/>
        <v>33.764237085957454</v>
      </c>
      <c r="L104" s="154">
        <f t="shared" si="44"/>
        <v>40.370283472340432</v>
      </c>
      <c r="M104" s="154">
        <f t="shared" si="44"/>
        <v>45.295458055965973</v>
      </c>
      <c r="N104" s="154">
        <f t="shared" si="44"/>
        <v>50.801964721593208</v>
      </c>
      <c r="O104" s="154">
        <f t="shared" si="44"/>
        <v>56.956818139786236</v>
      </c>
    </row>
    <row r="105" spans="2:15" x14ac:dyDescent="0.6">
      <c r="B105" s="436" t="s">
        <v>757</v>
      </c>
      <c r="C105" s="437"/>
      <c r="D105" s="437">
        <v>1538.2</v>
      </c>
      <c r="E105" s="437">
        <v>2487.1</v>
      </c>
      <c r="F105" s="437">
        <v>2487.1</v>
      </c>
      <c r="G105" s="437">
        <f>Drivers!G202/12*1000</f>
        <v>6415.2144772117981</v>
      </c>
      <c r="H105" s="437">
        <f>Drivers!H202/12*1000</f>
        <v>9096.2134396809597</v>
      </c>
      <c r="I105" s="437">
        <f>Drivers!I202/12*1000</f>
        <v>10919.084936170215</v>
      </c>
      <c r="J105" s="437">
        <f>Drivers!J202/12*1000</f>
        <v>14374.267600000001</v>
      </c>
      <c r="K105" s="437">
        <f>Drivers!K202/12*1000</f>
        <v>16882.118542978726</v>
      </c>
      <c r="L105" s="437">
        <f>Drivers!L202/12*1000</f>
        <v>20185.141736170215</v>
      </c>
      <c r="M105" s="437">
        <f>Drivers!M202/12*1000</f>
        <v>22647.729027982987</v>
      </c>
      <c r="N105" s="437">
        <f>Drivers!N202/12*1000</f>
        <v>25400.982360796603</v>
      </c>
      <c r="O105" s="437">
        <f>Drivers!O202/12*1000</f>
        <v>28478.409069893118</v>
      </c>
    </row>
    <row r="106" spans="2:15" x14ac:dyDescent="0.6">
      <c r="B106" s="79" t="s">
        <v>817</v>
      </c>
      <c r="C106" s="80"/>
      <c r="D106" s="80">
        <f>D104+D102</f>
        <v>13.7964</v>
      </c>
      <c r="E106" s="80">
        <v>0</v>
      </c>
      <c r="F106" s="80">
        <f>(F104+F102)/8%</f>
        <v>273.80250000000001</v>
      </c>
      <c r="G106" s="80">
        <f t="shared" ref="G106:O106" si="45">(G104+G102)/8%</f>
        <v>506.43024142094902</v>
      </c>
      <c r="H106" s="80">
        <f t="shared" si="45"/>
        <v>683.98007895398507</v>
      </c>
      <c r="I106" s="80">
        <f t="shared" si="45"/>
        <v>821.57770004498832</v>
      </c>
      <c r="J106" s="80">
        <f t="shared" si="45"/>
        <v>1045.8623657228989</v>
      </c>
      <c r="K106" s="80">
        <f t="shared" si="45"/>
        <v>1253.3338281695756</v>
      </c>
      <c r="L106" s="80">
        <f t="shared" si="45"/>
        <v>1486.0271612028014</v>
      </c>
      <c r="M106" s="80">
        <f t="shared" si="45"/>
        <v>1696.392640753071</v>
      </c>
      <c r="N106" s="80">
        <f t="shared" si="45"/>
        <v>1923.8387575063471</v>
      </c>
      <c r="O106" s="80">
        <f t="shared" si="45"/>
        <v>2168.6647653982268</v>
      </c>
    </row>
    <row r="107" spans="2:15" x14ac:dyDescent="0.6">
      <c r="B107" s="433" t="s">
        <v>793</v>
      </c>
      <c r="C107" s="372"/>
      <c r="D107" s="372"/>
      <c r="E107" s="372"/>
      <c r="F107" s="372"/>
      <c r="G107" s="372"/>
      <c r="H107" s="372"/>
      <c r="I107" s="372"/>
      <c r="J107" s="372"/>
      <c r="K107" s="372"/>
      <c r="L107" s="372"/>
      <c r="M107" s="372"/>
      <c r="N107" s="372"/>
      <c r="O107" s="372"/>
    </row>
    <row r="108" spans="2:15" x14ac:dyDescent="0.6">
      <c r="B108" s="79" t="s">
        <v>818</v>
      </c>
      <c r="C108" s="80"/>
      <c r="D108" s="80">
        <v>6.3E-2</v>
      </c>
      <c r="E108" s="80">
        <v>14.824999999999999</v>
      </c>
      <c r="F108" s="80">
        <v>14.824999999999999</v>
      </c>
      <c r="G108" s="80">
        <f>E108*(1+G109)</f>
        <v>29.65</v>
      </c>
      <c r="H108" s="80">
        <f t="shared" ref="H108:O108" si="46">G108*(1+H109)</f>
        <v>44.474999999999994</v>
      </c>
      <c r="I108" s="80">
        <f t="shared" si="46"/>
        <v>66.712499999999991</v>
      </c>
      <c r="J108" s="80">
        <f t="shared" si="46"/>
        <v>100.06874999999999</v>
      </c>
      <c r="K108" s="80">
        <f t="shared" si="46"/>
        <v>120.08249999999998</v>
      </c>
      <c r="L108" s="80">
        <f t="shared" si="46"/>
        <v>144.09899999999996</v>
      </c>
      <c r="M108" s="80">
        <f t="shared" si="46"/>
        <v>172.91879999999995</v>
      </c>
      <c r="N108" s="80">
        <f t="shared" si="46"/>
        <v>207.50255999999993</v>
      </c>
      <c r="O108" s="80">
        <f t="shared" si="46"/>
        <v>249.00307199999992</v>
      </c>
    </row>
    <row r="109" spans="2:15" x14ac:dyDescent="0.6">
      <c r="B109" s="401" t="s">
        <v>759</v>
      </c>
      <c r="C109" s="438"/>
      <c r="D109" s="438"/>
      <c r="E109" s="214"/>
      <c r="F109" s="214">
        <f>F108/E108-1</f>
        <v>0</v>
      </c>
      <c r="G109" s="214">
        <v>1</v>
      </c>
      <c r="H109" s="214">
        <v>0.5</v>
      </c>
      <c r="I109" s="214">
        <v>0.5</v>
      </c>
      <c r="J109" s="214">
        <v>0.5</v>
      </c>
      <c r="K109" s="214">
        <v>0.2</v>
      </c>
      <c r="L109" s="214">
        <v>0.2</v>
      </c>
      <c r="M109" s="214">
        <v>0.2</v>
      </c>
      <c r="N109" s="214">
        <v>0.2</v>
      </c>
      <c r="O109" s="214">
        <v>0.2</v>
      </c>
    </row>
    <row r="110" spans="2:15" x14ac:dyDescent="0.6">
      <c r="B110" s="439" t="s">
        <v>792</v>
      </c>
      <c r="C110" s="82"/>
      <c r="D110" s="82"/>
      <c r="E110" s="82"/>
      <c r="F110" s="82"/>
      <c r="G110" s="82"/>
      <c r="H110" s="82"/>
      <c r="I110" s="82"/>
      <c r="J110" s="82"/>
      <c r="K110" s="82"/>
      <c r="L110" s="82"/>
      <c r="M110" s="82"/>
      <c r="N110" s="82"/>
      <c r="O110" s="82"/>
    </row>
    <row r="111" spans="2:15" x14ac:dyDescent="0.6">
      <c r="B111" s="77" t="s">
        <v>819</v>
      </c>
      <c r="C111" s="78"/>
      <c r="D111" s="78">
        <v>15.442</v>
      </c>
      <c r="E111" s="78">
        <v>238.49700000000001</v>
      </c>
      <c r="F111" s="78">
        <v>238.49700000000001</v>
      </c>
      <c r="G111" s="78">
        <f>E111*(1+G112)</f>
        <v>476.99400000000003</v>
      </c>
      <c r="H111" s="78">
        <f t="shared" ref="H111:O111" si="47">G111*(1+H112)</f>
        <v>715.49099999999999</v>
      </c>
      <c r="I111" s="78">
        <f t="shared" si="47"/>
        <v>1073.2365</v>
      </c>
      <c r="J111" s="78">
        <f t="shared" si="47"/>
        <v>1609.85475</v>
      </c>
      <c r="K111" s="78">
        <f t="shared" si="47"/>
        <v>1931.8256999999999</v>
      </c>
      <c r="L111" s="78">
        <f t="shared" si="47"/>
        <v>2318.1908399999998</v>
      </c>
      <c r="M111" s="78">
        <f t="shared" si="47"/>
        <v>2781.8290079999997</v>
      </c>
      <c r="N111" s="78">
        <f t="shared" si="47"/>
        <v>3338.1948095999996</v>
      </c>
      <c r="O111" s="78">
        <f t="shared" si="47"/>
        <v>4005.8337715199996</v>
      </c>
    </row>
    <row r="112" spans="2:15" x14ac:dyDescent="0.6">
      <c r="B112" s="440" t="s">
        <v>759</v>
      </c>
      <c r="C112" s="441"/>
      <c r="D112" s="441"/>
      <c r="E112" s="393"/>
      <c r="F112" s="393">
        <f>F111/E111-1</f>
        <v>0</v>
      </c>
      <c r="G112" s="393">
        <v>1</v>
      </c>
      <c r="H112" s="393">
        <v>0.5</v>
      </c>
      <c r="I112" s="393">
        <v>0.5</v>
      </c>
      <c r="J112" s="393">
        <v>0.5</v>
      </c>
      <c r="K112" s="393">
        <v>0.2</v>
      </c>
      <c r="L112" s="393">
        <v>0.2</v>
      </c>
      <c r="M112" s="393">
        <v>0.2</v>
      </c>
      <c r="N112" s="393">
        <v>0.2</v>
      </c>
      <c r="O112" s="393">
        <v>0.2</v>
      </c>
    </row>
    <row r="113" spans="2:34" x14ac:dyDescent="0.6">
      <c r="B113" s="77"/>
      <c r="C113" s="77"/>
      <c r="D113" s="77"/>
      <c r="E113" s="77"/>
      <c r="F113" s="77"/>
      <c r="G113" s="77"/>
      <c r="H113" s="77"/>
      <c r="I113" s="77"/>
      <c r="J113" s="77"/>
      <c r="K113" s="77"/>
      <c r="L113" s="77"/>
      <c r="M113" s="77"/>
      <c r="N113" s="77"/>
      <c r="O113" s="77"/>
    </row>
    <row r="114" spans="2:34" x14ac:dyDescent="0.6">
      <c r="B114" s="76" t="s">
        <v>820</v>
      </c>
      <c r="C114" s="462"/>
      <c r="D114" s="462">
        <f t="shared" ref="D114:O114" si="48">D111+D108+D106+D99</f>
        <v>402.14240000000001</v>
      </c>
      <c r="E114" s="462">
        <f t="shared" si="48"/>
        <v>2144.3220000000001</v>
      </c>
      <c r="F114" s="462">
        <f t="shared" si="48"/>
        <v>4968.3517142857145</v>
      </c>
      <c r="G114" s="462">
        <f>G111+G108+G106+G99</f>
        <v>8118.093144823164</v>
      </c>
      <c r="H114" s="462">
        <f t="shared" si="48"/>
        <v>12431.256477369261</v>
      </c>
      <c r="I114" s="462">
        <f t="shared" si="48"/>
        <v>16865.015860457093</v>
      </c>
      <c r="J114" s="462">
        <f t="shared" si="48"/>
        <v>21421.275886173084</v>
      </c>
      <c r="K114" s="462">
        <f t="shared" si="48"/>
        <v>25535.982102790513</v>
      </c>
      <c r="L114" s="462">
        <f t="shared" si="48"/>
        <v>29514.598219830554</v>
      </c>
      <c r="M114" s="462">
        <f t="shared" si="48"/>
        <v>33363.990335800496</v>
      </c>
      <c r="N114" s="462">
        <f t="shared" si="48"/>
        <v>37014.754638987048</v>
      </c>
      <c r="O114" s="462">
        <f t="shared" si="48"/>
        <v>40770.363213978548</v>
      </c>
    </row>
    <row r="115" spans="2:34" x14ac:dyDescent="0.6">
      <c r="B115" s="77"/>
      <c r="C115" s="141"/>
      <c r="D115" s="141"/>
      <c r="E115" s="141"/>
      <c r="F115" s="141"/>
      <c r="G115" s="141"/>
      <c r="H115" s="141"/>
      <c r="I115" s="141"/>
      <c r="J115" s="141"/>
      <c r="K115" s="141"/>
      <c r="L115" s="141"/>
      <c r="M115" s="141"/>
      <c r="N115" s="141"/>
      <c r="O115" s="141"/>
    </row>
    <row r="116" spans="2:34" x14ac:dyDescent="0.6">
      <c r="B116" s="79" t="s">
        <v>763</v>
      </c>
      <c r="C116" s="143"/>
      <c r="D116" s="143">
        <f>D127+D125</f>
        <v>118.61199999999999</v>
      </c>
      <c r="E116" s="143">
        <f>E127+E125</f>
        <v>485.49300000000005</v>
      </c>
      <c r="F116" s="143">
        <v>282.8</v>
      </c>
      <c r="G116" s="143"/>
      <c r="H116" s="143"/>
      <c r="I116" s="143"/>
      <c r="J116" s="143"/>
      <c r="K116" s="143"/>
      <c r="L116" s="143"/>
      <c r="M116" s="143"/>
      <c r="N116" s="143"/>
      <c r="O116" s="143"/>
      <c r="AE116" t="s">
        <v>824</v>
      </c>
      <c r="AF116">
        <v>570</v>
      </c>
    </row>
    <row r="117" spans="2:34" x14ac:dyDescent="0.6">
      <c r="B117" s="77"/>
      <c r="C117" s="141"/>
      <c r="D117" s="141"/>
      <c r="E117" s="141"/>
      <c r="F117" s="141"/>
      <c r="G117" s="141"/>
      <c r="H117" s="141"/>
      <c r="I117" s="141"/>
      <c r="J117" s="141"/>
      <c r="K117" s="141"/>
      <c r="L117" s="141"/>
      <c r="M117" s="141"/>
      <c r="N117" s="141"/>
      <c r="O117" s="141"/>
      <c r="AF117" t="s">
        <v>825</v>
      </c>
    </row>
    <row r="118" spans="2:34" x14ac:dyDescent="0.6">
      <c r="B118" s="79" t="s">
        <v>775</v>
      </c>
      <c r="C118" s="143"/>
      <c r="D118" s="408">
        <f>D116/D114</f>
        <v>0.29495024647985391</v>
      </c>
      <c r="E118" s="408">
        <f>E116/E114</f>
        <v>0.22640862706254006</v>
      </c>
      <c r="F118" s="408">
        <f>F116/F114</f>
        <v>5.6920285894183589E-2</v>
      </c>
      <c r="G118" s="143"/>
      <c r="H118" s="143"/>
      <c r="I118" s="143"/>
      <c r="J118" s="143"/>
      <c r="K118" s="143"/>
      <c r="L118" s="143"/>
      <c r="M118" s="143"/>
      <c r="N118" s="143"/>
      <c r="O118" s="143"/>
      <c r="AF118" t="s">
        <v>826</v>
      </c>
      <c r="AH118">
        <v>72.337000000000003</v>
      </c>
    </row>
    <row r="119" spans="2:34" x14ac:dyDescent="0.6">
      <c r="B119" s="77"/>
      <c r="C119" s="141"/>
      <c r="D119" s="141"/>
      <c r="E119" s="141"/>
      <c r="F119" s="141"/>
      <c r="G119" s="141"/>
      <c r="H119" s="141"/>
      <c r="I119" s="141"/>
      <c r="J119" s="141"/>
      <c r="K119" s="141"/>
      <c r="L119" s="141"/>
      <c r="M119" s="141"/>
      <c r="N119" s="141"/>
      <c r="O119" s="141"/>
      <c r="AF119" t="s">
        <v>827</v>
      </c>
    </row>
    <row r="120" spans="2:34" x14ac:dyDescent="0.6">
      <c r="B120" s="79" t="s">
        <v>791</v>
      </c>
      <c r="C120" s="143"/>
      <c r="D120" s="143">
        <f t="shared" ref="D120:O120" si="49">14%*D114</f>
        <v>56.29993600000001</v>
      </c>
      <c r="E120" s="143">
        <f t="shared" si="49"/>
        <v>300.20508000000007</v>
      </c>
      <c r="F120" s="143">
        <f>14%*F114</f>
        <v>695.56924000000015</v>
      </c>
      <c r="G120" s="143">
        <f t="shared" si="49"/>
        <v>1136.5330402752431</v>
      </c>
      <c r="H120" s="143">
        <f t="shared" si="49"/>
        <v>1740.3759068316967</v>
      </c>
      <c r="I120" s="143">
        <f t="shared" si="49"/>
        <v>2361.1022204639935</v>
      </c>
      <c r="J120" s="143">
        <f t="shared" si="49"/>
        <v>2998.978624064232</v>
      </c>
      <c r="K120" s="143">
        <f t="shared" si="49"/>
        <v>3575.0374943906722</v>
      </c>
      <c r="L120" s="143">
        <f t="shared" si="49"/>
        <v>4132.0437507762781</v>
      </c>
      <c r="M120" s="143">
        <f t="shared" si="49"/>
        <v>4670.9586470120703</v>
      </c>
      <c r="N120" s="143">
        <f t="shared" si="49"/>
        <v>5182.0656494581872</v>
      </c>
      <c r="O120" s="143">
        <f t="shared" si="49"/>
        <v>5707.8508499569971</v>
      </c>
    </row>
    <row r="121" spans="2:34" ht="15.9" thickBot="1" x14ac:dyDescent="0.65">
      <c r="B121" s="77"/>
      <c r="C121" s="77"/>
      <c r="D121" s="77"/>
      <c r="E121" s="77"/>
      <c r="F121" s="77"/>
      <c r="G121" s="77"/>
      <c r="H121" s="77"/>
      <c r="I121" s="77"/>
      <c r="J121" s="77"/>
      <c r="K121" s="77"/>
      <c r="L121" s="77"/>
      <c r="M121" s="77"/>
      <c r="N121" s="77"/>
      <c r="O121" s="77"/>
    </row>
    <row r="122" spans="2:34" ht="15.9" thickBot="1" x14ac:dyDescent="0.65">
      <c r="B122" s="81" t="s">
        <v>776</v>
      </c>
      <c r="C122" s="431"/>
      <c r="D122" s="462">
        <f t="shared" ref="D122:O122" si="50">D116-D120</f>
        <v>62.312063999999985</v>
      </c>
      <c r="E122" s="462">
        <f t="shared" si="50"/>
        <v>185.28791999999999</v>
      </c>
      <c r="F122" s="467">
        <f t="shared" si="50"/>
        <v>-412.76924000000014</v>
      </c>
      <c r="G122" s="462">
        <f t="shared" si="50"/>
        <v>-1136.5330402752431</v>
      </c>
      <c r="H122" s="462">
        <f t="shared" si="50"/>
        <v>-1740.3759068316967</v>
      </c>
      <c r="I122" s="462">
        <f t="shared" si="50"/>
        <v>-2361.1022204639935</v>
      </c>
      <c r="J122" s="462">
        <f t="shared" si="50"/>
        <v>-2998.978624064232</v>
      </c>
      <c r="K122" s="462">
        <f t="shared" si="50"/>
        <v>-3575.0374943906722</v>
      </c>
      <c r="L122" s="462">
        <f t="shared" si="50"/>
        <v>-4132.0437507762781</v>
      </c>
      <c r="M122" s="462">
        <f t="shared" si="50"/>
        <v>-4670.9586470120703</v>
      </c>
      <c r="N122" s="462">
        <f t="shared" si="50"/>
        <v>-5182.0656494581872</v>
      </c>
      <c r="O122" s="462">
        <f t="shared" si="50"/>
        <v>-5707.8508499569971</v>
      </c>
    </row>
    <row r="123" spans="2:34" x14ac:dyDescent="0.6">
      <c r="B123" s="79"/>
      <c r="C123" s="80"/>
      <c r="D123" s="80"/>
      <c r="E123" s="80"/>
      <c r="F123" s="80"/>
      <c r="G123" s="80"/>
      <c r="H123" s="80"/>
      <c r="I123" s="80"/>
      <c r="J123" s="80"/>
      <c r="K123" s="80"/>
      <c r="L123" s="80"/>
      <c r="M123" s="80"/>
      <c r="N123" s="80"/>
      <c r="O123" s="80"/>
    </row>
    <row r="124" spans="2:34" x14ac:dyDescent="0.6">
      <c r="B124" s="77"/>
      <c r="C124" s="141"/>
      <c r="D124" s="141"/>
      <c r="E124" s="141"/>
      <c r="F124" s="141"/>
      <c r="G124" s="141"/>
      <c r="H124" s="141"/>
      <c r="I124" s="141"/>
      <c r="J124" s="141"/>
      <c r="K124" s="141"/>
      <c r="L124" s="141"/>
      <c r="M124" s="141"/>
      <c r="N124" s="141"/>
      <c r="O124" s="141"/>
    </row>
    <row r="125" spans="2:34" x14ac:dyDescent="0.6">
      <c r="B125" s="79" t="s">
        <v>533</v>
      </c>
      <c r="C125" s="143"/>
      <c r="D125" s="143">
        <v>101.229</v>
      </c>
      <c r="E125" s="143">
        <v>467.22</v>
      </c>
      <c r="F125" s="143">
        <v>467.22</v>
      </c>
      <c r="G125" s="143"/>
      <c r="H125" s="143"/>
      <c r="I125" s="143"/>
      <c r="J125" s="143"/>
      <c r="K125" s="143"/>
      <c r="L125" s="143"/>
      <c r="M125" s="143"/>
      <c r="N125" s="143"/>
      <c r="O125" s="143"/>
    </row>
    <row r="126" spans="2:34" x14ac:dyDescent="0.6">
      <c r="B126" s="390" t="s">
        <v>774</v>
      </c>
      <c r="C126" s="141"/>
      <c r="D126" s="141">
        <v>101.229</v>
      </c>
      <c r="E126" s="141">
        <v>467.22</v>
      </c>
      <c r="F126" s="141">
        <v>467.22</v>
      </c>
      <c r="G126" s="141"/>
      <c r="H126" s="141"/>
      <c r="I126" s="141"/>
      <c r="J126" s="141"/>
      <c r="K126" s="141"/>
      <c r="L126" s="141"/>
      <c r="M126" s="141"/>
      <c r="N126" s="141"/>
      <c r="O126" s="141"/>
    </row>
    <row r="127" spans="2:34" x14ac:dyDescent="0.6">
      <c r="B127" s="79" t="s">
        <v>773</v>
      </c>
      <c r="C127" s="143"/>
      <c r="D127" s="143">
        <v>17.382999999999999</v>
      </c>
      <c r="E127" s="143">
        <v>18.273</v>
      </c>
      <c r="F127" s="143">
        <v>18</v>
      </c>
      <c r="G127" s="143"/>
      <c r="H127" s="143"/>
      <c r="I127" s="143"/>
      <c r="J127" s="143"/>
      <c r="K127" s="143"/>
      <c r="L127" s="143"/>
      <c r="M127" s="143"/>
      <c r="N127" s="143"/>
      <c r="O127" s="143"/>
    </row>
    <row r="128" spans="2:34" x14ac:dyDescent="0.6">
      <c r="B128" s="77"/>
      <c r="C128" s="141"/>
      <c r="D128" s="141"/>
      <c r="E128" s="141"/>
      <c r="F128" s="141"/>
      <c r="G128" s="141"/>
      <c r="H128" s="141"/>
      <c r="I128" s="141"/>
      <c r="J128" s="141"/>
      <c r="K128" s="141"/>
      <c r="L128" s="141"/>
      <c r="M128" s="141"/>
      <c r="N128" s="141"/>
      <c r="O128" s="141"/>
    </row>
    <row r="129" spans="2:29" x14ac:dyDescent="0.6">
      <c r="B129" s="79"/>
      <c r="C129" s="79"/>
      <c r="D129" s="79"/>
      <c r="E129" s="79"/>
      <c r="F129" s="79"/>
      <c r="G129" s="79"/>
      <c r="H129" s="79"/>
      <c r="I129" s="79"/>
      <c r="J129" s="79"/>
      <c r="K129" s="79"/>
      <c r="L129" s="79"/>
      <c r="M129" s="79"/>
      <c r="N129" s="79"/>
      <c r="O129" s="79"/>
    </row>
    <row r="130" spans="2:29" x14ac:dyDescent="0.6">
      <c r="B130" s="77"/>
      <c r="C130" s="77"/>
      <c r="D130" s="77"/>
      <c r="E130" s="77"/>
      <c r="F130" s="77"/>
      <c r="G130" s="77"/>
      <c r="H130" s="77"/>
      <c r="I130" s="77"/>
      <c r="J130" s="77"/>
      <c r="K130" s="77"/>
      <c r="L130" s="77"/>
      <c r="M130" s="77"/>
      <c r="N130" s="77"/>
      <c r="O130" s="77"/>
    </row>
    <row r="131" spans="2:29" x14ac:dyDescent="0.6">
      <c r="B131" s="79" t="s">
        <v>790</v>
      </c>
      <c r="C131" s="143"/>
      <c r="D131" s="143">
        <f t="shared" ref="D131:O131" si="51">D114*10.5%</f>
        <v>42.224952000000002</v>
      </c>
      <c r="E131" s="143">
        <f t="shared" si="51"/>
        <v>225.15380999999999</v>
      </c>
      <c r="F131" s="143">
        <f t="shared" si="51"/>
        <v>521.67692999999997</v>
      </c>
      <c r="G131" s="143">
        <f t="shared" si="51"/>
        <v>852.39978020643218</v>
      </c>
      <c r="H131" s="143">
        <f t="shared" si="51"/>
        <v>1305.2819301237723</v>
      </c>
      <c r="I131" s="143">
        <f t="shared" si="51"/>
        <v>1770.8266653479948</v>
      </c>
      <c r="J131" s="143">
        <f t="shared" si="51"/>
        <v>2249.2339680481737</v>
      </c>
      <c r="K131" s="143">
        <f t="shared" si="51"/>
        <v>2681.2781207930038</v>
      </c>
      <c r="L131" s="143">
        <f t="shared" si="51"/>
        <v>3099.0328130822081</v>
      </c>
      <c r="M131" s="143">
        <f t="shared" si="51"/>
        <v>3503.2189852590518</v>
      </c>
      <c r="N131" s="143">
        <f t="shared" si="51"/>
        <v>3886.5492370936399</v>
      </c>
      <c r="O131" s="143">
        <f t="shared" si="51"/>
        <v>4280.8881374677476</v>
      </c>
    </row>
    <row r="132" spans="2:29" x14ac:dyDescent="0.6">
      <c r="B132" s="77"/>
      <c r="C132" s="141"/>
      <c r="D132" s="141"/>
      <c r="E132" s="141"/>
      <c r="F132" s="141"/>
      <c r="G132" s="141"/>
      <c r="H132" s="141"/>
      <c r="I132" s="141"/>
      <c r="J132" s="141"/>
      <c r="K132" s="141"/>
      <c r="L132" s="141"/>
      <c r="M132" s="141"/>
      <c r="N132" s="141"/>
      <c r="O132" s="141"/>
    </row>
    <row r="133" spans="2:29" x14ac:dyDescent="0.6">
      <c r="B133" s="79"/>
      <c r="C133" s="79"/>
      <c r="D133" s="79"/>
      <c r="E133" s="79"/>
      <c r="F133" s="79"/>
      <c r="G133" s="79"/>
      <c r="H133" s="79"/>
      <c r="I133" s="79"/>
      <c r="J133" s="79"/>
      <c r="K133" s="79"/>
      <c r="L133" s="79"/>
      <c r="M133" s="79"/>
      <c r="N133" s="79"/>
      <c r="O133" s="79"/>
    </row>
    <row r="134" spans="2:29" x14ac:dyDescent="0.6">
      <c r="B134" s="128" t="s">
        <v>362</v>
      </c>
      <c r="C134" s="128">
        <v>2019</v>
      </c>
      <c r="D134" s="129">
        <v>2020</v>
      </c>
      <c r="E134" s="129" t="s">
        <v>764</v>
      </c>
      <c r="F134" s="129" t="s">
        <v>765</v>
      </c>
      <c r="G134" s="129">
        <v>2022</v>
      </c>
      <c r="H134" s="129">
        <v>2023</v>
      </c>
      <c r="I134" s="129">
        <v>2024</v>
      </c>
      <c r="J134" s="129">
        <v>2025</v>
      </c>
      <c r="K134" s="129">
        <v>2026</v>
      </c>
      <c r="L134" s="129">
        <v>2027</v>
      </c>
      <c r="M134" s="129">
        <v>2028</v>
      </c>
      <c r="N134" s="129">
        <v>2029</v>
      </c>
      <c r="O134" s="129">
        <v>2030</v>
      </c>
    </row>
    <row r="135" spans="2:29" x14ac:dyDescent="0.6">
      <c r="B135" s="77" t="s">
        <v>766</v>
      </c>
      <c r="C135" s="141"/>
      <c r="D135" s="78">
        <v>500</v>
      </c>
      <c r="E135" s="78">
        <v>2000</v>
      </c>
      <c r="F135" s="78">
        <v>2000</v>
      </c>
      <c r="G135" s="78">
        <f>G136+G138+G140</f>
        <v>3059.7020750967472</v>
      </c>
      <c r="H135" s="78">
        <f t="shared" ref="H135:O135" si="52">H136+H138+H140</f>
        <v>5131.6908073285067</v>
      </c>
      <c r="I135" s="78">
        <f t="shared" si="52"/>
        <v>7105.4411987346284</v>
      </c>
      <c r="J135" s="78">
        <f t="shared" si="52"/>
        <v>9381.9129097059777</v>
      </c>
      <c r="K135" s="78">
        <f t="shared" si="52"/>
        <v>11792.647597443207</v>
      </c>
      <c r="L135" s="78">
        <f t="shared" si="52"/>
        <v>14066.613725710875</v>
      </c>
      <c r="M135" s="78">
        <f t="shared" si="52"/>
        <v>16299.476693608331</v>
      </c>
      <c r="N135" s="78">
        <f t="shared" si="52"/>
        <v>18171.039421133035</v>
      </c>
      <c r="O135" s="78">
        <f t="shared" si="52"/>
        <v>20080.216006201568</v>
      </c>
    </row>
    <row r="136" spans="2:29" x14ac:dyDescent="0.6">
      <c r="B136" s="391" t="s">
        <v>767</v>
      </c>
      <c r="C136" s="143"/>
      <c r="D136" s="80">
        <v>96.557333333333347</v>
      </c>
      <c r="E136" s="80">
        <f>E135-E140-E138</f>
        <v>468.19000000000005</v>
      </c>
      <c r="F136" s="80">
        <f>F135-F140-F138</f>
        <v>468.19000000000005</v>
      </c>
      <c r="G136" s="80">
        <f>G137*Master!G$154</f>
        <v>806.31906076770224</v>
      </c>
      <c r="H136" s="80">
        <f>H137*Master!H$154</f>
        <v>1196.6013979256934</v>
      </c>
      <c r="I136" s="80">
        <f>I137*Master!I$154</f>
        <v>1604.9145385354941</v>
      </c>
      <c r="J136" s="80">
        <f>J137*Master!J$154</f>
        <v>1949.3256890855275</v>
      </c>
      <c r="K136" s="80">
        <f>K137*Master!K$154</f>
        <v>2243.8769769346432</v>
      </c>
      <c r="L136" s="80">
        <f>L137*Master!L$154</f>
        <v>2517.1176232429916</v>
      </c>
      <c r="M136" s="80">
        <f>M137*Master!M$154</f>
        <v>2763.8491243612725</v>
      </c>
      <c r="N136" s="80">
        <f>N137*Master!N$154</f>
        <v>3003.3350381123105</v>
      </c>
      <c r="O136" s="80">
        <f>O137*Master!O$154</f>
        <v>3232.9417906671647</v>
      </c>
    </row>
    <row r="137" spans="2:29" x14ac:dyDescent="0.6">
      <c r="B137" s="442" t="s">
        <v>769</v>
      </c>
      <c r="C137" s="141"/>
      <c r="D137" s="214">
        <f>D136/Master!E$154</f>
        <v>3.3193761673943188E-2</v>
      </c>
      <c r="E137" s="214">
        <f>E136/Master!F$154</f>
        <v>9.7937454241188174E-2</v>
      </c>
      <c r="F137" s="214">
        <f>F136/Master!F$154</f>
        <v>9.7937454241188174E-2</v>
      </c>
      <c r="G137" s="387">
        <f>F137</f>
        <v>9.7937454241188174E-2</v>
      </c>
      <c r="H137" s="387">
        <f t="shared" ref="H137:O139" si="53">G137</f>
        <v>9.7937454241188174E-2</v>
      </c>
      <c r="I137" s="387">
        <f t="shared" si="53"/>
        <v>9.7937454241188174E-2</v>
      </c>
      <c r="J137" s="387">
        <f t="shared" si="53"/>
        <v>9.7937454241188174E-2</v>
      </c>
      <c r="K137" s="387">
        <f t="shared" si="53"/>
        <v>9.7937454241188174E-2</v>
      </c>
      <c r="L137" s="387">
        <f t="shared" si="53"/>
        <v>9.7937454241188174E-2</v>
      </c>
      <c r="M137" s="387">
        <f t="shared" si="53"/>
        <v>9.7937454241188174E-2</v>
      </c>
      <c r="N137" s="387">
        <f t="shared" si="53"/>
        <v>9.7937454241188174E-2</v>
      </c>
      <c r="O137" s="387">
        <f t="shared" si="53"/>
        <v>9.7937454241188174E-2</v>
      </c>
    </row>
    <row r="138" spans="2:29" x14ac:dyDescent="0.6">
      <c r="B138" s="391" t="s">
        <v>768</v>
      </c>
      <c r="C138" s="143"/>
      <c r="D138" s="80">
        <v>199.66</v>
      </c>
      <c r="E138" s="80">
        <v>337</v>
      </c>
      <c r="F138" s="80">
        <v>337</v>
      </c>
      <c r="G138" s="80">
        <f>G139*Master!G$154</f>
        <v>580.38301432904507</v>
      </c>
      <c r="H138" s="80">
        <f>H139*Master!H$154</f>
        <v>861.3056047778864</v>
      </c>
      <c r="I138" s="80">
        <f>I139*Master!I$154</f>
        <v>1155.206645777273</v>
      </c>
      <c r="J138" s="80">
        <f>J139*Master!J$154</f>
        <v>1403.111465904489</v>
      </c>
      <c r="K138" s="80">
        <f>K139*Master!K$154</f>
        <v>1615.1274935965628</v>
      </c>
      <c r="L138" s="80">
        <f>L139*Master!L$154</f>
        <v>1811.8042654325982</v>
      </c>
      <c r="M138" s="80">
        <f>M139*Master!M$154</f>
        <v>1989.3999335947988</v>
      </c>
      <c r="N138" s="80">
        <f>N139*Master!N$154</f>
        <v>2161.7802769043519</v>
      </c>
      <c r="O138" s="80">
        <f>O139*Master!O$154</f>
        <v>2327.0496667054708</v>
      </c>
    </row>
    <row r="139" spans="2:29" x14ac:dyDescent="0.6">
      <c r="B139" s="442" t="s">
        <v>769</v>
      </c>
      <c r="C139" s="141"/>
      <c r="D139" s="214">
        <f>D138/Master!E$154</f>
        <v>6.863762934442573E-2</v>
      </c>
      <c r="E139" s="214">
        <f>E138/Master!F$154</f>
        <v>7.0494718125719072E-2</v>
      </c>
      <c r="F139" s="214">
        <f>F138/Master!F$154</f>
        <v>7.0494718125719072E-2</v>
      </c>
      <c r="G139" s="387">
        <f>F139</f>
        <v>7.0494718125719072E-2</v>
      </c>
      <c r="H139" s="387">
        <f t="shared" si="53"/>
        <v>7.0494718125719072E-2</v>
      </c>
      <c r="I139" s="387">
        <f t="shared" si="53"/>
        <v>7.0494718125719072E-2</v>
      </c>
      <c r="J139" s="387">
        <f t="shared" si="53"/>
        <v>7.0494718125719072E-2</v>
      </c>
      <c r="K139" s="387">
        <f t="shared" si="53"/>
        <v>7.0494718125719072E-2</v>
      </c>
      <c r="L139" s="387">
        <f t="shared" si="53"/>
        <v>7.0494718125719072E-2</v>
      </c>
      <c r="M139" s="387">
        <f t="shared" si="53"/>
        <v>7.0494718125719072E-2</v>
      </c>
      <c r="N139" s="387">
        <f t="shared" si="53"/>
        <v>7.0494718125719072E-2</v>
      </c>
      <c r="O139" s="387">
        <f t="shared" si="53"/>
        <v>7.0494718125719072E-2</v>
      </c>
    </row>
    <row r="140" spans="2:29" x14ac:dyDescent="0.6">
      <c r="B140" s="434" t="s">
        <v>753</v>
      </c>
      <c r="C140" s="311">
        <f>Master!D155</f>
        <v>58</v>
      </c>
      <c r="D140" s="311">
        <f>Master!E155</f>
        <v>202.32558139534882</v>
      </c>
      <c r="E140" s="311">
        <f>Master!F155</f>
        <v>1194.81</v>
      </c>
      <c r="F140" s="311">
        <f>Master!F155</f>
        <v>1194.81</v>
      </c>
      <c r="G140" s="311">
        <f>Master!G155</f>
        <v>1673</v>
      </c>
      <c r="H140" s="311">
        <f>Master!H155</f>
        <v>3073.7838046249276</v>
      </c>
      <c r="I140" s="311">
        <f>Master!I155</f>
        <v>4345.3200144218608</v>
      </c>
      <c r="J140" s="311">
        <f>Master!J155</f>
        <v>6029.4757547159606</v>
      </c>
      <c r="K140" s="311">
        <f>Master!K155</f>
        <v>7933.6431269120003</v>
      </c>
      <c r="L140" s="311">
        <f>Master!L155</f>
        <v>9737.6918370352851</v>
      </c>
      <c r="M140" s="311">
        <f>Master!M155</f>
        <v>11546.22763565226</v>
      </c>
      <c r="N140" s="311">
        <f>Master!N155</f>
        <v>13005.924106116374</v>
      </c>
      <c r="O140" s="311">
        <f>Master!O155</f>
        <v>14520.224548828932</v>
      </c>
    </row>
    <row r="141" spans="2:29" s="422" customFormat="1" x14ac:dyDescent="0.6">
      <c r="B141" s="443"/>
      <c r="C141" s="444"/>
      <c r="D141" s="444"/>
      <c r="E141" s="444"/>
      <c r="F141" s="444"/>
      <c r="G141" s="444"/>
      <c r="H141" s="444"/>
      <c r="I141" s="444"/>
      <c r="J141" s="444"/>
      <c r="K141" s="444"/>
      <c r="L141" s="444"/>
      <c r="M141" s="444"/>
      <c r="N141" s="444"/>
      <c r="O141" s="444"/>
    </row>
    <row r="142" spans="2:29" s="422" customFormat="1" x14ac:dyDescent="0.6">
      <c r="B142" s="460" t="s">
        <v>811</v>
      </c>
      <c r="C142" s="444"/>
      <c r="D142" s="444"/>
      <c r="E142" s="444"/>
      <c r="F142" s="444"/>
      <c r="G142" s="444"/>
      <c r="H142" s="444"/>
      <c r="I142" s="444"/>
      <c r="J142" s="444"/>
      <c r="K142" s="444"/>
      <c r="L142" s="444"/>
      <c r="M142" s="444"/>
      <c r="N142" s="444"/>
      <c r="O142" s="444"/>
    </row>
    <row r="143" spans="2:29" x14ac:dyDescent="0.6">
      <c r="B143" s="128" t="s">
        <v>417</v>
      </c>
      <c r="C143" s="128">
        <v>2019</v>
      </c>
      <c r="D143" s="129">
        <v>2020</v>
      </c>
      <c r="E143" s="129" t="s">
        <v>764</v>
      </c>
      <c r="F143" s="129" t="s">
        <v>765</v>
      </c>
      <c r="G143" s="129">
        <v>2022</v>
      </c>
      <c r="H143" s="129">
        <v>2023</v>
      </c>
      <c r="I143" s="129">
        <v>2024</v>
      </c>
      <c r="J143" s="129">
        <v>2025</v>
      </c>
      <c r="K143" s="129">
        <v>2026</v>
      </c>
      <c r="L143" s="129">
        <v>2027</v>
      </c>
      <c r="M143" s="129">
        <v>2028</v>
      </c>
      <c r="N143" s="129">
        <v>2029</v>
      </c>
      <c r="O143" s="129">
        <v>2030</v>
      </c>
      <c r="P143" s="423"/>
      <c r="Q143" s="423"/>
      <c r="R143" s="423"/>
      <c r="S143" s="423"/>
      <c r="T143" s="423"/>
      <c r="U143" s="423"/>
      <c r="V143" s="423"/>
      <c r="W143" s="423"/>
      <c r="X143" s="423"/>
      <c r="Y143" s="423"/>
      <c r="Z143" s="423"/>
      <c r="AA143" s="423"/>
      <c r="AB143" s="423"/>
      <c r="AC143" s="423"/>
    </row>
    <row r="144" spans="2:29" x14ac:dyDescent="0.6">
      <c r="B144" s="77" t="s">
        <v>784</v>
      </c>
      <c r="C144" s="77"/>
      <c r="D144" s="78">
        <v>3118</v>
      </c>
      <c r="E144" s="78">
        <v>5162</v>
      </c>
      <c r="F144" s="78">
        <v>5162</v>
      </c>
      <c r="G144" s="78">
        <f t="shared" ref="G144:O144" si="54">G159</f>
        <v>8890.0211274971243</v>
      </c>
      <c r="H144" s="78">
        <f t="shared" si="54"/>
        <v>13193.05499069273</v>
      </c>
      <c r="I144" s="78">
        <f t="shared" si="54"/>
        <v>17694.886366475621</v>
      </c>
      <c r="J144" s="78">
        <f t="shared" si="54"/>
        <v>21492.170287830781</v>
      </c>
      <c r="K144" s="78">
        <f t="shared" si="54"/>
        <v>24739.727364823313</v>
      </c>
      <c r="L144" s="78">
        <f t="shared" si="54"/>
        <v>27752.325276448279</v>
      </c>
      <c r="M144" s="78">
        <f t="shared" si="54"/>
        <v>30472.648240998067</v>
      </c>
      <c r="N144" s="78">
        <f t="shared" si="54"/>
        <v>33113.085428428079</v>
      </c>
      <c r="O144" s="78">
        <f t="shared" si="54"/>
        <v>35644.600532740769</v>
      </c>
      <c r="P144" s="423"/>
      <c r="Q144" s="423"/>
      <c r="R144" s="423"/>
      <c r="S144" s="423"/>
      <c r="T144" s="423"/>
      <c r="U144" s="423"/>
      <c r="V144" s="423"/>
      <c r="W144" s="423"/>
      <c r="X144" s="423"/>
      <c r="Y144" s="423"/>
      <c r="Z144" s="423"/>
      <c r="AA144" s="423"/>
      <c r="AB144" s="423"/>
      <c r="AC144" s="423"/>
    </row>
    <row r="145" spans="2:35" x14ac:dyDescent="0.6">
      <c r="B145" s="79" t="s">
        <v>783</v>
      </c>
      <c r="C145" s="143"/>
      <c r="D145" s="80">
        <f>D146*D144</f>
        <v>2026.7</v>
      </c>
      <c r="E145" s="80">
        <f>E146*E144</f>
        <v>3355.3</v>
      </c>
      <c r="F145" s="80">
        <f t="shared" ref="F145:O145" si="55">F146*F144</f>
        <v>3355.3</v>
      </c>
      <c r="G145" s="80">
        <f t="shared" si="55"/>
        <v>5778.5137328731307</v>
      </c>
      <c r="H145" s="80">
        <f t="shared" si="55"/>
        <v>8575.4857439502739</v>
      </c>
      <c r="I145" s="80">
        <f t="shared" si="55"/>
        <v>11501.676138209154</v>
      </c>
      <c r="J145" s="80">
        <f t="shared" si="55"/>
        <v>13969.910687090009</v>
      </c>
      <c r="K145" s="80">
        <f t="shared" si="55"/>
        <v>16080.822787135154</v>
      </c>
      <c r="L145" s="80">
        <f t="shared" si="55"/>
        <v>18039.011429691382</v>
      </c>
      <c r="M145" s="80">
        <f t="shared" si="55"/>
        <v>19807.221356648744</v>
      </c>
      <c r="N145" s="80">
        <f t="shared" si="55"/>
        <v>21523.505528478254</v>
      </c>
      <c r="O145" s="80">
        <f t="shared" si="55"/>
        <v>23168.990346281502</v>
      </c>
      <c r="P145" s="423"/>
      <c r="Q145" s="423"/>
      <c r="R145" s="423"/>
      <c r="S145" s="423"/>
      <c r="T145" s="423"/>
      <c r="U145" s="423"/>
      <c r="V145" s="423"/>
      <c r="W145" s="423"/>
      <c r="X145" s="423"/>
      <c r="Y145" s="423"/>
      <c r="Z145" s="423"/>
      <c r="AA145" s="423"/>
      <c r="AB145" s="423"/>
      <c r="AC145" s="423"/>
      <c r="AE145" t="s">
        <v>823</v>
      </c>
    </row>
    <row r="146" spans="2:35" ht="15.9" thickBot="1" x14ac:dyDescent="0.65">
      <c r="B146" s="401" t="s">
        <v>828</v>
      </c>
      <c r="C146" s="141"/>
      <c r="D146" s="214">
        <v>0.65</v>
      </c>
      <c r="E146" s="214">
        <v>0.65</v>
      </c>
      <c r="F146" s="214">
        <v>0.65</v>
      </c>
      <c r="G146" s="214">
        <v>0.65</v>
      </c>
      <c r="H146" s="214">
        <v>0.65</v>
      </c>
      <c r="I146" s="214">
        <v>0.65</v>
      </c>
      <c r="J146" s="214">
        <v>0.65</v>
      </c>
      <c r="K146" s="214">
        <v>0.65</v>
      </c>
      <c r="L146" s="214">
        <v>0.65</v>
      </c>
      <c r="M146" s="214">
        <v>0.65</v>
      </c>
      <c r="N146" s="214">
        <v>0.65</v>
      </c>
      <c r="O146" s="214">
        <v>0.65</v>
      </c>
      <c r="P146" s="423"/>
      <c r="Q146" s="423"/>
      <c r="R146" s="423"/>
      <c r="S146" s="423"/>
      <c r="T146" s="423"/>
      <c r="U146" s="423"/>
      <c r="V146" s="423"/>
      <c r="W146" s="423"/>
      <c r="X146" s="423"/>
      <c r="Y146" s="423"/>
      <c r="Z146" s="423"/>
      <c r="AA146" s="423"/>
      <c r="AB146" s="423"/>
      <c r="AC146" s="423"/>
    </row>
    <row r="147" spans="2:35" x14ac:dyDescent="0.6">
      <c r="B147" s="448" t="s">
        <v>788</v>
      </c>
      <c r="C147" s="143"/>
      <c r="D147" s="393">
        <v>0</v>
      </c>
      <c r="E147" s="465">
        <v>0</v>
      </c>
      <c r="F147" s="466">
        <v>0.45</v>
      </c>
      <c r="G147" s="393">
        <v>0.45</v>
      </c>
      <c r="H147" s="393">
        <v>0.45</v>
      </c>
      <c r="I147" s="393">
        <v>0.45</v>
      </c>
      <c r="J147" s="393">
        <v>0.45</v>
      </c>
      <c r="K147" s="393">
        <v>0.45</v>
      </c>
      <c r="L147" s="393">
        <v>0.45</v>
      </c>
      <c r="M147" s="393">
        <v>0.45</v>
      </c>
      <c r="N147" s="393">
        <v>0.45</v>
      </c>
      <c r="O147" s="393">
        <v>0.45</v>
      </c>
      <c r="P147" s="423"/>
      <c r="Q147" s="423"/>
      <c r="R147" s="423"/>
      <c r="S147" s="423"/>
      <c r="T147" s="423"/>
      <c r="U147" s="423"/>
      <c r="V147" s="423"/>
      <c r="W147" s="423"/>
      <c r="X147" s="423"/>
      <c r="Y147" s="423"/>
      <c r="Z147" s="423"/>
      <c r="AA147" s="423"/>
      <c r="AB147" s="423"/>
      <c r="AC147" s="423"/>
      <c r="AI147">
        <v>5200</v>
      </c>
    </row>
    <row r="148" spans="2:35" ht="15.9" thickBot="1" x14ac:dyDescent="0.65">
      <c r="B148" s="447" t="s">
        <v>831</v>
      </c>
      <c r="C148" s="141"/>
      <c r="D148" s="78">
        <f t="shared" ref="D148:O148" si="56">D147*D145</f>
        <v>0</v>
      </c>
      <c r="E148" s="463">
        <f t="shared" si="56"/>
        <v>0</v>
      </c>
      <c r="F148" s="464">
        <f t="shared" si="56"/>
        <v>1509.8850000000002</v>
      </c>
      <c r="G148" s="78">
        <f t="shared" si="56"/>
        <v>2600.3311797929091</v>
      </c>
      <c r="H148" s="78">
        <f t="shared" si="56"/>
        <v>3858.9685847776232</v>
      </c>
      <c r="I148" s="78">
        <f t="shared" si="56"/>
        <v>5175.7542621941193</v>
      </c>
      <c r="J148" s="78">
        <f t="shared" si="56"/>
        <v>6286.4598091905036</v>
      </c>
      <c r="K148" s="78">
        <f t="shared" si="56"/>
        <v>7236.3702542108194</v>
      </c>
      <c r="L148" s="78">
        <f t="shared" si="56"/>
        <v>8117.5551433611217</v>
      </c>
      <c r="M148" s="78">
        <f t="shared" si="56"/>
        <v>8913.2496104919355</v>
      </c>
      <c r="N148" s="78">
        <f t="shared" si="56"/>
        <v>9685.5774878152151</v>
      </c>
      <c r="O148" s="78">
        <f t="shared" si="56"/>
        <v>10426.045655826676</v>
      </c>
      <c r="P148" s="423"/>
      <c r="Q148" s="423"/>
      <c r="R148" s="423"/>
      <c r="S148" s="423"/>
      <c r="T148" s="423"/>
      <c r="U148" s="423"/>
      <c r="V148" s="423"/>
      <c r="W148" s="423"/>
      <c r="X148" s="423"/>
      <c r="Y148" s="423"/>
      <c r="Z148" s="423"/>
      <c r="AA148" s="423"/>
      <c r="AB148" s="423"/>
      <c r="AC148" s="423"/>
      <c r="AI148" s="234">
        <v>0.65</v>
      </c>
    </row>
    <row r="149" spans="2:35" x14ac:dyDescent="0.6">
      <c r="B149" s="448"/>
      <c r="C149" s="143"/>
      <c r="D149" s="80"/>
      <c r="E149" s="80"/>
      <c r="F149" s="80"/>
      <c r="G149" s="80"/>
      <c r="H149" s="80"/>
      <c r="I149" s="80"/>
      <c r="J149" s="80"/>
      <c r="K149" s="80"/>
      <c r="L149" s="80"/>
      <c r="M149" s="80"/>
      <c r="N149" s="80"/>
      <c r="O149" s="80"/>
      <c r="P149" s="423"/>
      <c r="Q149" s="423"/>
      <c r="R149" s="423"/>
      <c r="S149" s="423"/>
      <c r="T149" s="423"/>
      <c r="U149" s="423"/>
      <c r="V149" s="423"/>
      <c r="W149" s="423"/>
      <c r="X149" s="423"/>
      <c r="Y149" s="423"/>
      <c r="Z149" s="423"/>
      <c r="AA149" s="423"/>
      <c r="AB149" s="423"/>
      <c r="AC149" s="423"/>
      <c r="AI149" s="234">
        <v>0.35</v>
      </c>
    </row>
    <row r="150" spans="2:35" x14ac:dyDescent="0.6">
      <c r="B150" s="447" t="s">
        <v>785</v>
      </c>
      <c r="C150" s="141"/>
      <c r="D150" s="445">
        <f>D151*D144</f>
        <v>1091.3</v>
      </c>
      <c r="E150" s="445">
        <f>E151*E144</f>
        <v>1806.6999999999998</v>
      </c>
      <c r="F150" s="445">
        <f t="shared" ref="F150:O150" si="57">F151*F144</f>
        <v>1806.6999999999998</v>
      </c>
      <c r="G150" s="445">
        <f t="shared" si="57"/>
        <v>3111.5073946239932</v>
      </c>
      <c r="H150" s="445">
        <f t="shared" si="57"/>
        <v>4617.5692467424551</v>
      </c>
      <c r="I150" s="445">
        <f t="shared" si="57"/>
        <v>6193.2102282664673</v>
      </c>
      <c r="J150" s="445">
        <f t="shared" si="57"/>
        <v>7522.2596007407728</v>
      </c>
      <c r="K150" s="445">
        <f t="shared" si="57"/>
        <v>8658.9045776881594</v>
      </c>
      <c r="L150" s="445">
        <f t="shared" si="57"/>
        <v>9713.313846756897</v>
      </c>
      <c r="M150" s="445">
        <f t="shared" si="57"/>
        <v>10665.426884349323</v>
      </c>
      <c r="N150" s="445">
        <f t="shared" si="57"/>
        <v>11589.579899949827</v>
      </c>
      <c r="O150" s="445">
        <f t="shared" si="57"/>
        <v>12475.610186459269</v>
      </c>
      <c r="P150" s="423"/>
      <c r="Q150" s="423"/>
      <c r="R150" s="423"/>
      <c r="S150" s="423"/>
      <c r="T150" s="423"/>
      <c r="U150" s="423"/>
      <c r="V150" s="423"/>
      <c r="W150" s="423"/>
      <c r="X150" s="423"/>
      <c r="Y150" s="423"/>
      <c r="Z150" s="423"/>
      <c r="AA150" s="423"/>
      <c r="AB150" s="423"/>
      <c r="AC150" s="423"/>
      <c r="AE150" t="s">
        <v>822</v>
      </c>
    </row>
    <row r="151" spans="2:35" x14ac:dyDescent="0.6">
      <c r="B151" s="440" t="s">
        <v>828</v>
      </c>
      <c r="C151" s="143"/>
      <c r="D151" s="393">
        <v>0.35</v>
      </c>
      <c r="E151" s="393">
        <v>0.35</v>
      </c>
      <c r="F151" s="393">
        <v>0.35</v>
      </c>
      <c r="G151" s="393">
        <v>0.35</v>
      </c>
      <c r="H151" s="393">
        <v>0.35</v>
      </c>
      <c r="I151" s="393">
        <v>0.35</v>
      </c>
      <c r="J151" s="393">
        <v>0.35</v>
      </c>
      <c r="K151" s="393">
        <v>0.35</v>
      </c>
      <c r="L151" s="393">
        <v>0.35</v>
      </c>
      <c r="M151" s="393">
        <v>0.35</v>
      </c>
      <c r="N151" s="393">
        <v>0.35</v>
      </c>
      <c r="O151" s="393">
        <v>0.35</v>
      </c>
      <c r="P151" s="423"/>
      <c r="Q151" s="423"/>
      <c r="R151" s="423"/>
      <c r="S151" s="423"/>
      <c r="T151" s="423"/>
      <c r="U151" s="423"/>
      <c r="V151" s="423"/>
      <c r="W151" s="423"/>
      <c r="X151" s="423"/>
      <c r="Y151" s="423"/>
      <c r="Z151" s="423"/>
      <c r="AA151" s="423"/>
      <c r="AB151" s="423"/>
      <c r="AC151" s="423"/>
      <c r="AH151">
        <f>AI147*AI148*AI151</f>
        <v>1521</v>
      </c>
      <c r="AI151" s="234">
        <v>0.45</v>
      </c>
    </row>
    <row r="152" spans="2:35" x14ac:dyDescent="0.6">
      <c r="B152" s="447" t="s">
        <v>786</v>
      </c>
      <c r="C152" s="141"/>
      <c r="D152" s="214">
        <v>0.75</v>
      </c>
      <c r="E152" s="214">
        <v>0.75</v>
      </c>
      <c r="F152" s="214">
        <v>0.75</v>
      </c>
      <c r="G152" s="214">
        <v>0.75</v>
      </c>
      <c r="H152" s="214">
        <v>0.75</v>
      </c>
      <c r="I152" s="214">
        <v>0.75</v>
      </c>
      <c r="J152" s="214">
        <v>0.75</v>
      </c>
      <c r="K152" s="214">
        <v>0.75</v>
      </c>
      <c r="L152" s="214">
        <v>0.75</v>
      </c>
      <c r="M152" s="214">
        <v>0.75</v>
      </c>
      <c r="N152" s="214">
        <v>0.75</v>
      </c>
      <c r="O152" s="214">
        <v>0.75</v>
      </c>
      <c r="P152" s="423"/>
      <c r="Q152" s="423"/>
      <c r="R152" s="423"/>
      <c r="S152" s="423"/>
      <c r="T152" s="423"/>
      <c r="U152" s="423"/>
      <c r="V152" s="423"/>
      <c r="W152" s="423"/>
      <c r="X152" s="423"/>
      <c r="Y152" s="423"/>
      <c r="Z152" s="423"/>
      <c r="AA152" s="423"/>
      <c r="AB152" s="423"/>
      <c r="AC152" s="423"/>
      <c r="AH152">
        <f>AI147*AI149*AI152</f>
        <v>1364.9999999999998</v>
      </c>
      <c r="AI152" s="234">
        <v>0.75</v>
      </c>
    </row>
    <row r="153" spans="2:35" x14ac:dyDescent="0.6">
      <c r="B153" s="448" t="s">
        <v>787</v>
      </c>
      <c r="C153" s="143"/>
      <c r="D153" s="80">
        <f t="shared" ref="D153:O153" si="58">D152*D150</f>
        <v>818.47499999999991</v>
      </c>
      <c r="E153" s="80">
        <f t="shared" si="58"/>
        <v>1355.0249999999999</v>
      </c>
      <c r="F153" s="80">
        <f t="shared" si="58"/>
        <v>1355.0249999999999</v>
      </c>
      <c r="G153" s="80">
        <f t="shared" si="58"/>
        <v>2333.6305459679947</v>
      </c>
      <c r="H153" s="80">
        <f t="shared" si="58"/>
        <v>3463.1769350568411</v>
      </c>
      <c r="I153" s="80">
        <f t="shared" si="58"/>
        <v>4644.9076711998505</v>
      </c>
      <c r="J153" s="80">
        <f t="shared" si="58"/>
        <v>5641.6947005555794</v>
      </c>
      <c r="K153" s="80">
        <f t="shared" si="58"/>
        <v>6494.1784332661191</v>
      </c>
      <c r="L153" s="80">
        <f t="shared" si="58"/>
        <v>7284.9853850676727</v>
      </c>
      <c r="M153" s="80">
        <f t="shared" si="58"/>
        <v>7999.0701632619921</v>
      </c>
      <c r="N153" s="80">
        <f t="shared" si="58"/>
        <v>8692.1849249623701</v>
      </c>
      <c r="O153" s="80">
        <f t="shared" si="58"/>
        <v>9356.7076398444515</v>
      </c>
      <c r="P153" s="423"/>
      <c r="Q153" s="423"/>
      <c r="R153" s="423"/>
      <c r="S153" s="423"/>
      <c r="T153" s="423"/>
      <c r="U153" s="423"/>
      <c r="V153" s="423"/>
      <c r="W153" s="423"/>
      <c r="X153" s="423"/>
      <c r="Y153" s="423"/>
      <c r="Z153" s="423"/>
      <c r="AA153" s="423"/>
      <c r="AB153" s="423"/>
      <c r="AC153" s="423"/>
    </row>
    <row r="154" spans="2:35" ht="15.9" thickBot="1" x14ac:dyDescent="0.65">
      <c r="B154" s="447"/>
      <c r="C154" s="141"/>
      <c r="D154" s="445"/>
      <c r="E154" s="445"/>
      <c r="F154" s="445"/>
      <c r="G154" s="445"/>
      <c r="H154" s="445"/>
      <c r="I154" s="445"/>
      <c r="J154" s="445"/>
      <c r="K154" s="445"/>
      <c r="L154" s="445"/>
      <c r="M154" s="445"/>
      <c r="N154" s="445"/>
      <c r="O154" s="445"/>
      <c r="P154" s="423"/>
      <c r="Q154" s="423"/>
      <c r="R154" s="423"/>
      <c r="S154" s="423"/>
      <c r="T154" s="423"/>
      <c r="U154" s="423"/>
      <c r="V154" s="423"/>
      <c r="W154" s="423"/>
      <c r="X154" s="423"/>
      <c r="Y154" s="423"/>
      <c r="Z154" s="423"/>
      <c r="AA154" s="423"/>
      <c r="AB154" s="423"/>
      <c r="AC154" s="423"/>
    </row>
    <row r="155" spans="2:35" ht="15.9" thickBot="1" x14ac:dyDescent="0.65">
      <c r="B155" s="446" t="s">
        <v>789</v>
      </c>
      <c r="C155" s="81"/>
      <c r="D155" s="311">
        <f t="shared" ref="D155:O155" si="59">D148+D153</f>
        <v>818.47499999999991</v>
      </c>
      <c r="E155" s="450">
        <f t="shared" si="59"/>
        <v>1355.0249999999999</v>
      </c>
      <c r="F155" s="451">
        <f t="shared" si="59"/>
        <v>2864.91</v>
      </c>
      <c r="G155" s="311">
        <f t="shared" si="59"/>
        <v>4933.9617257609043</v>
      </c>
      <c r="H155" s="311">
        <f t="shared" si="59"/>
        <v>7322.1455198344647</v>
      </c>
      <c r="I155" s="311">
        <f t="shared" si="59"/>
        <v>9820.6619333939707</v>
      </c>
      <c r="J155" s="311">
        <f t="shared" si="59"/>
        <v>11928.154509746084</v>
      </c>
      <c r="K155" s="311">
        <f t="shared" si="59"/>
        <v>13730.548687476938</v>
      </c>
      <c r="L155" s="311">
        <f t="shared" si="59"/>
        <v>15402.540528428795</v>
      </c>
      <c r="M155" s="311">
        <f t="shared" si="59"/>
        <v>16912.319773753927</v>
      </c>
      <c r="N155" s="311">
        <f t="shared" si="59"/>
        <v>18377.762412777585</v>
      </c>
      <c r="O155" s="311">
        <f t="shared" si="59"/>
        <v>19782.753295671129</v>
      </c>
    </row>
    <row r="157" spans="2:35" x14ac:dyDescent="0.6">
      <c r="B157" s="20" t="s">
        <v>812</v>
      </c>
      <c r="F157" s="86"/>
    </row>
    <row r="158" spans="2:35" x14ac:dyDescent="0.6">
      <c r="B158" s="128" t="s">
        <v>156</v>
      </c>
      <c r="C158" s="128">
        <v>2019</v>
      </c>
      <c r="D158" s="129">
        <v>2020</v>
      </c>
      <c r="E158" s="129" t="s">
        <v>764</v>
      </c>
      <c r="F158" s="129" t="s">
        <v>765</v>
      </c>
      <c r="G158" s="129">
        <v>2022</v>
      </c>
      <c r="H158" s="129">
        <v>2023</v>
      </c>
      <c r="I158" s="129">
        <v>2024</v>
      </c>
      <c r="J158" s="129">
        <v>2025</v>
      </c>
      <c r="K158" s="129">
        <v>2026</v>
      </c>
      <c r="L158" s="129">
        <v>2027</v>
      </c>
      <c r="M158" s="129">
        <v>2028</v>
      </c>
      <c r="N158" s="129">
        <v>2029</v>
      </c>
      <c r="O158" s="129">
        <v>2030</v>
      </c>
    </row>
    <row r="159" spans="2:35" x14ac:dyDescent="0.6">
      <c r="B159" s="77" t="s">
        <v>423</v>
      </c>
      <c r="C159" s="141"/>
      <c r="D159" s="78">
        <v>3118</v>
      </c>
      <c r="E159" s="78">
        <v>5162</v>
      </c>
      <c r="F159" s="78">
        <v>5162</v>
      </c>
      <c r="G159" s="78">
        <f>F159*(Master!G154/Master!F154)</f>
        <v>8890.0211274971243</v>
      </c>
      <c r="H159" s="78">
        <f>G159*(Master!H154/Master!G154)</f>
        <v>13193.05499069273</v>
      </c>
      <c r="I159" s="78">
        <f>H159*(Master!I154/Master!H154)</f>
        <v>17694.886366475621</v>
      </c>
      <c r="J159" s="78">
        <f>I159*(Master!J154/Master!I154)</f>
        <v>21492.170287830781</v>
      </c>
      <c r="K159" s="78">
        <f>J159*(Master!K154/Master!J154)</f>
        <v>24739.727364823313</v>
      </c>
      <c r="L159" s="78">
        <f>K159*(Master!L154/Master!K154)</f>
        <v>27752.325276448279</v>
      </c>
      <c r="M159" s="78">
        <f>L159*(Master!M154/Master!L154)</f>
        <v>30472.648240998067</v>
      </c>
      <c r="N159" s="78">
        <f>M159*(Master!N154/Master!M154)</f>
        <v>33113.085428428079</v>
      </c>
      <c r="O159" s="78">
        <f>N159*(Master!O154/Master!N154)</f>
        <v>35644.600532740769</v>
      </c>
    </row>
    <row r="160" spans="2:35" x14ac:dyDescent="0.6">
      <c r="B160" s="392" t="s">
        <v>771</v>
      </c>
      <c r="C160" s="143"/>
      <c r="D160" s="215">
        <v>0.35</v>
      </c>
      <c r="E160" s="215">
        <v>0.35</v>
      </c>
      <c r="F160" s="215">
        <v>0.35</v>
      </c>
      <c r="G160" s="215">
        <v>0.35</v>
      </c>
      <c r="H160" s="215">
        <v>0.35</v>
      </c>
      <c r="I160" s="215">
        <v>0.35</v>
      </c>
      <c r="J160" s="215">
        <v>0.35</v>
      </c>
      <c r="K160" s="215">
        <v>0.35</v>
      </c>
      <c r="L160" s="215">
        <v>0.35</v>
      </c>
      <c r="M160" s="215">
        <v>0.35</v>
      </c>
      <c r="N160" s="215">
        <v>0.35</v>
      </c>
      <c r="O160" s="215">
        <v>0.35</v>
      </c>
    </row>
    <row r="161" spans="2:38" x14ac:dyDescent="0.6">
      <c r="B161" s="458" t="s">
        <v>770</v>
      </c>
      <c r="C161" s="459"/>
      <c r="D161" s="461">
        <f t="shared" ref="D161:O161" si="60">D159/D160</f>
        <v>8908.5714285714294</v>
      </c>
      <c r="E161" s="461">
        <f t="shared" si="60"/>
        <v>14748.571428571429</v>
      </c>
      <c r="F161" s="461">
        <f t="shared" si="60"/>
        <v>14748.571428571429</v>
      </c>
      <c r="G161" s="461">
        <f t="shared" si="60"/>
        <v>25400.060364277499</v>
      </c>
      <c r="H161" s="461">
        <f t="shared" si="60"/>
        <v>37694.442830550659</v>
      </c>
      <c r="I161" s="461">
        <f t="shared" si="60"/>
        <v>50556.818189930345</v>
      </c>
      <c r="J161" s="461">
        <f t="shared" si="60"/>
        <v>61406.200822373663</v>
      </c>
      <c r="K161" s="461">
        <f t="shared" si="60"/>
        <v>70684.935328066611</v>
      </c>
      <c r="L161" s="461">
        <f t="shared" si="60"/>
        <v>79292.357932709376</v>
      </c>
      <c r="M161" s="461">
        <f t="shared" si="60"/>
        <v>87064.709259994488</v>
      </c>
      <c r="N161" s="461">
        <f t="shared" si="60"/>
        <v>94608.815509794513</v>
      </c>
      <c r="O161" s="461">
        <f t="shared" si="60"/>
        <v>101841.71580783077</v>
      </c>
    </row>
    <row r="162" spans="2:38" x14ac:dyDescent="0.6">
      <c r="B162" s="392" t="s">
        <v>810</v>
      </c>
      <c r="C162" s="143"/>
      <c r="D162" s="449">
        <f t="shared" ref="D162:O162" si="61">D161-D159</f>
        <v>5790.5714285714294</v>
      </c>
      <c r="E162" s="449">
        <f t="shared" si="61"/>
        <v>9586.5714285714294</v>
      </c>
      <c r="F162" s="449">
        <f t="shared" si="61"/>
        <v>9586.5714285714294</v>
      </c>
      <c r="G162" s="449">
        <f t="shared" si="61"/>
        <v>16510.039236780372</v>
      </c>
      <c r="H162" s="449">
        <f t="shared" si="61"/>
        <v>24501.387839857929</v>
      </c>
      <c r="I162" s="449">
        <f t="shared" si="61"/>
        <v>32861.931823454725</v>
      </c>
      <c r="J162" s="449">
        <f t="shared" si="61"/>
        <v>39914.030534542879</v>
      </c>
      <c r="K162" s="449">
        <f t="shared" si="61"/>
        <v>45945.207963243301</v>
      </c>
      <c r="L162" s="449">
        <f t="shared" si="61"/>
        <v>51540.032656261101</v>
      </c>
      <c r="M162" s="449">
        <f t="shared" si="61"/>
        <v>56592.061018996421</v>
      </c>
      <c r="N162" s="449">
        <f t="shared" si="61"/>
        <v>61495.730081366433</v>
      </c>
      <c r="O162" s="449">
        <f t="shared" si="61"/>
        <v>66197.115275090007</v>
      </c>
    </row>
    <row r="163" spans="2:38" x14ac:dyDescent="0.6">
      <c r="B163" s="433" t="s">
        <v>805</v>
      </c>
      <c r="C163" s="141"/>
      <c r="D163" s="445"/>
      <c r="E163" s="445"/>
      <c r="F163" s="445"/>
      <c r="G163" s="445"/>
      <c r="H163" s="445"/>
      <c r="I163" s="445"/>
      <c r="J163" s="445"/>
      <c r="K163" s="445"/>
      <c r="L163" s="445"/>
      <c r="M163" s="445"/>
      <c r="N163" s="445"/>
      <c r="O163" s="445"/>
    </row>
    <row r="164" spans="2:38" x14ac:dyDescent="0.6">
      <c r="B164" s="79" t="s">
        <v>808</v>
      </c>
      <c r="C164" s="143"/>
      <c r="D164" s="393">
        <v>0.65</v>
      </c>
      <c r="E164" s="393">
        <v>0.65</v>
      </c>
      <c r="F164" s="393">
        <v>0.65</v>
      </c>
      <c r="G164" s="393">
        <v>0.65</v>
      </c>
      <c r="H164" s="393">
        <v>0.65</v>
      </c>
      <c r="I164" s="393">
        <v>0.65</v>
      </c>
      <c r="J164" s="393">
        <v>0.65</v>
      </c>
      <c r="K164" s="393">
        <v>0.65</v>
      </c>
      <c r="L164" s="393">
        <v>0.65</v>
      </c>
      <c r="M164" s="393">
        <v>0.65</v>
      </c>
      <c r="N164" s="393">
        <v>0.65</v>
      </c>
      <c r="O164" s="393">
        <v>0.65</v>
      </c>
    </row>
    <row r="165" spans="2:38" x14ac:dyDescent="0.6">
      <c r="B165" s="442" t="s">
        <v>806</v>
      </c>
      <c r="C165" s="141"/>
      <c r="D165" s="445">
        <f>D164*D162</f>
        <v>3763.8714285714291</v>
      </c>
      <c r="E165" s="445">
        <f>E164*E162</f>
        <v>6231.2714285714292</v>
      </c>
      <c r="F165" s="445">
        <f>F164*F162</f>
        <v>6231.2714285714292</v>
      </c>
      <c r="G165" s="445">
        <f t="shared" ref="G165:O165" si="62">G164*G162</f>
        <v>10731.525503907242</v>
      </c>
      <c r="H165" s="445">
        <f t="shared" si="62"/>
        <v>15925.902095907655</v>
      </c>
      <c r="I165" s="445">
        <f t="shared" si="62"/>
        <v>21360.255685245571</v>
      </c>
      <c r="J165" s="445">
        <f t="shared" si="62"/>
        <v>25944.119847452872</v>
      </c>
      <c r="K165" s="445">
        <f t="shared" si="62"/>
        <v>29864.385176108146</v>
      </c>
      <c r="L165" s="445">
        <f t="shared" si="62"/>
        <v>33501.021226569719</v>
      </c>
      <c r="M165" s="445">
        <f t="shared" si="62"/>
        <v>36784.839662347673</v>
      </c>
      <c r="N165" s="445">
        <f t="shared" si="62"/>
        <v>39972.224552888183</v>
      </c>
      <c r="O165" s="445">
        <f t="shared" si="62"/>
        <v>43028.124928808509</v>
      </c>
    </row>
    <row r="166" spans="2:38" x14ac:dyDescent="0.6">
      <c r="B166" s="392" t="s">
        <v>807</v>
      </c>
      <c r="C166" s="143"/>
      <c r="D166" s="393">
        <v>0</v>
      </c>
      <c r="E166" s="393">
        <v>0</v>
      </c>
      <c r="F166" s="393">
        <v>0.1</v>
      </c>
      <c r="G166" s="393">
        <v>0.1</v>
      </c>
      <c r="H166" s="393">
        <v>0.1</v>
      </c>
      <c r="I166" s="393">
        <v>0.1</v>
      </c>
      <c r="J166" s="393">
        <v>0.1</v>
      </c>
      <c r="K166" s="393">
        <v>0.1</v>
      </c>
      <c r="L166" s="393">
        <v>0.1</v>
      </c>
      <c r="M166" s="393">
        <v>0.1</v>
      </c>
      <c r="N166" s="393">
        <v>0.1</v>
      </c>
      <c r="O166" s="393">
        <v>0.1</v>
      </c>
    </row>
    <row r="167" spans="2:38" x14ac:dyDescent="0.6">
      <c r="B167" s="458" t="s">
        <v>821</v>
      </c>
      <c r="C167" s="459"/>
      <c r="D167" s="394">
        <v>0</v>
      </c>
      <c r="E167" s="394">
        <v>0</v>
      </c>
      <c r="F167" s="394">
        <v>0.45</v>
      </c>
      <c r="G167" s="394">
        <v>0.45</v>
      </c>
      <c r="H167" s="394">
        <v>0.45</v>
      </c>
      <c r="I167" s="394">
        <v>0.45</v>
      </c>
      <c r="J167" s="394">
        <v>0.45</v>
      </c>
      <c r="K167" s="394">
        <v>0.45</v>
      </c>
      <c r="L167" s="394">
        <v>0.45</v>
      </c>
      <c r="M167" s="394">
        <v>0.45</v>
      </c>
      <c r="N167" s="394">
        <v>0.45</v>
      </c>
      <c r="O167" s="394">
        <v>0.45</v>
      </c>
      <c r="AK167" t="s">
        <v>830</v>
      </c>
      <c r="AL167">
        <f>9657</f>
        <v>9657</v>
      </c>
    </row>
    <row r="168" spans="2:38" x14ac:dyDescent="0.6">
      <c r="B168" s="392" t="s">
        <v>813</v>
      </c>
      <c r="C168" s="143"/>
      <c r="D168" s="457">
        <f>D167*D166*D165</f>
        <v>0</v>
      </c>
      <c r="E168" s="457">
        <f t="shared" ref="E168:O168" si="63">E167*E166*E165</f>
        <v>0</v>
      </c>
      <c r="F168" s="457">
        <f t="shared" si="63"/>
        <v>280.40721428571436</v>
      </c>
      <c r="G168" s="457">
        <f t="shared" si="63"/>
        <v>482.91864767582592</v>
      </c>
      <c r="H168" s="457">
        <f t="shared" si="63"/>
        <v>716.6655943158446</v>
      </c>
      <c r="I168" s="457">
        <f t="shared" si="63"/>
        <v>961.21150583605083</v>
      </c>
      <c r="J168" s="457">
        <f t="shared" si="63"/>
        <v>1167.4853931353794</v>
      </c>
      <c r="K168" s="457">
        <f t="shared" si="63"/>
        <v>1343.8973329248668</v>
      </c>
      <c r="L168" s="457">
        <f t="shared" si="63"/>
        <v>1507.5459551956376</v>
      </c>
      <c r="M168" s="457">
        <f t="shared" si="63"/>
        <v>1655.3177848056455</v>
      </c>
      <c r="N168" s="457">
        <f t="shared" si="63"/>
        <v>1798.7501048799684</v>
      </c>
      <c r="O168" s="457">
        <f t="shared" si="63"/>
        <v>1936.2656217963831</v>
      </c>
      <c r="AL168" s="234">
        <v>0.1</v>
      </c>
    </row>
    <row r="169" spans="2:38" x14ac:dyDescent="0.6">
      <c r="B169" s="442"/>
      <c r="C169" s="141"/>
      <c r="D169" s="214"/>
      <c r="E169" s="214"/>
      <c r="F169" s="214"/>
      <c r="G169" s="214"/>
      <c r="H169" s="214"/>
      <c r="I169" s="214"/>
      <c r="J169" s="214"/>
      <c r="K169" s="214"/>
      <c r="L169" s="214"/>
      <c r="M169" s="214"/>
      <c r="N169" s="214"/>
      <c r="O169" s="214"/>
      <c r="AL169" s="234">
        <v>0.45</v>
      </c>
    </row>
    <row r="170" spans="2:38" x14ac:dyDescent="0.6">
      <c r="B170" s="392" t="s">
        <v>809</v>
      </c>
      <c r="C170" s="143"/>
      <c r="D170" s="393">
        <f>100%-D164</f>
        <v>0.35</v>
      </c>
      <c r="E170" s="393">
        <f>100%-E164</f>
        <v>0.35</v>
      </c>
      <c r="F170" s="393">
        <f>100%-F164</f>
        <v>0.35</v>
      </c>
      <c r="G170" s="393">
        <f t="shared" ref="G170:O170" si="64">100%-G164</f>
        <v>0.35</v>
      </c>
      <c r="H170" s="393">
        <f t="shared" si="64"/>
        <v>0.35</v>
      </c>
      <c r="I170" s="393">
        <f t="shared" si="64"/>
        <v>0.35</v>
      </c>
      <c r="J170" s="393">
        <f t="shared" si="64"/>
        <v>0.35</v>
      </c>
      <c r="K170" s="393">
        <f t="shared" si="64"/>
        <v>0.35</v>
      </c>
      <c r="L170" s="393">
        <f t="shared" si="64"/>
        <v>0.35</v>
      </c>
      <c r="M170" s="393">
        <f t="shared" si="64"/>
        <v>0.35</v>
      </c>
      <c r="N170" s="393">
        <f t="shared" si="64"/>
        <v>0.35</v>
      </c>
      <c r="O170" s="393">
        <f t="shared" si="64"/>
        <v>0.35</v>
      </c>
      <c r="AL170">
        <f>AL169*AL168*AL167</f>
        <v>434.56500000000005</v>
      </c>
    </row>
    <row r="171" spans="2:38" x14ac:dyDescent="0.6">
      <c r="B171" s="442" t="s">
        <v>829</v>
      </c>
      <c r="C171" s="141"/>
      <c r="D171" s="445">
        <f>D162-D165</f>
        <v>2026.7000000000003</v>
      </c>
      <c r="E171" s="445">
        <f>E162-E165</f>
        <v>3355.3</v>
      </c>
      <c r="F171" s="445">
        <f>F162-F165</f>
        <v>3355.3</v>
      </c>
      <c r="G171" s="445">
        <f t="shared" ref="G171:O171" si="65">G162-G165</f>
        <v>5778.5137328731307</v>
      </c>
      <c r="H171" s="445">
        <f t="shared" si="65"/>
        <v>8575.4857439502739</v>
      </c>
      <c r="I171" s="445">
        <f t="shared" si="65"/>
        <v>11501.676138209154</v>
      </c>
      <c r="J171" s="445">
        <f t="shared" si="65"/>
        <v>13969.910687090007</v>
      </c>
      <c r="K171" s="445">
        <f t="shared" si="65"/>
        <v>16080.822787135156</v>
      </c>
      <c r="L171" s="445">
        <f t="shared" si="65"/>
        <v>18039.011429691382</v>
      </c>
      <c r="M171" s="445">
        <f t="shared" si="65"/>
        <v>19807.221356648748</v>
      </c>
      <c r="N171" s="445">
        <f t="shared" si="65"/>
        <v>21523.50552847825</v>
      </c>
      <c r="O171" s="445">
        <f t="shared" si="65"/>
        <v>23168.990346281498</v>
      </c>
      <c r="AL171">
        <f>AL167*10%*75%</f>
        <v>724.27500000000009</v>
      </c>
    </row>
    <row r="172" spans="2:38" x14ac:dyDescent="0.6">
      <c r="B172" s="392" t="s">
        <v>772</v>
      </c>
      <c r="C172" s="143"/>
      <c r="D172" s="393">
        <v>0</v>
      </c>
      <c r="E172" s="393">
        <v>0</v>
      </c>
      <c r="F172" s="393">
        <v>0.1</v>
      </c>
      <c r="G172" s="393">
        <v>0.1</v>
      </c>
      <c r="H172" s="393">
        <v>0.1</v>
      </c>
      <c r="I172" s="393">
        <v>0.1</v>
      </c>
      <c r="J172" s="393">
        <v>0.1</v>
      </c>
      <c r="K172" s="393">
        <v>0.1</v>
      </c>
      <c r="L172" s="393">
        <v>0.1</v>
      </c>
      <c r="M172" s="393">
        <v>0.1</v>
      </c>
      <c r="N172" s="393">
        <v>0.1</v>
      </c>
      <c r="O172" s="393">
        <v>0.1</v>
      </c>
    </row>
    <row r="173" spans="2:38" x14ac:dyDescent="0.6">
      <c r="B173" s="458" t="s">
        <v>821</v>
      </c>
      <c r="C173" s="459"/>
      <c r="D173" s="394">
        <v>0</v>
      </c>
      <c r="E173" s="394">
        <v>0</v>
      </c>
      <c r="F173" s="394">
        <v>0.75</v>
      </c>
      <c r="G173" s="394">
        <v>0.75</v>
      </c>
      <c r="H173" s="394">
        <v>0.75</v>
      </c>
      <c r="I173" s="394">
        <v>0.75</v>
      </c>
      <c r="J173" s="394">
        <v>0.75</v>
      </c>
      <c r="K173" s="394">
        <v>0.75</v>
      </c>
      <c r="L173" s="394">
        <v>0.75</v>
      </c>
      <c r="M173" s="394">
        <v>0.75</v>
      </c>
      <c r="N173" s="394">
        <v>0.75</v>
      </c>
      <c r="O173" s="394">
        <v>0.75</v>
      </c>
    </row>
    <row r="174" spans="2:38" x14ac:dyDescent="0.6">
      <c r="B174" s="392" t="s">
        <v>814</v>
      </c>
      <c r="C174" s="143"/>
      <c r="D174" s="457">
        <f t="shared" ref="D174:O174" si="66">D173*D172*D171</f>
        <v>0</v>
      </c>
      <c r="E174" s="457">
        <f t="shared" si="66"/>
        <v>0</v>
      </c>
      <c r="F174" s="457">
        <f t="shared" si="66"/>
        <v>251.64750000000006</v>
      </c>
      <c r="G174" s="457">
        <f t="shared" si="66"/>
        <v>433.38852996548485</v>
      </c>
      <c r="H174" s="457">
        <f t="shared" si="66"/>
        <v>643.16143079627068</v>
      </c>
      <c r="I174" s="457">
        <f t="shared" si="66"/>
        <v>862.6257103656867</v>
      </c>
      <c r="J174" s="457">
        <f t="shared" si="66"/>
        <v>1047.7433015317506</v>
      </c>
      <c r="K174" s="457">
        <f t="shared" si="66"/>
        <v>1206.0617090351368</v>
      </c>
      <c r="L174" s="457">
        <f t="shared" si="66"/>
        <v>1352.9258572268539</v>
      </c>
      <c r="M174" s="457">
        <f t="shared" si="66"/>
        <v>1485.5416017486564</v>
      </c>
      <c r="N174" s="457">
        <f t="shared" si="66"/>
        <v>1614.262914635869</v>
      </c>
      <c r="O174" s="457">
        <f t="shared" si="66"/>
        <v>1737.6742759711126</v>
      </c>
    </row>
    <row r="175" spans="2:38" x14ac:dyDescent="0.6">
      <c r="B175" s="442"/>
      <c r="C175" s="141"/>
      <c r="D175" s="214"/>
      <c r="E175" s="214"/>
      <c r="F175" s="214"/>
      <c r="G175" s="214"/>
      <c r="H175" s="214"/>
      <c r="I175" s="214"/>
      <c r="J175" s="214"/>
      <c r="K175" s="214"/>
      <c r="L175" s="214"/>
      <c r="M175" s="214"/>
      <c r="N175" s="214"/>
      <c r="O175" s="214"/>
    </row>
    <row r="176" spans="2:38" x14ac:dyDescent="0.6">
      <c r="B176" s="446" t="s">
        <v>815</v>
      </c>
      <c r="C176" s="81"/>
      <c r="D176" s="311">
        <f>D174+D168</f>
        <v>0</v>
      </c>
      <c r="E176" s="311">
        <f t="shared" ref="E176:O176" si="67">E174+E168</f>
        <v>0</v>
      </c>
      <c r="F176" s="311">
        <f t="shared" si="67"/>
        <v>532.05471428571445</v>
      </c>
      <c r="G176" s="311">
        <f t="shared" si="67"/>
        <v>916.30717764131077</v>
      </c>
      <c r="H176" s="311">
        <f t="shared" si="67"/>
        <v>1359.8270251121153</v>
      </c>
      <c r="I176" s="311">
        <f t="shared" si="67"/>
        <v>1823.8372162017376</v>
      </c>
      <c r="J176" s="311">
        <f t="shared" si="67"/>
        <v>2215.2286946671302</v>
      </c>
      <c r="K176" s="311">
        <f t="shared" si="67"/>
        <v>2549.9590419600036</v>
      </c>
      <c r="L176" s="311">
        <f t="shared" si="67"/>
        <v>2860.4718124224914</v>
      </c>
      <c r="M176" s="311">
        <f t="shared" si="67"/>
        <v>3140.8593865543016</v>
      </c>
      <c r="N176" s="311">
        <f t="shared" si="67"/>
        <v>3413.0130195158372</v>
      </c>
      <c r="O176" s="311">
        <f t="shared" si="67"/>
        <v>3673.9398977674955</v>
      </c>
    </row>
    <row r="177" spans="2:15" x14ac:dyDescent="0.6">
      <c r="B177" s="456"/>
      <c r="C177" s="79"/>
      <c r="D177" s="80"/>
      <c r="E177" s="80"/>
      <c r="F177" s="80"/>
      <c r="G177" s="80"/>
      <c r="H177" s="80"/>
      <c r="I177" s="80"/>
      <c r="J177" s="80"/>
      <c r="K177" s="80"/>
      <c r="L177" s="80"/>
      <c r="M177" s="80"/>
      <c r="N177" s="80"/>
      <c r="O177" s="80"/>
    </row>
    <row r="178" spans="2:15" x14ac:dyDescent="0.6">
      <c r="B178" s="388" t="s">
        <v>832</v>
      </c>
      <c r="C178" s="79"/>
      <c r="D178" s="79"/>
      <c r="E178" s="79"/>
      <c r="F178" s="79"/>
      <c r="G178" s="79"/>
      <c r="H178" s="79"/>
      <c r="I178" s="79"/>
      <c r="J178" s="79"/>
      <c r="K178" s="79"/>
      <c r="L178" s="79"/>
      <c r="M178" s="79"/>
      <c r="N178" s="79"/>
      <c r="O178" s="79"/>
    </row>
    <row r="180" spans="2:15" x14ac:dyDescent="0.6">
      <c r="B180" s="128" t="s">
        <v>841</v>
      </c>
      <c r="C180" s="128"/>
      <c r="D180" s="128"/>
      <c r="E180" s="128"/>
      <c r="F180" s="128">
        <v>2021</v>
      </c>
    </row>
    <row r="181" spans="2:15" x14ac:dyDescent="0.6">
      <c r="B181" s="77" t="str">
        <f>B159</f>
        <v>Credit card loans</v>
      </c>
      <c r="C181" s="77"/>
      <c r="D181" s="77"/>
      <c r="E181" s="77"/>
      <c r="F181" s="78">
        <f>F144</f>
        <v>5162</v>
      </c>
    </row>
    <row r="182" spans="2:15" x14ac:dyDescent="0.6">
      <c r="B182" s="391" t="s">
        <v>833</v>
      </c>
      <c r="C182" s="79"/>
      <c r="D182" s="79"/>
      <c r="E182" s="79"/>
      <c r="F182" s="80">
        <f>F138</f>
        <v>337</v>
      </c>
    </row>
    <row r="183" spans="2:15" x14ac:dyDescent="0.6">
      <c r="B183" s="409" t="s">
        <v>834</v>
      </c>
      <c r="C183" s="375"/>
      <c r="D183" s="375"/>
      <c r="E183" s="375"/>
      <c r="F183" s="437">
        <f>F136</f>
        <v>468.19000000000005</v>
      </c>
    </row>
    <row r="184" spans="2:15" x14ac:dyDescent="0.6">
      <c r="B184" s="79" t="s">
        <v>835</v>
      </c>
      <c r="C184" s="79"/>
      <c r="D184" s="79"/>
      <c r="E184" s="79"/>
      <c r="F184" s="80">
        <f>F181-F182-F183</f>
        <v>4356.8099999999995</v>
      </c>
    </row>
    <row r="185" spans="2:15" x14ac:dyDescent="0.6">
      <c r="B185" s="77"/>
      <c r="C185" s="77"/>
      <c r="D185" s="77"/>
      <c r="E185" s="77"/>
      <c r="F185" s="77"/>
    </row>
    <row r="186" spans="2:15" x14ac:dyDescent="0.6">
      <c r="B186" s="79" t="s">
        <v>836</v>
      </c>
      <c r="C186" s="79"/>
      <c r="D186" s="79"/>
      <c r="E186" s="79"/>
      <c r="F186" s="310">
        <v>0.35</v>
      </c>
    </row>
    <row r="187" spans="2:15" x14ac:dyDescent="0.6">
      <c r="B187" s="77" t="s">
        <v>837</v>
      </c>
      <c r="C187" s="77"/>
      <c r="D187" s="77"/>
      <c r="E187" s="77"/>
      <c r="F187" s="78">
        <f>F186*F184</f>
        <v>1524.8834999999997</v>
      </c>
    </row>
    <row r="188" spans="2:15" x14ac:dyDescent="0.6">
      <c r="B188" s="79" t="s">
        <v>838</v>
      </c>
      <c r="C188" s="79"/>
      <c r="D188" s="79"/>
      <c r="E188" s="79"/>
      <c r="F188" s="80">
        <f>F184-F187</f>
        <v>2831.9264999999996</v>
      </c>
    </row>
    <row r="189" spans="2:15" x14ac:dyDescent="0.6">
      <c r="B189" s="77"/>
      <c r="C189" s="77"/>
      <c r="D189" s="77"/>
      <c r="E189" s="77"/>
      <c r="F189" s="77"/>
    </row>
    <row r="190" spans="2:15" x14ac:dyDescent="0.6">
      <c r="B190" s="79" t="s">
        <v>845</v>
      </c>
      <c r="C190" s="79"/>
      <c r="D190" s="79"/>
      <c r="E190" s="79"/>
      <c r="F190" s="310">
        <v>0.75</v>
      </c>
    </row>
    <row r="191" spans="2:15" x14ac:dyDescent="0.6">
      <c r="B191" s="77" t="s">
        <v>846</v>
      </c>
      <c r="C191" s="77"/>
      <c r="D191" s="77"/>
      <c r="E191" s="77"/>
      <c r="F191" s="374">
        <v>0.45</v>
      </c>
    </row>
    <row r="192" spans="2:15" x14ac:dyDescent="0.6">
      <c r="B192" s="79"/>
      <c r="C192" s="79"/>
      <c r="D192" s="79"/>
      <c r="E192" s="79"/>
      <c r="F192" s="79"/>
    </row>
    <row r="193" spans="2:6" x14ac:dyDescent="0.6">
      <c r="B193" s="77" t="s">
        <v>839</v>
      </c>
      <c r="C193" s="77"/>
      <c r="D193" s="77"/>
      <c r="E193" s="77"/>
      <c r="F193" s="78">
        <f>F190*F187</f>
        <v>1143.6626249999997</v>
      </c>
    </row>
    <row r="194" spans="2:6" ht="15.9" thickBot="1" x14ac:dyDescent="0.65">
      <c r="B194" s="79" t="s">
        <v>840</v>
      </c>
      <c r="C194" s="79"/>
      <c r="D194" s="79"/>
      <c r="E194" s="79"/>
      <c r="F194" s="80">
        <f>F191*F188</f>
        <v>1274.3669249999998</v>
      </c>
    </row>
    <row r="195" spans="2:6" ht="15.9" thickBot="1" x14ac:dyDescent="0.65">
      <c r="B195" s="472" t="s">
        <v>851</v>
      </c>
      <c r="C195" s="473"/>
      <c r="D195" s="473"/>
      <c r="E195" s="473"/>
      <c r="F195" s="474">
        <f>F193+F194</f>
        <v>2418.0295499999993</v>
      </c>
    </row>
    <row r="196" spans="2:6" x14ac:dyDescent="0.6">
      <c r="B196" s="79"/>
      <c r="C196" s="79"/>
      <c r="D196" s="79"/>
      <c r="E196" s="79"/>
      <c r="F196" s="79"/>
    </row>
    <row r="197" spans="2:6" x14ac:dyDescent="0.6">
      <c r="B197" s="379" t="s">
        <v>830</v>
      </c>
      <c r="C197" s="379"/>
      <c r="D197" s="379"/>
      <c r="E197" s="379"/>
      <c r="F197" s="379"/>
    </row>
    <row r="198" spans="2:6" x14ac:dyDescent="0.6">
      <c r="B198" s="79" t="s">
        <v>842</v>
      </c>
      <c r="C198" s="79"/>
      <c r="D198" s="79"/>
      <c r="E198" s="79"/>
      <c r="F198" s="310">
        <v>0.35</v>
      </c>
    </row>
    <row r="199" spans="2:6" x14ac:dyDescent="0.6">
      <c r="B199" s="77" t="s">
        <v>843</v>
      </c>
      <c r="C199" s="77"/>
      <c r="D199" s="77"/>
      <c r="E199" s="77"/>
      <c r="F199" s="78">
        <f>F181/F198</f>
        <v>14748.571428571429</v>
      </c>
    </row>
    <row r="200" spans="2:6" x14ac:dyDescent="0.6">
      <c r="B200" s="79" t="s">
        <v>844</v>
      </c>
      <c r="C200" s="79"/>
      <c r="D200" s="79"/>
      <c r="E200" s="79"/>
      <c r="F200" s="80">
        <f>F199-F181</f>
        <v>9586.5714285714294</v>
      </c>
    </row>
    <row r="201" spans="2:6" x14ac:dyDescent="0.6">
      <c r="B201" s="77"/>
      <c r="C201" s="77"/>
      <c r="D201" s="77"/>
      <c r="E201" s="77"/>
      <c r="F201" s="77"/>
    </row>
    <row r="202" spans="2:6" x14ac:dyDescent="0.6">
      <c r="B202" s="79" t="str">
        <f>B186</f>
        <v>Assumed ratio revolvers (LTM)</v>
      </c>
      <c r="C202" s="79"/>
      <c r="D202" s="79"/>
      <c r="E202" s="79"/>
      <c r="F202" s="310">
        <f>F186</f>
        <v>0.35</v>
      </c>
    </row>
    <row r="203" spans="2:6" x14ac:dyDescent="0.6">
      <c r="B203" s="77" t="str">
        <f>B190</f>
        <v>FPR for Revolvers</v>
      </c>
      <c r="C203" s="77"/>
      <c r="D203" s="77"/>
      <c r="E203" s="77"/>
      <c r="F203" s="374">
        <f>F190</f>
        <v>0.75</v>
      </c>
    </row>
    <row r="204" spans="2:6" x14ac:dyDescent="0.6">
      <c r="B204" s="79" t="s">
        <v>847</v>
      </c>
      <c r="C204" s="79"/>
      <c r="D204" s="79"/>
      <c r="E204" s="79"/>
      <c r="F204" s="310">
        <v>0.1</v>
      </c>
    </row>
    <row r="205" spans="2:6" x14ac:dyDescent="0.6">
      <c r="B205" s="77" t="s">
        <v>839</v>
      </c>
      <c r="C205" s="77"/>
      <c r="D205" s="77"/>
      <c r="E205" s="77"/>
      <c r="F205" s="78">
        <f>F202*F203*F204*F200</f>
        <v>251.64749999999998</v>
      </c>
    </row>
    <row r="206" spans="2:6" x14ac:dyDescent="0.6">
      <c r="B206" s="79"/>
      <c r="C206" s="79"/>
      <c r="D206" s="79"/>
      <c r="E206" s="79"/>
      <c r="F206" s="80"/>
    </row>
    <row r="207" spans="2:6" x14ac:dyDescent="0.6">
      <c r="B207" s="77" t="s">
        <v>846</v>
      </c>
      <c r="C207" s="77"/>
      <c r="D207" s="77"/>
      <c r="E207" s="77"/>
      <c r="F207" s="374">
        <f>F191</f>
        <v>0.45</v>
      </c>
    </row>
    <row r="208" spans="2:6" x14ac:dyDescent="0.6">
      <c r="B208" s="79" t="str">
        <f>B204</f>
        <v>FCC (assume 100% cancelable)</v>
      </c>
      <c r="C208" s="79"/>
      <c r="D208" s="79"/>
      <c r="E208" s="79"/>
      <c r="F208" s="310">
        <f>F204</f>
        <v>0.1</v>
      </c>
    </row>
    <row r="209" spans="2:6" x14ac:dyDescent="0.6">
      <c r="B209" s="77" t="s">
        <v>840</v>
      </c>
      <c r="C209" s="77"/>
      <c r="D209" s="77"/>
      <c r="E209" s="77"/>
      <c r="F209" s="78">
        <f>(1-F202)*F207*F208*F200</f>
        <v>280.40721428571436</v>
      </c>
    </row>
    <row r="210" spans="2:6" ht="15.9" thickBot="1" x14ac:dyDescent="0.65">
      <c r="B210" s="79"/>
      <c r="C210" s="79"/>
      <c r="D210" s="79"/>
      <c r="E210" s="79"/>
      <c r="F210" s="79"/>
    </row>
    <row r="211" spans="2:6" ht="15.9" thickBot="1" x14ac:dyDescent="0.65">
      <c r="B211" s="472" t="s">
        <v>852</v>
      </c>
      <c r="C211" s="473"/>
      <c r="D211" s="473"/>
      <c r="E211" s="473"/>
      <c r="F211" s="474">
        <f>F205+F209</f>
        <v>532.05471428571434</v>
      </c>
    </row>
    <row r="212" spans="2:6" x14ac:dyDescent="0.6">
      <c r="B212" s="79"/>
      <c r="C212" s="79"/>
      <c r="D212" s="79"/>
      <c r="E212" s="79"/>
      <c r="F212" s="79"/>
    </row>
    <row r="213" spans="2:6" x14ac:dyDescent="0.6">
      <c r="B213" s="469" t="s">
        <v>857</v>
      </c>
      <c r="C213" s="469"/>
      <c r="D213" s="469"/>
      <c r="E213" s="469"/>
      <c r="F213" s="470">
        <f>F195+F211</f>
        <v>2950.0842642857137</v>
      </c>
    </row>
    <row r="214" spans="2:6" x14ac:dyDescent="0.6">
      <c r="B214" s="79" t="s">
        <v>848</v>
      </c>
      <c r="C214" s="79"/>
      <c r="D214" s="79"/>
      <c r="E214" s="79"/>
      <c r="F214" s="373">
        <v>0.14000000000000001</v>
      </c>
    </row>
    <row r="215" spans="2:6" x14ac:dyDescent="0.6">
      <c r="B215" s="372" t="s">
        <v>855</v>
      </c>
      <c r="C215" s="372"/>
      <c r="D215" s="372"/>
      <c r="E215" s="372"/>
      <c r="F215" s="471">
        <f>F213*F214</f>
        <v>413.01179699999994</v>
      </c>
    </row>
    <row r="216" spans="2:6" x14ac:dyDescent="0.6">
      <c r="B216" s="79"/>
      <c r="C216" s="79"/>
      <c r="D216" s="79"/>
      <c r="E216" s="79"/>
      <c r="F216" s="79"/>
    </row>
    <row r="217" spans="2:6" ht="14.7" customHeight="1" x14ac:dyDescent="0.6">
      <c r="B217" s="469" t="s">
        <v>849</v>
      </c>
      <c r="C217" s="469"/>
      <c r="D217" s="469"/>
      <c r="E217" s="469"/>
      <c r="F217" s="470">
        <v>2144</v>
      </c>
    </row>
    <row r="218" spans="2:6" x14ac:dyDescent="0.6">
      <c r="B218" s="79" t="s">
        <v>848</v>
      </c>
      <c r="C218" s="79"/>
      <c r="D218" s="79"/>
      <c r="E218" s="79"/>
      <c r="F218" s="373">
        <v>0.14000000000000001</v>
      </c>
    </row>
    <row r="219" spans="2:6" x14ac:dyDescent="0.6">
      <c r="B219" s="372" t="s">
        <v>854</v>
      </c>
      <c r="C219" s="372"/>
      <c r="D219" s="372"/>
      <c r="E219" s="372"/>
      <c r="F219" s="471">
        <f>F217*F218</f>
        <v>300.16000000000003</v>
      </c>
    </row>
    <row r="220" spans="2:6" x14ac:dyDescent="0.6">
      <c r="B220" s="79"/>
      <c r="C220" s="79"/>
      <c r="D220" s="79"/>
      <c r="E220" s="79"/>
      <c r="F220" s="79"/>
    </row>
    <row r="221" spans="2:6" x14ac:dyDescent="0.6">
      <c r="B221" s="372" t="s">
        <v>850</v>
      </c>
      <c r="C221" s="372"/>
      <c r="D221" s="372"/>
      <c r="E221" s="372"/>
      <c r="F221" s="471">
        <f>F215+F219</f>
        <v>713.17179699999997</v>
      </c>
    </row>
    <row r="222" spans="2:6" x14ac:dyDescent="0.6">
      <c r="B222" s="82" t="s">
        <v>856</v>
      </c>
      <c r="C222" s="82"/>
      <c r="D222" s="82"/>
      <c r="E222" s="82"/>
      <c r="F222" s="82">
        <v>420</v>
      </c>
    </row>
    <row r="223" spans="2:6" ht="15.9" thickBot="1" x14ac:dyDescent="0.65">
      <c r="B223" s="468"/>
      <c r="C223" s="468"/>
      <c r="D223" s="468"/>
      <c r="E223" s="468"/>
      <c r="F223" s="468"/>
    </row>
    <row r="224" spans="2:6" ht="15.9" thickBot="1" x14ac:dyDescent="0.65">
      <c r="B224" s="370" t="s">
        <v>853</v>
      </c>
      <c r="C224" s="302"/>
      <c r="D224" s="302"/>
      <c r="E224" s="302"/>
      <c r="F224" s="475">
        <f>F221-F222</f>
        <v>293.17179699999997</v>
      </c>
    </row>
  </sheetData>
  <pageMargins left="0.7" right="0.7" top="0.75" bottom="0.75" header="0.3" footer="0.3"/>
  <pageSetup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C8C53-EFD9-4938-807A-41D5C9CC9313}">
  <dimension ref="B3:N24"/>
  <sheetViews>
    <sheetView showGridLines="0" zoomScale="80" zoomScaleNormal="80" workbookViewId="0">
      <selection activeCell="B2" sqref="B2"/>
    </sheetView>
  </sheetViews>
  <sheetFormatPr defaultColWidth="9" defaultRowHeight="14.4" x14ac:dyDescent="0.55000000000000004"/>
  <cols>
    <col min="1" max="1" width="9" style="282"/>
    <col min="2" max="2" width="23.59765625" style="282" customWidth="1"/>
    <col min="3" max="6" width="9.5" style="282" customWidth="1"/>
    <col min="7" max="7" width="12" style="282" customWidth="1"/>
    <col min="8" max="8" width="1.69921875" style="282" customWidth="1"/>
    <col min="9" max="9" width="23.59765625" style="282" customWidth="1"/>
    <col min="10" max="13" width="9.5" style="282" customWidth="1"/>
    <col min="14" max="14" width="11.796875" style="282" customWidth="1"/>
    <col min="15" max="16384" width="9" style="282"/>
  </cols>
  <sheetData>
    <row r="3" spans="2:14" x14ac:dyDescent="0.55000000000000004">
      <c r="B3" s="711" t="s">
        <v>417</v>
      </c>
      <c r="C3" s="762">
        <v>2022</v>
      </c>
      <c r="D3" s="762">
        <f>C3+1</f>
        <v>2023</v>
      </c>
      <c r="E3" s="762">
        <f>D3+1</f>
        <v>2024</v>
      </c>
      <c r="F3" s="762">
        <f>E3+1</f>
        <v>2025</v>
      </c>
      <c r="G3" s="1150" t="s">
        <v>1465</v>
      </c>
      <c r="H3" s="763"/>
      <c r="I3" s="711" t="str">
        <f>B3</f>
        <v>USD m</v>
      </c>
      <c r="J3" s="762">
        <f>C3</f>
        <v>2022</v>
      </c>
      <c r="K3" s="762">
        <f>D3</f>
        <v>2023</v>
      </c>
      <c r="L3" s="762">
        <f>E3</f>
        <v>2024</v>
      </c>
      <c r="M3" s="762">
        <f>F3</f>
        <v>2025</v>
      </c>
      <c r="N3" s="1150" t="s">
        <v>1465</v>
      </c>
    </row>
    <row r="4" spans="2:14" x14ac:dyDescent="0.55000000000000004">
      <c r="B4" s="712" t="s">
        <v>406</v>
      </c>
      <c r="C4" s="764">
        <f>Valuation!B14</f>
        <v>7</v>
      </c>
      <c r="D4" s="765"/>
      <c r="E4" s="765"/>
      <c r="F4" s="765"/>
      <c r="G4" s="766"/>
      <c r="H4" s="596"/>
      <c r="I4" s="712" t="s">
        <v>83</v>
      </c>
      <c r="J4" s="764">
        <f>Valuation!G26</f>
        <v>6.8580015201962512</v>
      </c>
      <c r="K4" s="764">
        <f>Valuation!H26</f>
        <v>4.2636521239647935</v>
      </c>
      <c r="L4" s="764">
        <f>Valuation!I26</f>
        <v>3.2893355160173305</v>
      </c>
      <c r="M4" s="764">
        <f>Valuation!J26</f>
        <v>2.6265150458348678</v>
      </c>
      <c r="N4" s="766"/>
    </row>
    <row r="5" spans="2:14" x14ac:dyDescent="0.55000000000000004">
      <c r="B5" s="715" t="s">
        <v>73</v>
      </c>
      <c r="C5" s="767">
        <f>Valuation!G17</f>
        <v>4693</v>
      </c>
      <c r="D5" s="767">
        <f>Valuation!H17</f>
        <v>4710</v>
      </c>
      <c r="E5" s="767">
        <f>Valuation!I17</f>
        <v>4710</v>
      </c>
      <c r="F5" s="767">
        <f>Valuation!J17</f>
        <v>4710</v>
      </c>
      <c r="G5" s="768"/>
      <c r="H5" s="596"/>
      <c r="I5" s="715" t="s">
        <v>537</v>
      </c>
      <c r="J5" s="769">
        <f>Valuation!G27</f>
        <v>19.752027903324429</v>
      </c>
      <c r="K5" s="769">
        <f>Valuation!H27</f>
        <v>10.358492481239196</v>
      </c>
      <c r="L5" s="769">
        <f>Valuation!I27</f>
        <v>7.2220335182606847</v>
      </c>
      <c r="M5" s="769">
        <f>Valuation!J27</f>
        <v>5.1935112101076051</v>
      </c>
      <c r="N5" s="768"/>
    </row>
    <row r="6" spans="2:14" x14ac:dyDescent="0.55000000000000004">
      <c r="B6" s="718" t="s">
        <v>407</v>
      </c>
      <c r="C6" s="770">
        <f>Valuation!G24</f>
        <v>32851</v>
      </c>
      <c r="D6" s="770">
        <f>Valuation!H24</f>
        <v>32970</v>
      </c>
      <c r="E6" s="770">
        <f>Valuation!I24</f>
        <v>32970</v>
      </c>
      <c r="F6" s="770">
        <f>Valuation!J24</f>
        <v>32970</v>
      </c>
      <c r="G6" s="771"/>
      <c r="H6" s="596"/>
      <c r="I6" s="718" t="s">
        <v>84</v>
      </c>
      <c r="J6" s="772">
        <f>C6/C21</f>
        <v>-90.292417591780818</v>
      </c>
      <c r="K6" s="772">
        <f>D6/D21</f>
        <v>37.710827699476781</v>
      </c>
      <c r="L6" s="772">
        <f>E6/E21</f>
        <v>22.384560177867581</v>
      </c>
      <c r="M6" s="772">
        <f>F6/F21</f>
        <v>14.231520876277401</v>
      </c>
      <c r="N6" s="771"/>
    </row>
    <row r="7" spans="2:14" x14ac:dyDescent="0.55000000000000004">
      <c r="B7" s="715"/>
      <c r="C7" s="767"/>
      <c r="D7" s="767"/>
      <c r="E7" s="767"/>
      <c r="F7" s="767"/>
      <c r="G7" s="768"/>
      <c r="H7" s="596"/>
      <c r="I7" s="715" t="s">
        <v>434</v>
      </c>
      <c r="J7" s="769">
        <f>Valuation!G28</f>
        <v>6.719232578593199</v>
      </c>
      <c r="K7" s="769">
        <f ca="1">Valuation!H28</f>
        <v>5.7196212434135791</v>
      </c>
      <c r="L7" s="769">
        <f ca="1">Valuation!I28</f>
        <v>4.5555927781213637</v>
      </c>
      <c r="M7" s="769">
        <f ca="1">Valuation!J28</f>
        <v>3.4509299788300858</v>
      </c>
      <c r="N7" s="768"/>
    </row>
    <row r="8" spans="2:14" x14ac:dyDescent="0.55000000000000004">
      <c r="B8" s="773" t="s">
        <v>80</v>
      </c>
      <c r="C8" s="774">
        <f>Valuation!G21</f>
        <v>0</v>
      </c>
      <c r="D8" s="774">
        <f>Valuation!H21</f>
        <v>0</v>
      </c>
      <c r="E8" s="774">
        <f>Valuation!I21</f>
        <v>0</v>
      </c>
      <c r="F8" s="774">
        <f>Valuation!J21</f>
        <v>0</v>
      </c>
      <c r="G8" s="775"/>
      <c r="H8" s="596"/>
      <c r="I8" s="773"/>
      <c r="J8" s="774"/>
      <c r="K8" s="774"/>
      <c r="L8" s="774"/>
      <c r="M8" s="774"/>
      <c r="N8" s="775"/>
    </row>
    <row r="9" spans="2:14" x14ac:dyDescent="0.55000000000000004">
      <c r="B9" s="715" t="s">
        <v>81</v>
      </c>
      <c r="C9" s="767">
        <f>Valuation!G22</f>
        <v>32851</v>
      </c>
      <c r="D9" s="767">
        <f>Valuation!H22</f>
        <v>32970</v>
      </c>
      <c r="E9" s="767">
        <f>Valuation!I22</f>
        <v>32970</v>
      </c>
      <c r="F9" s="767">
        <f>Valuation!J22</f>
        <v>32970</v>
      </c>
      <c r="G9" s="768"/>
      <c r="H9" s="596"/>
      <c r="I9" s="715"/>
      <c r="J9" s="767"/>
      <c r="K9" s="767"/>
      <c r="L9" s="767"/>
      <c r="M9" s="767"/>
      <c r="N9" s="768"/>
    </row>
    <row r="10" spans="2:14" x14ac:dyDescent="0.55000000000000004">
      <c r="B10" s="718"/>
      <c r="C10" s="770"/>
      <c r="D10" s="770"/>
      <c r="E10" s="770"/>
      <c r="F10" s="770"/>
      <c r="G10" s="771"/>
      <c r="H10" s="596"/>
      <c r="I10" s="718"/>
      <c r="J10" s="770"/>
      <c r="K10" s="770"/>
      <c r="L10" s="770"/>
      <c r="M10" s="770"/>
      <c r="N10" s="771"/>
    </row>
    <row r="11" spans="2:14" x14ac:dyDescent="0.55000000000000004">
      <c r="B11" s="715"/>
      <c r="C11" s="767"/>
      <c r="D11" s="767"/>
      <c r="E11" s="767"/>
      <c r="F11" s="767"/>
      <c r="G11" s="768"/>
      <c r="H11" s="596"/>
      <c r="I11" s="715"/>
      <c r="J11" s="767"/>
      <c r="K11" s="767"/>
      <c r="L11" s="767"/>
      <c r="M11" s="767"/>
      <c r="N11" s="768"/>
    </row>
    <row r="12" spans="2:14" x14ac:dyDescent="0.55000000000000004">
      <c r="B12" s="776" t="s">
        <v>445</v>
      </c>
      <c r="C12" s="770"/>
      <c r="D12" s="770"/>
      <c r="E12" s="770"/>
      <c r="F12" s="770"/>
      <c r="G12" s="771"/>
      <c r="H12" s="596"/>
      <c r="I12" s="776" t="s">
        <v>408</v>
      </c>
      <c r="J12" s="770"/>
      <c r="K12" s="770"/>
      <c r="L12" s="770"/>
      <c r="M12" s="770"/>
      <c r="N12" s="771"/>
    </row>
    <row r="13" spans="2:14" x14ac:dyDescent="0.55000000000000004">
      <c r="B13" s="715" t="s">
        <v>340</v>
      </c>
      <c r="C13" s="767">
        <f>Master!G4</f>
        <v>4790.1710000000003</v>
      </c>
      <c r="D13" s="767">
        <f>Master!H4</f>
        <v>7732.8072369424499</v>
      </c>
      <c r="E13" s="767">
        <f>Master!I4</f>
        <v>10023.301010022686</v>
      </c>
      <c r="F13" s="767">
        <f>Master!J4</f>
        <v>12552.755047904211</v>
      </c>
      <c r="G13" s="777">
        <f>(F13/D13)^(1/2)-1</f>
        <v>0.27409242882356044</v>
      </c>
      <c r="H13" s="596"/>
      <c r="I13" s="715" t="s">
        <v>446</v>
      </c>
      <c r="J13" s="769">
        <f>Drivers!G8</f>
        <v>61.2</v>
      </c>
      <c r="K13" s="769">
        <f>Drivers!H8</f>
        <v>75.7</v>
      </c>
      <c r="L13" s="769">
        <f>Drivers!I8</f>
        <v>87.2</v>
      </c>
      <c r="M13" s="769">
        <f>Drivers!J8</f>
        <v>99.2</v>
      </c>
      <c r="N13" s="777">
        <f>(M13/K13)^(1/2)-1</f>
        <v>0.1447427358615534</v>
      </c>
    </row>
    <row r="14" spans="2:14" x14ac:dyDescent="0.55000000000000004">
      <c r="B14" s="718" t="s">
        <v>415</v>
      </c>
      <c r="C14" s="770">
        <f>Master!G5</f>
        <v>3555.1709999999998</v>
      </c>
      <c r="D14" s="770">
        <f>Master!H5</f>
        <v>6136.3464197242847</v>
      </c>
      <c r="E14" s="770">
        <f>Master!I5</f>
        <v>8015.8005110030226</v>
      </c>
      <c r="F14" s="770">
        <f>Master!J5</f>
        <v>9840.4789014433009</v>
      </c>
      <c r="G14" s="778">
        <f>(F14/D14)^(1/2)-1</f>
        <v>0.26634833203204389</v>
      </c>
      <c r="H14" s="779"/>
      <c r="I14" s="718" t="s">
        <v>447</v>
      </c>
      <c r="J14" s="770">
        <f>Master!G154</f>
        <v>8233</v>
      </c>
      <c r="K14" s="770">
        <f>Master!H154</f>
        <v>12218.016153236456</v>
      </c>
      <c r="L14" s="770">
        <f>Master!I154</f>
        <v>16387.137596849418</v>
      </c>
      <c r="M14" s="770">
        <f>Master!J154</f>
        <v>19903.781491858783</v>
      </c>
      <c r="N14" s="778">
        <f>(M14/K14)^(1/2)-1</f>
        <v>0.2763431448188991</v>
      </c>
    </row>
    <row r="15" spans="2:14" x14ac:dyDescent="0.55000000000000004">
      <c r="B15" s="715" t="s">
        <v>416</v>
      </c>
      <c r="C15" s="767">
        <f>Master!G6</f>
        <v>1235</v>
      </c>
      <c r="D15" s="767">
        <f>Master!H6</f>
        <v>1596.4608172181649</v>
      </c>
      <c r="E15" s="767">
        <f>Master!I6</f>
        <v>2007.5004990196635</v>
      </c>
      <c r="F15" s="767">
        <f>Master!J6</f>
        <v>2712.2761464609107</v>
      </c>
      <c r="G15" s="777">
        <f>(F15/D15)^(1/2)-1</f>
        <v>0.30343032332366793</v>
      </c>
      <c r="H15" s="779"/>
      <c r="I15" s="715" t="s">
        <v>448</v>
      </c>
      <c r="J15" s="767">
        <f>Master!G155</f>
        <v>1673</v>
      </c>
      <c r="K15" s="767">
        <f>Master!H155</f>
        <v>3073.7838046249276</v>
      </c>
      <c r="L15" s="767">
        <f>Master!I155</f>
        <v>4345.3200144218608</v>
      </c>
      <c r="M15" s="767">
        <f>Master!J155</f>
        <v>6029.4757547159606</v>
      </c>
      <c r="N15" s="777">
        <f>(M15/K15)^(1/2)-1</f>
        <v>0.40056451108897528</v>
      </c>
    </row>
    <row r="16" spans="2:14" x14ac:dyDescent="0.55000000000000004">
      <c r="B16" s="718" t="s">
        <v>409</v>
      </c>
      <c r="C16" s="770">
        <f>Master!G15</f>
        <v>1663.1710000000003</v>
      </c>
      <c r="D16" s="770">
        <f>Master!H15</f>
        <v>3182.8955863716346</v>
      </c>
      <c r="E16" s="770">
        <f>Master!I15</f>
        <v>4565.1962036227596</v>
      </c>
      <c r="F16" s="770">
        <f>Master!J15</f>
        <v>6348.3063126606576</v>
      </c>
      <c r="G16" s="778">
        <f>(F16/D16)^(1/2)-1</f>
        <v>0.41227002318586625</v>
      </c>
      <c r="H16" s="779"/>
      <c r="I16" s="718"/>
      <c r="J16" s="770"/>
      <c r="K16" s="770"/>
      <c r="L16" s="770"/>
      <c r="M16" s="770"/>
      <c r="N16" s="778"/>
    </row>
    <row r="17" spans="2:14" x14ac:dyDescent="0.55000000000000004">
      <c r="B17" s="715" t="s">
        <v>372</v>
      </c>
      <c r="C17" s="777">
        <f>Master!G16</f>
        <v>0.34720493276753589</v>
      </c>
      <c r="D17" s="777">
        <f>Master!H16</f>
        <v>0.41160932748533774</v>
      </c>
      <c r="E17" s="777">
        <f>Master!I16</f>
        <v>0.45545835638956106</v>
      </c>
      <c r="F17" s="777">
        <f>Master!J16</f>
        <v>0.50573011967763692</v>
      </c>
      <c r="G17" s="768"/>
      <c r="H17" s="596"/>
      <c r="I17" s="715"/>
      <c r="J17" s="777"/>
      <c r="K17" s="777"/>
      <c r="L17" s="777"/>
      <c r="M17" s="777"/>
      <c r="N17" s="768"/>
    </row>
    <row r="18" spans="2:14" x14ac:dyDescent="0.55000000000000004">
      <c r="B18" s="718"/>
      <c r="C18" s="771"/>
      <c r="D18" s="771"/>
      <c r="E18" s="771"/>
      <c r="F18" s="771"/>
      <c r="G18" s="771"/>
      <c r="H18" s="779"/>
      <c r="I18" s="776" t="s">
        <v>346</v>
      </c>
      <c r="J18" s="771"/>
      <c r="K18" s="771"/>
      <c r="L18" s="771"/>
      <c r="M18" s="771"/>
      <c r="N18" s="771"/>
    </row>
    <row r="19" spans="2:14" x14ac:dyDescent="0.55000000000000004">
      <c r="B19" s="715"/>
      <c r="C19" s="768"/>
      <c r="D19" s="768"/>
      <c r="E19" s="768"/>
      <c r="F19" s="768"/>
      <c r="G19" s="768"/>
      <c r="H19" s="596"/>
      <c r="I19" s="715" t="s">
        <v>449</v>
      </c>
      <c r="J19" s="780">
        <f>Drivers!G27</f>
        <v>34</v>
      </c>
      <c r="K19" s="780">
        <f>Drivers!H27</f>
        <v>45.42</v>
      </c>
      <c r="L19" s="780">
        <f>Drivers!I27</f>
        <v>56.680000000000007</v>
      </c>
      <c r="M19" s="780">
        <f>Drivers!J27</f>
        <v>69.440000000000012</v>
      </c>
      <c r="N19" s="777">
        <f>(M19/K19)^(1/2)-1</f>
        <v>0.23646347291745462</v>
      </c>
    </row>
    <row r="20" spans="2:14" x14ac:dyDescent="0.55000000000000004">
      <c r="B20" s="718" t="s">
        <v>411</v>
      </c>
      <c r="C20" s="772">
        <f>Master!G47</f>
        <v>-307.82899999999972</v>
      </c>
      <c r="D20" s="772">
        <f>Master!H47</f>
        <v>1297.1388337315589</v>
      </c>
      <c r="E20" s="772">
        <f>Master!I47</f>
        <v>2182.2255762477103</v>
      </c>
      <c r="F20" s="772">
        <f>Master!J47</f>
        <v>3457.7439510282611</v>
      </c>
      <c r="G20" s="771" t="s">
        <v>410</v>
      </c>
      <c r="H20" s="779"/>
      <c r="I20" s="718" t="s">
        <v>418</v>
      </c>
      <c r="J20" s="772">
        <f>Drivers!G81</f>
        <v>0.20452538489773611</v>
      </c>
      <c r="K20" s="772">
        <f>Drivers!H81</f>
        <v>0.23092750647736504</v>
      </c>
      <c r="L20" s="772">
        <f>Drivers!I81</f>
        <v>0.25358592988256201</v>
      </c>
      <c r="M20" s="772">
        <f>Drivers!J81</f>
        <v>0.2763008295116276</v>
      </c>
      <c r="N20" s="772"/>
    </row>
    <row r="21" spans="2:14" x14ac:dyDescent="0.55000000000000004">
      <c r="B21" s="715" t="s">
        <v>412</v>
      </c>
      <c r="C21" s="769">
        <f>Master!G56</f>
        <v>-363.82899999999972</v>
      </c>
      <c r="D21" s="769">
        <f>Master!H56</f>
        <v>874.28470843288972</v>
      </c>
      <c r="E21" s="769">
        <f>Master!I56</f>
        <v>1472.8902304990841</v>
      </c>
      <c r="F21" s="769">
        <f>Master!J56</f>
        <v>2316.6884471889348</v>
      </c>
      <c r="G21" s="768"/>
      <c r="H21" s="779"/>
      <c r="I21" s="715"/>
      <c r="J21" s="769"/>
      <c r="K21" s="769"/>
      <c r="L21" s="769"/>
      <c r="M21" s="769"/>
      <c r="N21" s="768"/>
    </row>
    <row r="22" spans="2:14" x14ac:dyDescent="0.55000000000000004">
      <c r="B22" s="718" t="s">
        <v>413</v>
      </c>
      <c r="C22" s="781">
        <f>Master!G75</f>
        <v>-7.7525889622842473E-2</v>
      </c>
      <c r="D22" s="781">
        <f>Master!H75</f>
        <v>0.1856230803466857</v>
      </c>
      <c r="E22" s="781">
        <f>Master!I75</f>
        <v>0.31271554787666328</v>
      </c>
      <c r="F22" s="781">
        <f>Master!J75</f>
        <v>0.49186591235433857</v>
      </c>
      <c r="G22" s="771"/>
      <c r="H22" s="596"/>
      <c r="I22" s="718"/>
      <c r="J22" s="781"/>
      <c r="K22" s="781"/>
      <c r="L22" s="781"/>
      <c r="M22" s="781"/>
      <c r="N22" s="771"/>
    </row>
    <row r="23" spans="2:14" x14ac:dyDescent="0.55000000000000004">
      <c r="B23" s="715" t="s">
        <v>414</v>
      </c>
      <c r="C23" s="782">
        <f>Master!G78</f>
        <v>0</v>
      </c>
      <c r="D23" s="782">
        <f>Master!H78</f>
        <v>0</v>
      </c>
      <c r="E23" s="782">
        <f>Master!I78</f>
        <v>0</v>
      </c>
      <c r="F23" s="782">
        <f>Master!J78</f>
        <v>0</v>
      </c>
      <c r="G23" s="768"/>
      <c r="H23" s="596"/>
      <c r="I23" s="715"/>
      <c r="J23" s="782"/>
      <c r="K23" s="782"/>
      <c r="L23" s="782"/>
      <c r="M23" s="782"/>
      <c r="N23" s="768"/>
    </row>
    <row r="24" spans="2:14" x14ac:dyDescent="0.55000000000000004">
      <c r="B24" s="773"/>
      <c r="C24" s="775"/>
      <c r="D24" s="775"/>
      <c r="E24" s="775"/>
      <c r="F24" s="775"/>
      <c r="G24" s="775"/>
      <c r="H24" s="596"/>
      <c r="I24" s="773"/>
      <c r="J24" s="775"/>
      <c r="K24" s="775"/>
      <c r="L24" s="775"/>
      <c r="M24" s="775"/>
      <c r="N24" s="775"/>
    </row>
  </sheetData>
  <pageMargins left="0.7" right="0.7" top="0.75" bottom="0.75"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2A159-4493-4A73-A701-4F7BCA2B9BA0}">
  <dimension ref="A1:M16"/>
  <sheetViews>
    <sheetView zoomScale="80" zoomScaleNormal="80" workbookViewId="0">
      <selection activeCell="B16" sqref="B16:M16"/>
    </sheetView>
  </sheetViews>
  <sheetFormatPr defaultRowHeight="15.6" x14ac:dyDescent="0.6"/>
  <cols>
    <col min="1" max="1" width="37.69921875" bestFit="1" customWidth="1"/>
  </cols>
  <sheetData>
    <row r="1" spans="1:13" x14ac:dyDescent="0.6">
      <c r="A1" s="383" t="s">
        <v>659</v>
      </c>
      <c r="B1" s="384">
        <v>2019</v>
      </c>
      <c r="C1" s="384">
        <v>2020</v>
      </c>
      <c r="D1" s="384">
        <v>2021</v>
      </c>
      <c r="E1" s="384">
        <v>2022</v>
      </c>
      <c r="F1" s="384">
        <v>2023</v>
      </c>
      <c r="G1" s="384">
        <v>2024</v>
      </c>
      <c r="H1" s="384">
        <v>2025</v>
      </c>
      <c r="I1" s="384">
        <v>2026</v>
      </c>
      <c r="J1" s="384">
        <v>2027</v>
      </c>
      <c r="K1" s="384">
        <v>2028</v>
      </c>
      <c r="L1" s="384">
        <v>2029</v>
      </c>
      <c r="M1" s="384">
        <v>2030</v>
      </c>
    </row>
    <row r="2" spans="1:13" x14ac:dyDescent="0.6">
      <c r="A2" s="385" t="s">
        <v>660</v>
      </c>
      <c r="B2" s="309">
        <f>Master!D4</f>
        <v>612.09999999999991</v>
      </c>
      <c r="C2" s="309">
        <f>Master!E4</f>
        <v>737.1</v>
      </c>
      <c r="D2" s="309">
        <f>Master!F4</f>
        <v>1696.9561700000002</v>
      </c>
      <c r="E2" s="309">
        <f>Master!G4</f>
        <v>4790.1710000000003</v>
      </c>
      <c r="F2" s="309">
        <f>Master!H4</f>
        <v>7732.8072369424499</v>
      </c>
      <c r="G2" s="309">
        <f>Master!I4</f>
        <v>10023.301010022686</v>
      </c>
      <c r="H2" s="309">
        <f>Master!J4</f>
        <v>12552.755047904211</v>
      </c>
      <c r="I2" s="309">
        <f>Master!K4</f>
        <v>14827.584061151229</v>
      </c>
      <c r="J2" s="309">
        <f>Master!L4</f>
        <v>16928.784213913113</v>
      </c>
      <c r="K2" s="309">
        <f>Master!M4</f>
        <v>18724.416345688416</v>
      </c>
      <c r="L2" s="309">
        <f>Master!N4</f>
        <v>20972.958831498792</v>
      </c>
      <c r="M2" s="309">
        <f>Master!O4</f>
        <v>23159.131387457866</v>
      </c>
    </row>
    <row r="3" spans="1:13" x14ac:dyDescent="0.6">
      <c r="A3" s="386" t="s">
        <v>661</v>
      </c>
      <c r="B3" s="86">
        <f>Master!D4</f>
        <v>612.09999999999991</v>
      </c>
      <c r="C3" s="86">
        <f>Master!E4</f>
        <v>737.1</v>
      </c>
      <c r="D3" s="86">
        <f>Master!F4</f>
        <v>1696.9561700000002</v>
      </c>
      <c r="E3" s="86">
        <f>Master!G4</f>
        <v>4790.1710000000003</v>
      </c>
      <c r="F3" s="86">
        <f>Master!H4</f>
        <v>7732.8072369424499</v>
      </c>
      <c r="G3" s="86">
        <f>Master!I4</f>
        <v>10023.301010022686</v>
      </c>
      <c r="H3" s="86">
        <f>Master!J4</f>
        <v>12552.755047904211</v>
      </c>
      <c r="I3" s="86">
        <f>Master!K4</f>
        <v>14827.584061151229</v>
      </c>
      <c r="J3" s="86">
        <f>Master!L4</f>
        <v>16928.784213913113</v>
      </c>
      <c r="K3" s="86">
        <f>Master!M4</f>
        <v>18724.416345688416</v>
      </c>
      <c r="L3" s="86">
        <f>Master!N4</f>
        <v>20972.958831498792</v>
      </c>
      <c r="M3" s="86">
        <f>Master!O4</f>
        <v>23159.131387457866</v>
      </c>
    </row>
    <row r="4" spans="1:13" x14ac:dyDescent="0.6">
      <c r="A4" s="385" t="s">
        <v>409</v>
      </c>
      <c r="B4" s="309">
        <f>Master!D15</f>
        <v>247.89999999999992</v>
      </c>
      <c r="C4" s="309">
        <f>Master!E15</f>
        <v>326.90000000000003</v>
      </c>
      <c r="D4" s="309">
        <f>Master!F15</f>
        <v>731.85017000000016</v>
      </c>
      <c r="E4" s="309">
        <f>Master!G15</f>
        <v>1663.1710000000003</v>
      </c>
      <c r="F4" s="309">
        <f>Master!H15</f>
        <v>3182.8955863716346</v>
      </c>
      <c r="G4" s="309">
        <f>Master!I15</f>
        <v>4565.1962036227596</v>
      </c>
      <c r="H4" s="309">
        <f>Master!J15</f>
        <v>6348.3063126606576</v>
      </c>
      <c r="I4" s="309">
        <f>Master!K15</f>
        <v>7749.0585117122428</v>
      </c>
      <c r="J4" s="309">
        <f>Master!L15</f>
        <v>8967.0622655681527</v>
      </c>
      <c r="K4" s="309">
        <f>Master!M15</f>
        <v>9937.3816928715169</v>
      </c>
      <c r="L4" s="309">
        <f>Master!N15</f>
        <v>11303.905933732734</v>
      </c>
      <c r="M4" s="309">
        <f>Master!O15</f>
        <v>12619.198621481797</v>
      </c>
    </row>
    <row r="5" spans="1:13" x14ac:dyDescent="0.6">
      <c r="A5" s="386" t="s">
        <v>658</v>
      </c>
      <c r="B5" s="86">
        <f>Master!D44</f>
        <v>-124.22700000000012</v>
      </c>
      <c r="C5" s="86">
        <f>Master!E44</f>
        <v>-84.571999999999946</v>
      </c>
      <c r="D5" s="86">
        <f>Master!F44</f>
        <v>-153.89182999999974</v>
      </c>
      <c r="E5" s="86">
        <f>Master!G44</f>
        <v>-258.88443888679194</v>
      </c>
      <c r="F5" s="86">
        <f>Master!H44</f>
        <v>1376.1503880967757</v>
      </c>
      <c r="G5" s="86">
        <f>Master!I44</f>
        <v>2284.6407236069867</v>
      </c>
      <c r="H5" s="86">
        <f>Master!J44</f>
        <v>3586.0043172200476</v>
      </c>
      <c r="I5" s="86">
        <f>Master!K44</f>
        <v>4578.4873756094112</v>
      </c>
      <c r="J5" s="86">
        <f>Master!L44</f>
        <v>5442.1071869807811</v>
      </c>
      <c r="K5" s="86">
        <f>Master!M44</f>
        <v>6133.8015926953349</v>
      </c>
      <c r="L5" s="86">
        <f>Master!N44</f>
        <v>7154.4180015373722</v>
      </c>
      <c r="M5" s="86">
        <f>Master!O44</f>
        <v>8154.3622058792043</v>
      </c>
    </row>
    <row r="6" spans="1:13" x14ac:dyDescent="0.6">
      <c r="A6" s="385" t="s">
        <v>24</v>
      </c>
      <c r="B6" s="309">
        <f>Master!D56</f>
        <v>-92.500000000000114</v>
      </c>
      <c r="C6" s="309">
        <f>Master!E56</f>
        <v>-171.49999999999994</v>
      </c>
      <c r="D6" s="309">
        <f>Master!F56</f>
        <v>-166.40082999999976</v>
      </c>
      <c r="E6" s="309">
        <f>Master!G56</f>
        <v>-363.82899999999972</v>
      </c>
      <c r="F6" s="309">
        <f>Master!H56</f>
        <v>874.28470843288972</v>
      </c>
      <c r="G6" s="309">
        <f>Master!I56</f>
        <v>1472.8902304990841</v>
      </c>
      <c r="H6" s="309">
        <f>Master!J56</f>
        <v>2316.6884471889348</v>
      </c>
      <c r="I6" s="309">
        <f>Master!K56</f>
        <v>2966.0789278085485</v>
      </c>
      <c r="J6" s="309">
        <f>Master!L56</f>
        <v>3477.6283339797774</v>
      </c>
      <c r="K6" s="309">
        <f>Master!M56</f>
        <v>3922.0374620242001</v>
      </c>
      <c r="L6" s="309">
        <f>Master!N56</f>
        <v>4580.480826803232</v>
      </c>
      <c r="M6" s="309">
        <f>Master!O56</f>
        <v>5225.7011398508312</v>
      </c>
    </row>
    <row r="7" spans="1:13" x14ac:dyDescent="0.6">
      <c r="A7" s="386" t="s">
        <v>662</v>
      </c>
      <c r="B7" s="86"/>
      <c r="C7" s="86"/>
      <c r="D7" s="86"/>
      <c r="E7" s="86"/>
      <c r="F7" s="86"/>
      <c r="G7" s="86"/>
      <c r="H7" s="86"/>
      <c r="I7" s="86"/>
      <c r="J7" s="86"/>
      <c r="K7" s="86"/>
      <c r="L7" s="86"/>
      <c r="M7" s="86"/>
    </row>
    <row r="8" spans="1:13" x14ac:dyDescent="0.6">
      <c r="A8" s="385" t="s">
        <v>663</v>
      </c>
      <c r="B8" s="309">
        <f>Drivers!D8</f>
        <v>12.1</v>
      </c>
      <c r="C8" s="309">
        <f>Drivers!E8</f>
        <v>21.8</v>
      </c>
      <c r="D8" s="309">
        <f>Drivers!F8</f>
        <v>41.1</v>
      </c>
      <c r="E8" s="309">
        <f>Drivers!G8</f>
        <v>61.2</v>
      </c>
      <c r="F8" s="309">
        <f>Drivers!H8</f>
        <v>75.7</v>
      </c>
      <c r="G8" s="309">
        <f>Drivers!I8</f>
        <v>87.2</v>
      </c>
      <c r="H8" s="309">
        <f>Drivers!J8</f>
        <v>99.2</v>
      </c>
      <c r="I8" s="309">
        <f>Drivers!K8</f>
        <v>109.2</v>
      </c>
      <c r="J8" s="309">
        <f>Drivers!L8</f>
        <v>117.2</v>
      </c>
      <c r="K8" s="309">
        <f>Drivers!M8</f>
        <v>122.7</v>
      </c>
      <c r="L8" s="309">
        <f>Drivers!N8</f>
        <v>127.2</v>
      </c>
      <c r="M8" s="309">
        <f>Drivers!O8</f>
        <v>130.70000000000002</v>
      </c>
    </row>
    <row r="9" spans="1:13" x14ac:dyDescent="0.6">
      <c r="A9" s="386" t="s">
        <v>664</v>
      </c>
      <c r="B9" s="86">
        <f>B2/AVERAGE(Drivers!C8:D8)/12</f>
        <v>5.9312015503875957</v>
      </c>
      <c r="C9" s="86">
        <f>C2/AVERAGE(Drivers!D8:E8)/12</f>
        <v>3.6238938053097347</v>
      </c>
      <c r="D9" s="86">
        <f>D2/AVERAGE(Drivers!E8:F8)/12</f>
        <v>4.4964392421833601</v>
      </c>
      <c r="E9" s="86">
        <f>E2/AVERAGE(Drivers!F8:G8)/12</f>
        <v>7.8041234929944601</v>
      </c>
      <c r="F9" s="86">
        <f>F2/AVERAGE(Drivers!G8:H8)/12</f>
        <v>9.4141797381817014</v>
      </c>
      <c r="G9" s="86">
        <f>G2/AVERAGE(Drivers!H8:I8)/12</f>
        <v>10.25506549009892</v>
      </c>
      <c r="H9" s="86">
        <f>H2/AVERAGE(Drivers!I8:J8)/12</f>
        <v>11.223851080028801</v>
      </c>
      <c r="I9" s="86">
        <f>I2/AVERAGE(Drivers!J8:K8)/12</f>
        <v>11.858272601688443</v>
      </c>
      <c r="J9" s="86">
        <f>J2/AVERAGE(Drivers!K8:L8)/12</f>
        <v>12.462296977262303</v>
      </c>
      <c r="K9" s="86">
        <f>K2/AVERAGE(Drivers!L8:M8)/12</f>
        <v>13.008487109690437</v>
      </c>
      <c r="L9" s="86">
        <f>L2/AVERAGE(Drivers!M8:N8)/12</f>
        <v>13.987567581365075</v>
      </c>
      <c r="M9" s="86">
        <f>M2/AVERAGE(Drivers!N8:O8)/12</f>
        <v>14.966480152163541</v>
      </c>
    </row>
    <row r="10" spans="1:13" x14ac:dyDescent="0.6">
      <c r="A10" s="385" t="s">
        <v>665</v>
      </c>
      <c r="B10" s="309"/>
      <c r="C10" s="309"/>
      <c r="D10" s="309"/>
      <c r="E10" s="309"/>
      <c r="F10" s="309"/>
      <c r="G10" s="309"/>
      <c r="H10" s="309"/>
      <c r="I10" s="309"/>
      <c r="J10" s="309"/>
      <c r="K10" s="309"/>
      <c r="L10" s="309"/>
      <c r="M10" s="309"/>
    </row>
    <row r="11" spans="1:13" x14ac:dyDescent="0.6">
      <c r="A11" s="386" t="s">
        <v>638</v>
      </c>
      <c r="B11" s="86">
        <f>Drivers!D185</f>
        <v>17.100000000000001</v>
      </c>
      <c r="C11" s="86">
        <f>Drivers!E185</f>
        <v>22.5</v>
      </c>
      <c r="D11" s="86">
        <f>Drivers!F185</f>
        <v>43.8</v>
      </c>
      <c r="E11" s="86">
        <f>Drivers!G185</f>
        <v>81</v>
      </c>
      <c r="F11" s="86">
        <f>Drivers!H185</f>
        <v>127.90821580133473</v>
      </c>
      <c r="G11" s="86">
        <f>Drivers!I185</f>
        <v>164.91252074447053</v>
      </c>
      <c r="H11" s="86">
        <f>Drivers!J185</f>
        <v>224.13230824887597</v>
      </c>
      <c r="I11" s="86">
        <f>Drivers!K185</f>
        <v>266.28763415334771</v>
      </c>
      <c r="J11" s="86">
        <f>Drivers!L185</f>
        <v>315.25672759927772</v>
      </c>
      <c r="K11" s="86">
        <f>Drivers!M185</f>
        <v>350.35426059768201</v>
      </c>
      <c r="L11" s="86">
        <f>Drivers!N185</f>
        <v>386.35744052393522</v>
      </c>
      <c r="M11" s="86">
        <f>Drivers!O185</f>
        <v>423.70873206245506</v>
      </c>
    </row>
    <row r="12" spans="1:13" x14ac:dyDescent="0.6">
      <c r="A12" s="385" t="s">
        <v>666</v>
      </c>
      <c r="B12" s="309">
        <f>Master!D185</f>
        <v>612.20000000000005</v>
      </c>
      <c r="C12" s="309">
        <f>Master!E185</f>
        <v>438.1</v>
      </c>
      <c r="D12" s="309">
        <f>Master!F185</f>
        <v>4442.5409999999993</v>
      </c>
      <c r="E12" s="309">
        <f>Master!G185</f>
        <v>4890.0829999999996</v>
      </c>
      <c r="F12" s="309">
        <f>Master!H185</f>
        <v>5764.3677084328892</v>
      </c>
      <c r="G12" s="309">
        <f>Master!I185</f>
        <v>7237.2579389319735</v>
      </c>
      <c r="H12" s="309">
        <f>Master!J185</f>
        <v>9553.9463861209097</v>
      </c>
      <c r="I12" s="309">
        <f>Master!K185</f>
        <v>12520.025313929458</v>
      </c>
      <c r="J12" s="309">
        <f>Master!L185</f>
        <v>15997.653647909236</v>
      </c>
      <c r="K12" s="309">
        <f>Master!M185</f>
        <v>19919.691109933432</v>
      </c>
      <c r="L12" s="309">
        <f>Master!N185</f>
        <v>24500.171936736664</v>
      </c>
      <c r="M12" s="309">
        <f>Master!O185</f>
        <v>29725.873076587493</v>
      </c>
    </row>
    <row r="13" spans="1:13" x14ac:dyDescent="0.6">
      <c r="A13" s="386" t="s">
        <v>667</v>
      </c>
      <c r="B13" s="86">
        <f>AVERAGE(Master!C142:D142)</f>
        <v>4772.8999999999996</v>
      </c>
      <c r="C13" s="86">
        <f>AVERAGE(Master!D142:E142)</f>
        <v>8471.0127906976741</v>
      </c>
      <c r="D13" s="86">
        <f>AVERAGE(Master!E142:F142)</f>
        <v>15020.341290697674</v>
      </c>
      <c r="E13" s="86">
        <f>AVERAGE(Master!F142:G142)</f>
        <v>24885.878499999999</v>
      </c>
      <c r="F13" s="86">
        <f ca="1">AVERAGE(Master!G142:H142)</f>
        <v>31544.038287219366</v>
      </c>
      <c r="G13" s="86">
        <f ca="1">AVERAGE(Master!H142:I142)</f>
        <v>36364.704955604815</v>
      </c>
      <c r="H13" s="86">
        <f ca="1">AVERAGE(Master!I142:J142)</f>
        <v>44488.317594807755</v>
      </c>
      <c r="I13" s="86">
        <f ca="1">AVERAGE(Master!J142:K142)</f>
        <v>54868.869385753846</v>
      </c>
      <c r="J13" s="86">
        <f ca="1">AVERAGE(Master!K142:L142)</f>
        <v>66164.246882634558</v>
      </c>
      <c r="K13" s="86">
        <f ca="1">AVERAGE(Master!L142:M142)</f>
        <v>78047.816000721577</v>
      </c>
      <c r="L13" s="86">
        <f ca="1">AVERAGE(Master!M142:N142)</f>
        <v>90715.441471132654</v>
      </c>
      <c r="M13" s="86">
        <f ca="1">AVERAGE(Master!N142:O142)</f>
        <v>104557.52871926113</v>
      </c>
    </row>
    <row r="14" spans="1:13" x14ac:dyDescent="0.6">
      <c r="A14" s="385" t="s">
        <v>668</v>
      </c>
      <c r="B14" s="309">
        <f>Valuation!D17</f>
        <v>0</v>
      </c>
      <c r="C14" s="309">
        <f>Valuation!E17</f>
        <v>4311.3442110000005</v>
      </c>
      <c r="D14" s="309">
        <f>Valuation!F17</f>
        <v>4643.8673490000001</v>
      </c>
      <c r="E14" s="309">
        <f>Valuation!G17</f>
        <v>4693</v>
      </c>
      <c r="F14" s="309">
        <f>Valuation!H17</f>
        <v>4710</v>
      </c>
      <c r="G14" s="309">
        <f>Valuation!I17</f>
        <v>4710</v>
      </c>
      <c r="H14" s="309">
        <f>Valuation!J17</f>
        <v>4710</v>
      </c>
      <c r="I14" s="309">
        <f>Valuation!K17</f>
        <v>4710</v>
      </c>
      <c r="J14" s="309">
        <f>Valuation!L17</f>
        <v>4710</v>
      </c>
      <c r="K14" s="309">
        <f>Valuation!M17</f>
        <v>4710</v>
      </c>
      <c r="L14" s="309">
        <f>Valuation!N17</f>
        <v>4710</v>
      </c>
      <c r="M14" s="309">
        <f>Valuation!O17</f>
        <v>4710</v>
      </c>
    </row>
    <row r="15" spans="1:13" x14ac:dyDescent="0.6">
      <c r="A15" s="386" t="s">
        <v>669</v>
      </c>
      <c r="B15" s="86"/>
      <c r="C15" s="86"/>
      <c r="D15" s="86"/>
      <c r="E15" s="86"/>
      <c r="F15" s="86"/>
      <c r="G15" s="86"/>
      <c r="H15" s="86"/>
      <c r="I15" s="86"/>
      <c r="J15" s="86"/>
      <c r="K15" s="86"/>
      <c r="L15" s="86"/>
      <c r="M15" s="86"/>
    </row>
    <row r="16" spans="1:13" x14ac:dyDescent="0.6">
      <c r="A16" s="385" t="s">
        <v>670</v>
      </c>
      <c r="B16" s="309">
        <f>Valuation!D20+Valuation!D21</f>
        <v>0</v>
      </c>
      <c r="C16" s="309">
        <f>Valuation!E20+Valuation!E21</f>
        <v>0</v>
      </c>
      <c r="D16" s="309">
        <f>Valuation!F20+Valuation!F21</f>
        <v>0</v>
      </c>
      <c r="E16" s="309">
        <f>Valuation!G20+Valuation!G21</f>
        <v>0</v>
      </c>
      <c r="F16" s="309">
        <f>Valuation!H20+Valuation!H21</f>
        <v>0</v>
      </c>
      <c r="G16" s="309">
        <f>Valuation!I20+Valuation!I21</f>
        <v>0</v>
      </c>
      <c r="H16" s="309">
        <f>Valuation!J20+Valuation!J21</f>
        <v>0</v>
      </c>
      <c r="I16" s="309">
        <f>Valuation!K20+Valuation!K21</f>
        <v>0</v>
      </c>
      <c r="J16" s="309">
        <f>Valuation!L20+Valuation!L21</f>
        <v>0</v>
      </c>
      <c r="K16" s="309">
        <f>Valuation!M20+Valuation!M21</f>
        <v>0</v>
      </c>
      <c r="L16" s="309">
        <f>Valuation!N20+Valuation!N21</f>
        <v>0</v>
      </c>
      <c r="M16" s="309">
        <f>Valuation!O20+Valuation!O21</f>
        <v>0</v>
      </c>
    </row>
  </sheetData>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F14B0-E734-4B50-877B-24364E551620}">
  <dimension ref="B1:L43"/>
  <sheetViews>
    <sheetView showGridLines="0" topLeftCell="A16" zoomScale="80" zoomScaleNormal="80" workbookViewId="0">
      <selection activeCell="G7" sqref="G7"/>
    </sheetView>
  </sheetViews>
  <sheetFormatPr defaultColWidth="8.69921875" defaultRowHeight="14.4" x14ac:dyDescent="0.55000000000000004"/>
  <cols>
    <col min="1" max="1" width="8.69921875" style="32"/>
    <col min="2" max="2" width="22.69921875" style="32" bestFit="1" customWidth="1"/>
    <col min="3" max="5" width="8.69921875" style="329" customWidth="1"/>
    <col min="6" max="6" width="9.5" style="329" bestFit="1" customWidth="1"/>
    <col min="7" max="7" width="8.69921875" style="329" customWidth="1"/>
    <col min="8" max="11" width="8.69921875" style="32" customWidth="1"/>
    <col min="12" max="16384" width="8.69921875" style="32"/>
  </cols>
  <sheetData>
    <row r="1" spans="2:12" customFormat="1" ht="15.6" x14ac:dyDescent="0.6"/>
    <row r="2" spans="2:12" customFormat="1" ht="15.6" x14ac:dyDescent="0.6">
      <c r="B2" s="321" t="s">
        <v>132</v>
      </c>
      <c r="C2" s="322">
        <v>2018</v>
      </c>
      <c r="D2" s="322">
        <v>2019</v>
      </c>
      <c r="E2" s="322">
        <v>2020</v>
      </c>
      <c r="F2" s="322">
        <v>2021</v>
      </c>
      <c r="G2" s="322">
        <v>2022</v>
      </c>
      <c r="H2" s="322">
        <v>2023</v>
      </c>
      <c r="I2" s="322">
        <v>2024</v>
      </c>
      <c r="J2" s="322">
        <v>2025</v>
      </c>
      <c r="K2" s="322">
        <v>2026</v>
      </c>
      <c r="L2" s="32"/>
    </row>
    <row r="3" spans="2:12" customFormat="1" ht="15.6" x14ac:dyDescent="0.6">
      <c r="B3" s="323" t="s">
        <v>530</v>
      </c>
      <c r="C3" s="760">
        <f>C10/C12</f>
        <v>0.85757839721254359</v>
      </c>
      <c r="D3" s="760">
        <f t="shared" ref="D3:K3" si="0">D10/D12</f>
        <v>0.3593149683460623</v>
      </c>
      <c r="E3" s="760">
        <f t="shared" si="0"/>
        <v>0.26066703403665803</v>
      </c>
      <c r="F3" s="760">
        <f t="shared" si="0"/>
        <v>0.21787140026644919</v>
      </c>
      <c r="G3" s="760">
        <f t="shared" si="0"/>
        <v>0.17498952820427605</v>
      </c>
      <c r="H3" s="760">
        <f t="shared" ca="1" si="0"/>
        <v>0.13565561576700508</v>
      </c>
      <c r="I3" s="760">
        <f t="shared" ca="1" si="0"/>
        <v>0.12717713978156722</v>
      </c>
      <c r="J3" s="760">
        <f t="shared" ca="1" si="0"/>
        <v>0.11304634647250422</v>
      </c>
      <c r="K3" s="760">
        <f t="shared" ca="1" si="0"/>
        <v>0.11304634647250425</v>
      </c>
      <c r="L3" s="32"/>
    </row>
    <row r="4" spans="2:12" customFormat="1" ht="15.6" x14ac:dyDescent="0.6">
      <c r="B4" s="325" t="s">
        <v>528</v>
      </c>
      <c r="C4" s="317">
        <f>Master!C185/Master!C142</f>
        <v>0.10650441524876159</v>
      </c>
      <c r="D4" s="317">
        <f>Master!D185/Master!D142</f>
        <v>9.0562130177514813E-2</v>
      </c>
      <c r="E4" s="317">
        <f>Master!E185/Master!E142</f>
        <v>4.3026802132622673E-2</v>
      </c>
      <c r="F4" s="317">
        <f>Master!F185/Master!F142</f>
        <v>0.22370802819143309</v>
      </c>
      <c r="G4" s="317">
        <f>Master!G185/Master!G142</f>
        <v>0.16347630302442742</v>
      </c>
      <c r="H4" s="317">
        <f ca="1">Master!H185/Master!H142</f>
        <v>0.17375649672272339</v>
      </c>
      <c r="I4" s="317">
        <f ca="1">Master!I185/Master!I142</f>
        <v>0.18296957707150413</v>
      </c>
      <c r="J4" s="317">
        <f ca="1">Master!J185/Master!J142</f>
        <v>0.19331284378158495</v>
      </c>
      <c r="K4" s="317">
        <f ca="1">Master!K185/Master!K142</f>
        <v>0.20757545988213635</v>
      </c>
      <c r="L4" s="32"/>
    </row>
    <row r="5" spans="2:12" customFormat="1" ht="15.75" customHeight="1" x14ac:dyDescent="0.6">
      <c r="B5" s="323" t="s">
        <v>529</v>
      </c>
      <c r="C5" s="318">
        <f>Drivers!C33/Master!C185</f>
        <v>5.4728682170542635</v>
      </c>
      <c r="D5" s="318">
        <f>Drivers!D33/Master!D185</f>
        <v>4.6463573995426328</v>
      </c>
      <c r="E5" s="318">
        <f>Drivers!E33/Master!E185</f>
        <v>7.1016333745613984</v>
      </c>
      <c r="F5" s="318">
        <f>Drivers!F33/Master!F185</f>
        <v>1.3450207887783141</v>
      </c>
      <c r="G5" s="318">
        <f>Drivers!G33/Master!G185</f>
        <v>2.0257324875671845</v>
      </c>
      <c r="H5" s="318">
        <f>Drivers!H33/Master!H185</f>
        <v>2.7044440289178246</v>
      </c>
      <c r="I5" s="318">
        <f>Drivers!I33/Master!I185</f>
        <v>3.0401357656877543</v>
      </c>
      <c r="J5" s="318">
        <f>Drivers!J33/Master!J185</f>
        <v>2.9921266143830691</v>
      </c>
      <c r="K5" s="318">
        <f>Drivers!K33/Master!K185</f>
        <v>2.7383209864782465</v>
      </c>
      <c r="L5" s="32"/>
    </row>
    <row r="6" spans="2:12" customFormat="1" ht="15.6" x14ac:dyDescent="0.6">
      <c r="B6" s="326" t="s">
        <v>531</v>
      </c>
      <c r="C6" s="319">
        <f>Master!E56/AVERAGE(Master!D142:E142)</f>
        <v>-2.0245513049907127E-2</v>
      </c>
      <c r="D6" s="319">
        <f>Master!F56/AVERAGE(Master!E142:F142)</f>
        <v>-1.1078365449861937E-2</v>
      </c>
      <c r="E6" s="319">
        <f>Master!G56/AVERAGE(Master!F142:G142)</f>
        <v>-1.4619897786610174E-2</v>
      </c>
      <c r="F6" s="319">
        <f ca="1">Master!H56/AVERAGE(Master!G142:H142)</f>
        <v>2.7716321558838644E-2</v>
      </c>
      <c r="G6" s="319">
        <f ca="1">Master!I56/AVERAGE(Master!H142:I142)</f>
        <v>4.0503291097706833E-2</v>
      </c>
      <c r="H6" s="319">
        <f ca="1">Master!J56/AVERAGE(Master!I142:J142)</f>
        <v>5.2074085342784827E-2</v>
      </c>
      <c r="I6" s="319">
        <f ca="1">Master!K56/AVERAGE(Master!J142:K142)</f>
        <v>5.4057591508868623E-2</v>
      </c>
      <c r="J6" s="319">
        <f ca="1">Master!L56/AVERAGE(Master!K142:L142)</f>
        <v>5.256053681300972E-2</v>
      </c>
      <c r="K6" s="319">
        <f ca="1">Master!M56/AVERAGE(Master!L142:M142)</f>
        <v>5.0251725967424117E-2</v>
      </c>
      <c r="L6" s="32"/>
    </row>
    <row r="7" spans="2:12" customFormat="1" ht="15.6" x14ac:dyDescent="0.6">
      <c r="B7" s="323" t="s">
        <v>532</v>
      </c>
      <c r="C7" s="327">
        <f>Drivers!C33/Master!C173</f>
        <v>2.5827898838873864</v>
      </c>
      <c r="D7" s="327">
        <f>Drivers!D33/Master!D173</f>
        <v>1.0561785236892915</v>
      </c>
      <c r="E7" s="327">
        <f>Drivers!E33/Master!E173</f>
        <v>0.55707811803171925</v>
      </c>
      <c r="F7" s="327">
        <f>Drivers!F33/Master!F173</f>
        <v>0.61809502136066952</v>
      </c>
      <c r="G7" s="327">
        <f>Drivers!G33/Master!G173</f>
        <v>0.62664473684210531</v>
      </c>
      <c r="H7" s="327">
        <f>Drivers!H33/Master!H173</f>
        <v>0.74744555953717828</v>
      </c>
      <c r="I7" s="327">
        <f>Drivers!I33/Master!I173</f>
        <v>0.87795558389277684</v>
      </c>
      <c r="J7" s="327">
        <f>Drivers!J33/Master!J173</f>
        <v>0.91154982053216427</v>
      </c>
      <c r="K7" s="327">
        <f>Drivers!K33/Master!K173</f>
        <v>0.90282495186244216</v>
      </c>
      <c r="L7" s="32"/>
    </row>
    <row r="8" spans="2:12" customFormat="1" ht="15.6" x14ac:dyDescent="0.6">
      <c r="B8" s="326"/>
      <c r="C8" s="328"/>
      <c r="D8" s="328"/>
      <c r="E8" s="328"/>
      <c r="F8" s="328"/>
      <c r="G8" s="326"/>
      <c r="J8" s="326"/>
      <c r="K8" s="328"/>
      <c r="L8" s="328"/>
    </row>
    <row r="9" spans="2:12" customFormat="1" ht="15.6" x14ac:dyDescent="0.6">
      <c r="B9" t="s">
        <v>132</v>
      </c>
      <c r="F9" s="19">
        <v>2021</v>
      </c>
    </row>
    <row r="10" spans="2:12" x14ac:dyDescent="0.55000000000000004">
      <c r="B10" s="32" t="s">
        <v>533</v>
      </c>
      <c r="C10" s="50">
        <v>19690</v>
      </c>
      <c r="D10" s="50">
        <v>46200</v>
      </c>
      <c r="E10" s="50">
        <v>101229</v>
      </c>
      <c r="F10" s="50">
        <v>467225</v>
      </c>
      <c r="G10" s="50">
        <v>608682</v>
      </c>
      <c r="H10" s="331">
        <f ca="1">H11*Master!H$142*1000</f>
        <v>675055.78128921834</v>
      </c>
      <c r="I10" s="331">
        <f ca="1">I11*Master!I$142*1000</f>
        <v>804867.15159219119</v>
      </c>
      <c r="J10" s="331">
        <f ca="1">J11*Master!J$142*1000</f>
        <v>1005659.8837363285</v>
      </c>
      <c r="K10" s="331">
        <f ca="1">K11*Master!K$142*1000</f>
        <v>1227321.195152815</v>
      </c>
    </row>
    <row r="11" spans="2:12" s="283" customFormat="1" ht="12.9" x14ac:dyDescent="0.5">
      <c r="B11" s="24" t="s">
        <v>536</v>
      </c>
      <c r="C11" s="45">
        <f>C10/(Master!C$142*1000)</f>
        <v>7.0679876516620017E-3</v>
      </c>
      <c r="D11" s="45">
        <f>D10/(Master!D$142*1000)</f>
        <v>6.8343195266272203E-3</v>
      </c>
      <c r="E11" s="45">
        <f>E10/(Master!E$142*1000)</f>
        <v>9.9419314153920569E-3</v>
      </c>
      <c r="F11" s="45">
        <f>F10/(Master!F$142*1000)</f>
        <v>2.3527522530853929E-2</v>
      </c>
      <c r="G11" s="45">
        <f>G10/(Master!G$142*1000)</f>
        <v>2.0348342365050762E-2</v>
      </c>
      <c r="H11" s="184">
        <f>G11</f>
        <v>2.0348342365050762E-2</v>
      </c>
      <c r="I11" s="184">
        <f t="shared" ref="I11:K13" si="1">H11</f>
        <v>2.0348342365050762E-2</v>
      </c>
      <c r="J11" s="184">
        <f t="shared" si="1"/>
        <v>2.0348342365050762E-2</v>
      </c>
      <c r="K11" s="184">
        <f t="shared" si="1"/>
        <v>2.0348342365050762E-2</v>
      </c>
    </row>
    <row r="12" spans="2:12" x14ac:dyDescent="0.55000000000000004">
      <c r="B12" s="32" t="s">
        <v>534</v>
      </c>
      <c r="C12" s="50">
        <v>22960</v>
      </c>
      <c r="D12" s="50">
        <v>128578</v>
      </c>
      <c r="E12" s="50">
        <v>388346</v>
      </c>
      <c r="F12" s="50">
        <v>2144499</v>
      </c>
      <c r="G12" s="50">
        <v>3478391</v>
      </c>
      <c r="H12" s="331">
        <f ca="1">H13*Master!H$142*1000</f>
        <v>4976246.4861658104</v>
      </c>
      <c r="I12" s="331">
        <f ca="1">I13*Master!I$142*1000</f>
        <v>6328709.3338833433</v>
      </c>
      <c r="J12" s="331">
        <f ca="1">J13*Master!J$142*1000</f>
        <v>8895996.3335120324</v>
      </c>
      <c r="K12" s="331">
        <f ca="1">K13*Master!K$142*1000</f>
        <v>10856796.64535935</v>
      </c>
    </row>
    <row r="13" spans="2:12" ht="12.9" x14ac:dyDescent="0.5">
      <c r="B13" s="330" t="s">
        <v>536</v>
      </c>
      <c r="C13" s="320">
        <f>C12/(Master!C$142*1000)</f>
        <v>8.2417976882762593E-3</v>
      </c>
      <c r="D13" s="320">
        <f>D12/(Master!D$142*1000)</f>
        <v>1.9020414201183434E-2</v>
      </c>
      <c r="E13" s="320">
        <f>E12/(Master!E$142*1000)</f>
        <v>3.8140348096314725E-2</v>
      </c>
      <c r="F13" s="320">
        <f>F12/(Master!F$142*1000)</f>
        <v>0.10798811822974738</v>
      </c>
      <c r="G13" s="320">
        <f>G12/(Master!G$142*1000)</f>
        <v>0.1162832003369761</v>
      </c>
      <c r="H13" s="761">
        <v>0.15</v>
      </c>
      <c r="I13" s="761">
        <v>0.16</v>
      </c>
      <c r="J13" s="761">
        <v>0.18</v>
      </c>
      <c r="K13" s="184">
        <f t="shared" si="1"/>
        <v>0.18</v>
      </c>
    </row>
    <row r="14" spans="2:12" x14ac:dyDescent="0.55000000000000004">
      <c r="C14" s="333"/>
      <c r="D14" s="333"/>
      <c r="E14" s="333"/>
      <c r="F14" s="333"/>
    </row>
    <row r="16" spans="2:12" ht="12.9" x14ac:dyDescent="0.5">
      <c r="B16" s="321" t="s">
        <v>315</v>
      </c>
      <c r="C16" s="322">
        <v>2018</v>
      </c>
      <c r="D16" s="322">
        <v>2019</v>
      </c>
      <c r="E16" s="322">
        <v>2020</v>
      </c>
      <c r="F16" s="322">
        <v>2021</v>
      </c>
      <c r="G16" s="322">
        <v>2022</v>
      </c>
      <c r="H16" s="322">
        <v>2023</v>
      </c>
      <c r="I16" s="322">
        <v>2024</v>
      </c>
      <c r="J16" s="322">
        <v>2025</v>
      </c>
      <c r="K16" s="322">
        <v>2026</v>
      </c>
    </row>
    <row r="17" spans="2:11" ht="12.9" x14ac:dyDescent="0.5">
      <c r="B17" s="323" t="s">
        <v>530</v>
      </c>
      <c r="C17" s="324">
        <f>C24/C26</f>
        <v>0.29854706662783548</v>
      </c>
      <c r="D17" s="324">
        <f t="shared" ref="D17:K17" si="2">D24/D26</f>
        <v>0.39402037748454988</v>
      </c>
      <c r="E17" s="324">
        <f t="shared" si="2"/>
        <v>0.31829059934813786</v>
      </c>
      <c r="F17" s="324">
        <f t="shared" si="2"/>
        <v>0.49739467237135959</v>
      </c>
      <c r="G17" s="324" t="e">
        <f t="shared" si="2"/>
        <v>#DIV/0!</v>
      </c>
      <c r="H17" s="324" t="e">
        <f t="shared" si="2"/>
        <v>#DIV/0!</v>
      </c>
      <c r="I17" s="324" t="e">
        <f t="shared" si="2"/>
        <v>#DIV/0!</v>
      </c>
      <c r="J17" s="324" t="e">
        <f t="shared" si="2"/>
        <v>#DIV/0!</v>
      </c>
      <c r="K17" s="324" t="e">
        <f t="shared" si="2"/>
        <v>#DIV/0!</v>
      </c>
    </row>
    <row r="18" spans="2:11" x14ac:dyDescent="0.55000000000000004">
      <c r="B18" s="325" t="s">
        <v>528</v>
      </c>
      <c r="C18" s="314">
        <v>0.16822817094043091</v>
      </c>
      <c r="D18" s="314">
        <v>0.2195656601924505</v>
      </c>
      <c r="E18" s="314">
        <v>0.16925466048230833</v>
      </c>
      <c r="F18" s="314">
        <v>0.22269790696932718</v>
      </c>
      <c r="G18" s="314">
        <v>0.14419691163516357</v>
      </c>
      <c r="H18" s="314">
        <v>9.8762693663866211E-2</v>
      </c>
      <c r="I18" s="314">
        <v>8.5854812143952006E-2</v>
      </c>
      <c r="J18" s="314">
        <v>8.0566806385080111E-2</v>
      </c>
      <c r="K18" s="314">
        <v>7.5610355367666152E-2</v>
      </c>
    </row>
    <row r="19" spans="2:11" x14ac:dyDescent="0.55000000000000004">
      <c r="B19" s="323" t="s">
        <v>529</v>
      </c>
      <c r="C19" s="315">
        <v>3.5210270790180997</v>
      </c>
      <c r="D19" s="315">
        <v>2.301618055107578</v>
      </c>
      <c r="E19" s="315">
        <v>2.8201513126319186</v>
      </c>
      <c r="F19" s="315">
        <v>2.1352235070845755</v>
      </c>
      <c r="G19" s="315">
        <v>2.2341138433936938</v>
      </c>
      <c r="H19" s="315">
        <v>2.7105930510072507</v>
      </c>
      <c r="I19" s="315">
        <v>3.2324510330670573</v>
      </c>
      <c r="J19" s="315">
        <v>3.8434023127522368</v>
      </c>
      <c r="K19" s="315">
        <v>3.5745821494299097</v>
      </c>
    </row>
    <row r="20" spans="2:11" x14ac:dyDescent="0.55000000000000004">
      <c r="B20" s="326" t="s">
        <v>531</v>
      </c>
      <c r="C20" s="316">
        <v>1.5306987724780922E-2</v>
      </c>
      <c r="D20" s="316">
        <v>1.041689347877489E-2</v>
      </c>
      <c r="E20" s="316">
        <v>3.7419613673887752E-4</v>
      </c>
      <c r="F20" s="316">
        <v>5.340981524926759E-3</v>
      </c>
      <c r="G20" s="316">
        <v>-6.0248544222507583E-3</v>
      </c>
      <c r="H20" s="316">
        <v>-1.0317265837996008E-3</v>
      </c>
      <c r="I20" s="316">
        <v>1.2221605799848493E-3</v>
      </c>
      <c r="J20" s="316">
        <v>2.8656966708474575E-3</v>
      </c>
      <c r="K20" s="316">
        <v>4.898147124779313E-3</v>
      </c>
    </row>
    <row r="21" spans="2:11" x14ac:dyDescent="0.55000000000000004">
      <c r="B21" s="323" t="s">
        <v>532</v>
      </c>
      <c r="C21" s="332">
        <v>2.759991071719559</v>
      </c>
      <c r="D21" s="332">
        <v>1.0142082884387171</v>
      </c>
      <c r="E21" s="332">
        <v>0.76091907784534063</v>
      </c>
      <c r="F21" s="332">
        <v>0.74855531860962232</v>
      </c>
      <c r="G21" s="332">
        <v>0.44432902437877791</v>
      </c>
      <c r="H21" s="332">
        <v>0.3442147227366571</v>
      </c>
      <c r="I21" s="332">
        <v>0.3496265751135833</v>
      </c>
      <c r="J21" s="332">
        <v>0.38645256897058566</v>
      </c>
      <c r="K21" s="332">
        <v>0.33429904736548416</v>
      </c>
    </row>
    <row r="23" spans="2:11" ht="15.6" x14ac:dyDescent="0.6">
      <c r="B23" t="s">
        <v>315</v>
      </c>
      <c r="C23"/>
      <c r="D23"/>
      <c r="E23"/>
      <c r="F23" s="19" t="s">
        <v>535</v>
      </c>
    </row>
    <row r="24" spans="2:11" x14ac:dyDescent="0.55000000000000004">
      <c r="B24" s="32" t="s">
        <v>533</v>
      </c>
      <c r="C24" s="119">
        <v>922600</v>
      </c>
      <c r="D24" s="119">
        <v>2123100</v>
      </c>
      <c r="E24" s="119">
        <v>3086900</v>
      </c>
      <c r="F24" s="119">
        <v>7955023</v>
      </c>
    </row>
    <row r="25" spans="2:11" ht="12.9" x14ac:dyDescent="0.5">
      <c r="B25" s="24" t="s">
        <v>536</v>
      </c>
      <c r="C25" s="45">
        <f>C24/(Master!C$142*1000)</f>
        <v>0.33117955344963751</v>
      </c>
      <c r="D25" s="45">
        <f>D24/(Master!D$142*1000)</f>
        <v>0.31406804733727817</v>
      </c>
      <c r="E25" s="45">
        <f>E24/(Master!E$142*1000)</f>
        <v>0.30317150308877633</v>
      </c>
      <c r="F25" s="45">
        <f>F24/(Master!F$142*1000)</f>
        <v>0.40058212395732506</v>
      </c>
      <c r="G25" s="185">
        <v>0.03</v>
      </c>
      <c r="H25" s="184">
        <f>G25</f>
        <v>0.03</v>
      </c>
      <c r="I25" s="184">
        <f t="shared" ref="I25:K27" si="3">H25</f>
        <v>0.03</v>
      </c>
      <c r="J25" s="184">
        <f t="shared" si="3"/>
        <v>0.03</v>
      </c>
      <c r="K25" s="184">
        <f t="shared" si="3"/>
        <v>0.03</v>
      </c>
    </row>
    <row r="26" spans="2:11" x14ac:dyDescent="0.55000000000000004">
      <c r="B26" s="32" t="s">
        <v>534</v>
      </c>
      <c r="C26" s="50">
        <v>3090300</v>
      </c>
      <c r="D26" s="50">
        <v>5388300</v>
      </c>
      <c r="E26" s="50">
        <v>9698370</v>
      </c>
      <c r="F26" s="50">
        <v>15993382</v>
      </c>
    </row>
    <row r="27" spans="2:11" ht="12.9" x14ac:dyDescent="0.5">
      <c r="B27" s="24" t="s">
        <v>536</v>
      </c>
      <c r="C27" s="45">
        <f>C26/(Master!C$142*1000)</f>
        <v>1.1093043290975664</v>
      </c>
      <c r="D27" s="45">
        <f>D26/(Master!D$142*1000)</f>
        <v>0.79708579881656816</v>
      </c>
      <c r="E27" s="45">
        <f>E26/(Master!E$142*1000)</f>
        <v>0.95249908011632889</v>
      </c>
      <c r="F27" s="45">
        <f>F26/(Master!F$142*1000)</f>
        <v>0.80536070490567424</v>
      </c>
      <c r="G27" s="185">
        <v>0.03</v>
      </c>
      <c r="H27" s="184">
        <f>G27</f>
        <v>0.03</v>
      </c>
      <c r="I27" s="184">
        <f t="shared" si="3"/>
        <v>0.03</v>
      </c>
      <c r="J27" s="184">
        <f t="shared" si="3"/>
        <v>0.03</v>
      </c>
      <c r="K27" s="184">
        <f t="shared" si="3"/>
        <v>0.03</v>
      </c>
    </row>
    <row r="31" spans="2:11" x14ac:dyDescent="0.55000000000000004">
      <c r="B31" s="421" t="s">
        <v>749</v>
      </c>
    </row>
    <row r="33" spans="2:5" x14ac:dyDescent="0.55000000000000004">
      <c r="B33" s="32" t="s">
        <v>737</v>
      </c>
      <c r="C33" s="329">
        <v>5</v>
      </c>
      <c r="E33" s="416" t="s">
        <v>739</v>
      </c>
    </row>
    <row r="34" spans="2:5" x14ac:dyDescent="0.55000000000000004">
      <c r="B34" s="414" t="s">
        <v>738</v>
      </c>
      <c r="C34" s="415">
        <v>3</v>
      </c>
      <c r="E34" s="416" t="s">
        <v>740</v>
      </c>
    </row>
    <row r="35" spans="2:5" x14ac:dyDescent="0.55000000000000004">
      <c r="B35" s="32" t="s">
        <v>741</v>
      </c>
      <c r="C35" s="329">
        <f>C33+C34</f>
        <v>8</v>
      </c>
    </row>
    <row r="37" spans="2:5" x14ac:dyDescent="0.55000000000000004">
      <c r="C37" s="417" t="s">
        <v>750</v>
      </c>
      <c r="D37" s="417" t="s">
        <v>743</v>
      </c>
      <c r="E37" s="417" t="s">
        <v>746</v>
      </c>
    </row>
    <row r="38" spans="2:5" x14ac:dyDescent="0.55000000000000004">
      <c r="B38" s="32" t="s">
        <v>742</v>
      </c>
      <c r="C38" s="329">
        <v>5</v>
      </c>
      <c r="D38" s="418">
        <v>0.25</v>
      </c>
      <c r="E38" s="329">
        <f>C38*D38</f>
        <v>1.25</v>
      </c>
    </row>
    <row r="39" spans="2:5" x14ac:dyDescent="0.55000000000000004">
      <c r="B39" s="414" t="s">
        <v>744</v>
      </c>
      <c r="C39" s="415">
        <v>50</v>
      </c>
      <c r="D39" s="419">
        <v>0.55000000000000004</v>
      </c>
      <c r="E39" s="415">
        <f>C39*D39</f>
        <v>27.500000000000004</v>
      </c>
    </row>
    <row r="40" spans="2:5" x14ac:dyDescent="0.55000000000000004">
      <c r="B40" s="32" t="s">
        <v>745</v>
      </c>
      <c r="C40" s="329">
        <f>SUM(C38:C39)</f>
        <v>55</v>
      </c>
      <c r="E40" s="329">
        <f>SUM(E38:E39)</f>
        <v>28.750000000000004</v>
      </c>
    </row>
    <row r="42" spans="2:5" x14ac:dyDescent="0.55000000000000004">
      <c r="B42" s="32" t="s">
        <v>747</v>
      </c>
      <c r="C42" s="420">
        <f>C35/E40</f>
        <v>0.27826086956521734</v>
      </c>
    </row>
    <row r="43" spans="2:5" x14ac:dyDescent="0.55000000000000004">
      <c r="B43" s="32" t="s">
        <v>748</v>
      </c>
      <c r="C43" s="420">
        <f>C33/E40</f>
        <v>0.17391304347826084</v>
      </c>
    </row>
  </sheetData>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CA6A8-85BB-4E70-A78C-0A36797F51BB}">
  <dimension ref="A2:AP7"/>
  <sheetViews>
    <sheetView showGridLines="0" zoomScale="80" zoomScaleNormal="80" workbookViewId="0">
      <pane xSplit="2" ySplit="2" topLeftCell="W3" activePane="bottomRight" state="frozen"/>
      <selection pane="topRight" activeCell="C1" sqref="C1"/>
      <selection pane="bottomLeft" activeCell="A2" sqref="A2"/>
      <selection pane="bottomRight" activeCell="AH4" sqref="AH4"/>
    </sheetView>
  </sheetViews>
  <sheetFormatPr defaultColWidth="8.69921875" defaultRowHeight="15.6" x14ac:dyDescent="0.6"/>
  <cols>
    <col min="2" max="2" width="55.69921875" bestFit="1" customWidth="1"/>
    <col min="3" max="16" width="8.69921875" style="43" customWidth="1"/>
    <col min="17" max="17" width="15.09765625" style="43" bestFit="1" customWidth="1"/>
    <col min="18" max="18" width="12.19921875" style="43" bestFit="1" customWidth="1"/>
    <col min="19" max="21" width="8.69921875" style="43" customWidth="1"/>
    <col min="22" max="22" width="9.69921875" style="43" bestFit="1" customWidth="1"/>
    <col min="23" max="23" width="13.69921875" style="43" bestFit="1" customWidth="1"/>
    <col min="24" max="25" width="8.69921875" style="43" customWidth="1"/>
    <col min="26" max="26" width="16.19921875" style="43" bestFit="1" customWidth="1"/>
    <col min="27" max="27" width="9.69921875" style="43" bestFit="1" customWidth="1"/>
    <col min="28" max="28" width="6.19921875" style="43" bestFit="1" customWidth="1"/>
    <col min="29" max="29" width="11.69921875" style="43" bestFit="1" customWidth="1"/>
    <col min="30" max="30" width="8.69921875" style="43"/>
    <col min="31" max="31" width="19.69921875" style="43" bestFit="1" customWidth="1"/>
    <col min="32" max="32" width="28.69921875" style="43" bestFit="1" customWidth="1"/>
    <col min="33" max="33" width="23.09765625" style="64" bestFit="1" customWidth="1"/>
    <col min="34" max="34" width="18.59765625" style="43" bestFit="1" customWidth="1"/>
    <col min="35" max="42" width="8.69921875" style="43"/>
  </cols>
  <sheetData>
    <row r="2" spans="1:42" x14ac:dyDescent="0.6">
      <c r="B2" s="118" t="s">
        <v>187</v>
      </c>
      <c r="C2" s="120" t="s">
        <v>188</v>
      </c>
      <c r="D2" s="120" t="s">
        <v>189</v>
      </c>
      <c r="E2" s="120" t="s">
        <v>190</v>
      </c>
      <c r="F2" s="120" t="s">
        <v>191</v>
      </c>
      <c r="G2" s="120" t="s">
        <v>192</v>
      </c>
      <c r="H2" s="120" t="s">
        <v>193</v>
      </c>
      <c r="I2" s="120" t="s">
        <v>194</v>
      </c>
      <c r="J2" s="120" t="s">
        <v>195</v>
      </c>
      <c r="K2" s="120" t="s">
        <v>196</v>
      </c>
      <c r="L2" s="120" t="s">
        <v>197</v>
      </c>
      <c r="M2" s="120" t="s">
        <v>198</v>
      </c>
      <c r="N2" s="120" t="s">
        <v>199</v>
      </c>
      <c r="O2" s="120" t="s">
        <v>200</v>
      </c>
      <c r="P2" s="120" t="s">
        <v>201</v>
      </c>
      <c r="Q2" s="120" t="s">
        <v>202</v>
      </c>
      <c r="R2" s="120" t="s">
        <v>203</v>
      </c>
      <c r="S2" s="120" t="s">
        <v>204</v>
      </c>
      <c r="T2" s="120" t="s">
        <v>205</v>
      </c>
      <c r="U2" s="120" t="s">
        <v>206</v>
      </c>
      <c r="V2" s="120" t="s">
        <v>207</v>
      </c>
      <c r="W2" s="120" t="s">
        <v>208</v>
      </c>
      <c r="X2" s="120" t="s">
        <v>209</v>
      </c>
      <c r="Y2" s="120" t="s">
        <v>210</v>
      </c>
      <c r="Z2" s="120" t="s">
        <v>211</v>
      </c>
      <c r="AA2" s="120" t="s">
        <v>212</v>
      </c>
      <c r="AB2" s="120" t="s">
        <v>213</v>
      </c>
      <c r="AC2" s="25" t="s">
        <v>51</v>
      </c>
      <c r="AD2" s="25" t="s">
        <v>52</v>
      </c>
      <c r="AE2" s="25" t="s">
        <v>53</v>
      </c>
      <c r="AF2" s="25" t="s">
        <v>54</v>
      </c>
      <c r="AG2" s="103" t="s">
        <v>55</v>
      </c>
      <c r="AH2" s="70" t="s">
        <v>56</v>
      </c>
      <c r="AI2" s="70" t="s">
        <v>57</v>
      </c>
      <c r="AJ2" s="70" t="s">
        <v>58</v>
      </c>
      <c r="AK2" s="70" t="s">
        <v>59</v>
      </c>
      <c r="AL2" s="70" t="s">
        <v>60</v>
      </c>
      <c r="AM2" s="70" t="s">
        <v>61</v>
      </c>
      <c r="AN2" s="70" t="s">
        <v>62</v>
      </c>
      <c r="AO2" s="70" t="s">
        <v>63</v>
      </c>
      <c r="AP2" s="70" t="s">
        <v>64</v>
      </c>
    </row>
    <row r="3" spans="1:42" x14ac:dyDescent="0.6">
      <c r="B3" s="20" t="s">
        <v>136</v>
      </c>
      <c r="C3"/>
      <c r="D3"/>
      <c r="E3"/>
      <c r="F3"/>
      <c r="G3"/>
      <c r="H3"/>
      <c r="I3"/>
      <c r="J3"/>
      <c r="K3"/>
      <c r="L3"/>
      <c r="M3"/>
      <c r="N3"/>
      <c r="O3"/>
      <c r="P3"/>
      <c r="Q3"/>
      <c r="R3"/>
      <c r="S3"/>
      <c r="T3"/>
      <c r="U3"/>
      <c r="V3"/>
      <c r="W3"/>
      <c r="X3"/>
      <c r="Y3"/>
      <c r="Z3"/>
      <c r="AA3"/>
      <c r="AB3"/>
      <c r="AC3"/>
      <c r="AD3"/>
      <c r="AE3"/>
      <c r="AF3"/>
      <c r="AG3" s="22"/>
      <c r="AH3"/>
      <c r="AI3"/>
      <c r="AJ3"/>
      <c r="AK3"/>
      <c r="AL3"/>
      <c r="AM3"/>
      <c r="AN3"/>
      <c r="AO3"/>
      <c r="AP3"/>
    </row>
    <row r="4" spans="1:42" s="123" customFormat="1" ht="15.9" thickBot="1" x14ac:dyDescent="0.65">
      <c r="A4" s="101"/>
      <c r="B4" s="65" t="s">
        <v>186</v>
      </c>
      <c r="C4" s="121">
        <v>0</v>
      </c>
      <c r="D4" s="121">
        <v>0</v>
      </c>
      <c r="E4" s="121">
        <v>0</v>
      </c>
      <c r="F4" s="121">
        <v>0</v>
      </c>
      <c r="G4" s="121">
        <v>0</v>
      </c>
      <c r="H4" s="121">
        <v>0.1</v>
      </c>
      <c r="I4" s="121">
        <v>0.2</v>
      </c>
      <c r="J4" s="121">
        <v>0.3</v>
      </c>
      <c r="K4" s="121">
        <v>0.5</v>
      </c>
      <c r="L4" s="121">
        <v>0.7</v>
      </c>
      <c r="M4" s="121">
        <v>1</v>
      </c>
      <c r="N4" s="121">
        <v>1.2</v>
      </c>
      <c r="O4" s="121">
        <v>1.6</v>
      </c>
      <c r="P4" s="121">
        <v>1.9</v>
      </c>
      <c r="Q4" s="121">
        <v>2.4</v>
      </c>
      <c r="R4" s="121">
        <v>3</v>
      </c>
      <c r="S4" s="121">
        <v>3.7</v>
      </c>
      <c r="T4" s="121">
        <v>4.4000000000000004</v>
      </c>
      <c r="U4" s="121">
        <v>5.2</v>
      </c>
      <c r="V4" s="121">
        <v>6</v>
      </c>
      <c r="W4" s="121">
        <v>7.7</v>
      </c>
      <c r="X4" s="121">
        <v>11.2</v>
      </c>
      <c r="Y4" s="121">
        <v>15.6</v>
      </c>
      <c r="Z4" s="121">
        <v>20.100000000000001</v>
      </c>
      <c r="AA4" s="121">
        <v>23.5</v>
      </c>
      <c r="AB4" s="121">
        <v>26.1</v>
      </c>
      <c r="AC4" s="121">
        <v>29.7</v>
      </c>
      <c r="AD4" s="121">
        <v>33.299999999999997</v>
      </c>
      <c r="AE4" s="121">
        <v>37.1</v>
      </c>
      <c r="AF4" s="121">
        <v>41.7</v>
      </c>
      <c r="AG4" s="122">
        <v>48.1</v>
      </c>
      <c r="AH4" s="121">
        <v>53.9</v>
      </c>
      <c r="AI4" s="121"/>
      <c r="AJ4" s="121"/>
      <c r="AK4" s="121"/>
      <c r="AL4" s="121"/>
      <c r="AM4" s="121"/>
      <c r="AN4" s="121"/>
      <c r="AO4" s="121"/>
      <c r="AP4" s="121"/>
    </row>
    <row r="5" spans="1:42" x14ac:dyDescent="0.6">
      <c r="B5" s="92" t="s">
        <v>261</v>
      </c>
      <c r="C5" s="107"/>
      <c r="D5" s="144"/>
      <c r="G5" s="156" t="e">
        <f>G4/C4-1</f>
        <v>#DIV/0!</v>
      </c>
      <c r="H5" s="156" t="e">
        <f t="shared" ref="H5:AG5" si="0">H4/D4-1</f>
        <v>#DIV/0!</v>
      </c>
      <c r="I5" s="156" t="e">
        <f t="shared" si="0"/>
        <v>#DIV/0!</v>
      </c>
      <c r="J5" s="156" t="e">
        <f t="shared" si="0"/>
        <v>#DIV/0!</v>
      </c>
      <c r="K5" s="156" t="e">
        <f t="shared" si="0"/>
        <v>#DIV/0!</v>
      </c>
      <c r="L5" s="156">
        <f t="shared" si="0"/>
        <v>5.9999999999999991</v>
      </c>
      <c r="M5" s="156">
        <f t="shared" si="0"/>
        <v>4</v>
      </c>
      <c r="N5" s="156">
        <f t="shared" si="0"/>
        <v>3</v>
      </c>
      <c r="O5" s="156">
        <f t="shared" si="0"/>
        <v>2.2000000000000002</v>
      </c>
      <c r="P5" s="156">
        <f t="shared" si="0"/>
        <v>1.7142857142857144</v>
      </c>
      <c r="Q5" s="156">
        <f t="shared" si="0"/>
        <v>1.4</v>
      </c>
      <c r="R5" s="156">
        <f t="shared" si="0"/>
        <v>1.5</v>
      </c>
      <c r="S5" s="156">
        <f t="shared" si="0"/>
        <v>1.3125</v>
      </c>
      <c r="T5" s="156">
        <f t="shared" si="0"/>
        <v>1.3157894736842106</v>
      </c>
      <c r="U5" s="156">
        <f t="shared" si="0"/>
        <v>1.166666666666667</v>
      </c>
      <c r="V5" s="156">
        <f t="shared" si="0"/>
        <v>1</v>
      </c>
      <c r="W5" s="156">
        <f t="shared" si="0"/>
        <v>1.0810810810810811</v>
      </c>
      <c r="X5" s="156">
        <f t="shared" si="0"/>
        <v>1.545454545454545</v>
      </c>
      <c r="Y5" s="156">
        <f t="shared" si="0"/>
        <v>2</v>
      </c>
      <c r="Z5" s="156">
        <f t="shared" si="0"/>
        <v>2.35</v>
      </c>
      <c r="AA5" s="156">
        <f t="shared" si="0"/>
        <v>2.051948051948052</v>
      </c>
      <c r="AB5" s="156">
        <f t="shared" si="0"/>
        <v>1.3303571428571432</v>
      </c>
      <c r="AC5" s="156">
        <f t="shared" si="0"/>
        <v>0.90384615384615374</v>
      </c>
      <c r="AD5" s="156">
        <f t="shared" si="0"/>
        <v>0.65671641791044744</v>
      </c>
      <c r="AE5" s="156">
        <f t="shared" si="0"/>
        <v>0.57872340425531932</v>
      </c>
      <c r="AF5" s="156">
        <f t="shared" si="0"/>
        <v>0.59770114942528729</v>
      </c>
      <c r="AG5" s="164">
        <f t="shared" si="0"/>
        <v>0.6195286195286196</v>
      </c>
      <c r="AH5" s="156">
        <f t="shared" ref="AH5:AP6" si="1">AH4/AD4-1</f>
        <v>0.61861861861861867</v>
      </c>
      <c r="AI5" s="156">
        <f t="shared" si="1"/>
        <v>-1</v>
      </c>
      <c r="AJ5" s="156">
        <f t="shared" si="1"/>
        <v>-1</v>
      </c>
      <c r="AK5" s="156">
        <f t="shared" si="1"/>
        <v>-1</v>
      </c>
      <c r="AL5" s="156">
        <f t="shared" si="1"/>
        <v>-1</v>
      </c>
      <c r="AM5" s="156" t="e">
        <f t="shared" si="1"/>
        <v>#DIV/0!</v>
      </c>
      <c r="AN5" s="156" t="e">
        <f t="shared" si="1"/>
        <v>#DIV/0!</v>
      </c>
      <c r="AO5" s="156" t="e">
        <f t="shared" si="1"/>
        <v>#DIV/0!</v>
      </c>
      <c r="AP5" s="156" t="e">
        <f t="shared" si="1"/>
        <v>#DIV/0!</v>
      </c>
    </row>
    <row r="6" spans="1:42" x14ac:dyDescent="0.6">
      <c r="B6" s="92" t="s">
        <v>264</v>
      </c>
      <c r="C6" s="107"/>
      <c r="D6" s="144" t="e">
        <f>D4/C4-1</f>
        <v>#DIV/0!</v>
      </c>
      <c r="E6" s="144" t="e">
        <f t="shared" ref="E6:AG6" si="2">E4/D4-1</f>
        <v>#DIV/0!</v>
      </c>
      <c r="F6" s="144" t="e">
        <f t="shared" si="2"/>
        <v>#DIV/0!</v>
      </c>
      <c r="G6" s="144" t="e">
        <f t="shared" si="2"/>
        <v>#DIV/0!</v>
      </c>
      <c r="H6" s="144" t="e">
        <f t="shared" si="2"/>
        <v>#DIV/0!</v>
      </c>
      <c r="I6" s="144">
        <f t="shared" si="2"/>
        <v>1</v>
      </c>
      <c r="J6" s="144">
        <f t="shared" si="2"/>
        <v>0.49999999999999978</v>
      </c>
      <c r="K6" s="144">
        <f t="shared" si="2"/>
        <v>0.66666666666666674</v>
      </c>
      <c r="L6" s="144">
        <f t="shared" si="2"/>
        <v>0.39999999999999991</v>
      </c>
      <c r="M6" s="144">
        <f t="shared" si="2"/>
        <v>0.4285714285714286</v>
      </c>
      <c r="N6" s="144">
        <f t="shared" si="2"/>
        <v>0.19999999999999996</v>
      </c>
      <c r="O6" s="144">
        <f t="shared" si="2"/>
        <v>0.33333333333333348</v>
      </c>
      <c r="P6" s="144">
        <f t="shared" si="2"/>
        <v>0.18749999999999978</v>
      </c>
      <c r="Q6" s="144">
        <f t="shared" si="2"/>
        <v>0.26315789473684204</v>
      </c>
      <c r="R6" s="144">
        <f t="shared" si="2"/>
        <v>0.25</v>
      </c>
      <c r="S6" s="144">
        <f t="shared" si="2"/>
        <v>0.23333333333333339</v>
      </c>
      <c r="T6" s="144">
        <f t="shared" si="2"/>
        <v>0.18918918918918926</v>
      </c>
      <c r="U6" s="144">
        <f t="shared" si="2"/>
        <v>0.18181818181818166</v>
      </c>
      <c r="V6" s="144">
        <f t="shared" si="2"/>
        <v>0.15384615384615374</v>
      </c>
      <c r="W6" s="144">
        <f t="shared" si="2"/>
        <v>0.28333333333333344</v>
      </c>
      <c r="X6" s="144">
        <f t="shared" si="2"/>
        <v>0.45454545454545436</v>
      </c>
      <c r="Y6" s="144">
        <f t="shared" si="2"/>
        <v>0.39285714285714302</v>
      </c>
      <c r="Z6" s="144">
        <f t="shared" si="2"/>
        <v>0.28846153846153855</v>
      </c>
      <c r="AA6" s="144">
        <f t="shared" si="2"/>
        <v>0.16915422885572129</v>
      </c>
      <c r="AB6" s="144">
        <f t="shared" si="2"/>
        <v>0.11063829787234059</v>
      </c>
      <c r="AC6" s="144">
        <f t="shared" si="2"/>
        <v>0.13793103448275845</v>
      </c>
      <c r="AD6" s="144">
        <f t="shared" si="2"/>
        <v>0.1212121212121211</v>
      </c>
      <c r="AE6" s="144">
        <f t="shared" si="2"/>
        <v>0.11411411411411421</v>
      </c>
      <c r="AF6" s="144">
        <f t="shared" si="2"/>
        <v>0.12398921832884091</v>
      </c>
      <c r="AG6" s="145">
        <f t="shared" si="2"/>
        <v>0.1534772182254196</v>
      </c>
      <c r="AH6" s="156">
        <f t="shared" si="1"/>
        <v>-5.8012558012557447E-2</v>
      </c>
      <c r="AI6" s="156">
        <f t="shared" si="1"/>
        <v>-2.7279411764705879</v>
      </c>
      <c r="AJ6" s="156">
        <f t="shared" si="1"/>
        <v>-2.6730769230769234</v>
      </c>
      <c r="AK6" s="156">
        <f t="shared" si="1"/>
        <v>-2.6141304347826084</v>
      </c>
      <c r="AL6" s="156">
        <f t="shared" si="1"/>
        <v>-2.616504854368932</v>
      </c>
      <c r="AM6" s="156" t="e">
        <f t="shared" si="1"/>
        <v>#DIV/0!</v>
      </c>
      <c r="AN6" s="156" t="e">
        <f t="shared" si="1"/>
        <v>#DIV/0!</v>
      </c>
      <c r="AO6" s="156" t="e">
        <f t="shared" si="1"/>
        <v>#DIV/0!</v>
      </c>
      <c r="AP6" s="156" t="e">
        <f t="shared" si="1"/>
        <v>#DIV/0!</v>
      </c>
    </row>
    <row r="7" spans="1:42" x14ac:dyDescent="0.6">
      <c r="B7" t="s">
        <v>214</v>
      </c>
      <c r="Q7" s="124" t="s">
        <v>215</v>
      </c>
      <c r="R7" s="124" t="s">
        <v>216</v>
      </c>
      <c r="V7" s="124" t="s">
        <v>217</v>
      </c>
      <c r="W7" s="124" t="s">
        <v>218</v>
      </c>
      <c r="Z7" s="124" t="s">
        <v>219</v>
      </c>
      <c r="AA7" s="124" t="s">
        <v>220</v>
      </c>
      <c r="AB7" s="124" t="s">
        <v>221</v>
      </c>
      <c r="AC7" s="124" t="s">
        <v>222</v>
      </c>
      <c r="AE7" s="124" t="s">
        <v>223</v>
      </c>
      <c r="AF7" s="124" t="s">
        <v>224</v>
      </c>
      <c r="AG7" s="125" t="s">
        <v>225</v>
      </c>
      <c r="AH7" s="124" t="s">
        <v>226</v>
      </c>
    </row>
  </sheetData>
  <phoneticPr fontId="8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67D05-294A-4983-AA6C-AE46EE2C0744}">
  <dimension ref="A1:O16"/>
  <sheetViews>
    <sheetView showGridLines="0" zoomScale="80" zoomScaleNormal="80" workbookViewId="0">
      <selection activeCell="A4" sqref="A4:N13"/>
    </sheetView>
  </sheetViews>
  <sheetFormatPr defaultRowHeight="15.6" x14ac:dyDescent="0.6"/>
  <cols>
    <col min="1" max="1" width="68.69921875" bestFit="1" customWidth="1"/>
    <col min="4" max="4" width="9"/>
  </cols>
  <sheetData>
    <row r="1" spans="1:15" x14ac:dyDescent="0.6">
      <c r="A1" s="96" t="s">
        <v>135</v>
      </c>
      <c r="B1" s="17">
        <v>2018</v>
      </c>
      <c r="C1" s="17">
        <v>2019</v>
      </c>
      <c r="D1" s="17">
        <v>2020</v>
      </c>
      <c r="E1" s="18">
        <v>2021</v>
      </c>
      <c r="F1" s="18">
        <v>2022</v>
      </c>
      <c r="G1" s="18">
        <v>2023</v>
      </c>
      <c r="H1" s="18">
        <v>2024</v>
      </c>
      <c r="I1" s="18">
        <v>2025</v>
      </c>
      <c r="J1" s="18">
        <v>2026</v>
      </c>
      <c r="K1" s="18">
        <v>2027</v>
      </c>
      <c r="L1" s="18">
        <v>2028</v>
      </c>
      <c r="M1" s="18">
        <v>2029</v>
      </c>
      <c r="N1" s="18">
        <v>2030</v>
      </c>
    </row>
    <row r="2" spans="1:15" x14ac:dyDescent="0.6">
      <c r="A2" s="20" t="s">
        <v>136</v>
      </c>
      <c r="B2" s="21" t="s">
        <v>7</v>
      </c>
      <c r="C2" s="21" t="s">
        <v>7</v>
      </c>
      <c r="D2" s="21" t="s">
        <v>7</v>
      </c>
      <c r="E2" s="21" t="s">
        <v>178</v>
      </c>
      <c r="F2" s="21" t="s">
        <v>8</v>
      </c>
      <c r="G2" s="21" t="s">
        <v>8</v>
      </c>
      <c r="H2" s="21" t="s">
        <v>8</v>
      </c>
      <c r="I2" s="21" t="s">
        <v>8</v>
      </c>
      <c r="J2" s="21" t="s">
        <v>8</v>
      </c>
      <c r="K2" s="21" t="s">
        <v>8</v>
      </c>
      <c r="L2" s="21" t="s">
        <v>8</v>
      </c>
      <c r="M2" s="21" t="s">
        <v>8</v>
      </c>
      <c r="N2" s="21" t="s">
        <v>8</v>
      </c>
    </row>
    <row r="3" spans="1:15" x14ac:dyDescent="0.6">
      <c r="A3" s="20"/>
    </row>
    <row r="4" spans="1:15" x14ac:dyDescent="0.6">
      <c r="A4" t="s">
        <v>175</v>
      </c>
      <c r="B4" s="160">
        <f>Customers!V4</f>
        <v>6</v>
      </c>
      <c r="C4" s="160">
        <f>Customers!Z4</f>
        <v>20.100000000000001</v>
      </c>
      <c r="D4" s="160">
        <f>Customers!AD4</f>
        <v>33.299999999999997</v>
      </c>
      <c r="E4" s="160">
        <f>Customers!AH4</f>
        <v>53.9</v>
      </c>
      <c r="F4" s="165">
        <f>Customers!AL4</f>
        <v>0</v>
      </c>
      <c r="G4" s="165">
        <f>Customers!AP4</f>
        <v>0</v>
      </c>
      <c r="H4" s="165">
        <f t="shared" ref="H4:N4" si="0">G4*(1+I6)</f>
        <v>0</v>
      </c>
      <c r="I4" s="165">
        <f t="shared" si="0"/>
        <v>0</v>
      </c>
      <c r="J4" s="165">
        <f t="shared" si="0"/>
        <v>0</v>
      </c>
      <c r="K4" s="165">
        <f t="shared" si="0"/>
        <v>0</v>
      </c>
      <c r="L4" s="165">
        <f t="shared" si="0"/>
        <v>0</v>
      </c>
      <c r="M4" s="165">
        <f t="shared" si="0"/>
        <v>0</v>
      </c>
      <c r="N4" s="165">
        <f t="shared" si="0"/>
        <v>0</v>
      </c>
    </row>
    <row r="5" spans="1:15" x14ac:dyDescent="0.6">
      <c r="A5" s="167" t="s">
        <v>711</v>
      </c>
      <c r="B5" s="152">
        <v>6</v>
      </c>
      <c r="C5" s="152">
        <v>20.100000000000001</v>
      </c>
      <c r="D5" s="152">
        <v>33.299999999999997</v>
      </c>
      <c r="E5" s="152">
        <v>52.4</v>
      </c>
      <c r="F5" s="165"/>
      <c r="G5" s="165"/>
      <c r="H5" s="165"/>
      <c r="I5" s="165"/>
      <c r="J5" s="165"/>
      <c r="K5" s="165"/>
      <c r="L5" s="165"/>
      <c r="M5" s="165"/>
      <c r="N5" s="165"/>
      <c r="O5" s="165"/>
    </row>
    <row r="6" spans="1:15" x14ac:dyDescent="0.6">
      <c r="A6" s="167" t="s">
        <v>712</v>
      </c>
      <c r="B6" s="227"/>
      <c r="C6" s="157"/>
      <c r="D6" s="410"/>
      <c r="E6" s="152">
        <v>1.4</v>
      </c>
      <c r="F6" s="144"/>
      <c r="G6" s="144"/>
      <c r="H6" s="144"/>
      <c r="I6" s="113"/>
      <c r="J6" s="117"/>
      <c r="K6" s="117"/>
      <c r="L6" s="117"/>
      <c r="M6" s="117"/>
      <c r="N6" s="117"/>
      <c r="O6" s="117"/>
    </row>
    <row r="7" spans="1:15" x14ac:dyDescent="0.6">
      <c r="A7" s="167" t="s">
        <v>713</v>
      </c>
      <c r="B7" s="227"/>
      <c r="C7" s="157"/>
      <c r="D7" s="410"/>
      <c r="E7" s="152">
        <f>E4-E5-E6</f>
        <v>0.10000000000000009</v>
      </c>
      <c r="F7" s="144"/>
      <c r="G7" s="144"/>
      <c r="H7" s="144"/>
      <c r="I7" s="113"/>
      <c r="J7" s="117"/>
      <c r="K7" s="117"/>
      <c r="L7" s="117"/>
      <c r="M7" s="117"/>
      <c r="N7" s="117"/>
      <c r="O7" s="117"/>
    </row>
    <row r="8" spans="1:15" x14ac:dyDescent="0.6">
      <c r="A8" s="167"/>
      <c r="B8" s="107"/>
      <c r="C8" s="144"/>
      <c r="D8" s="156"/>
      <c r="E8" s="144"/>
      <c r="F8" s="144"/>
      <c r="G8" s="144"/>
      <c r="H8" s="144"/>
      <c r="I8" s="113"/>
      <c r="J8" s="117"/>
      <c r="K8" s="117"/>
      <c r="L8" s="117"/>
      <c r="M8" s="117"/>
      <c r="N8" s="117"/>
      <c r="O8" s="117"/>
    </row>
    <row r="9" spans="1:15" x14ac:dyDescent="0.6">
      <c r="A9" t="s">
        <v>177</v>
      </c>
      <c r="B9" s="152">
        <v>5.0999999999999996</v>
      </c>
      <c r="C9" s="152">
        <v>12.1</v>
      </c>
      <c r="D9" s="152">
        <v>21.8</v>
      </c>
      <c r="E9" s="152">
        <v>41.1</v>
      </c>
      <c r="F9" s="160">
        <f t="shared" ref="F9:N9" si="1">F16*F4</f>
        <v>0</v>
      </c>
      <c r="G9" s="160">
        <f t="shared" si="1"/>
        <v>0</v>
      </c>
      <c r="H9" s="160">
        <f t="shared" si="1"/>
        <v>0</v>
      </c>
      <c r="I9" s="160">
        <f t="shared" si="1"/>
        <v>0</v>
      </c>
      <c r="J9" s="160">
        <f t="shared" si="1"/>
        <v>0</v>
      </c>
      <c r="K9" s="160">
        <f t="shared" si="1"/>
        <v>0</v>
      </c>
      <c r="L9" s="160">
        <f t="shared" si="1"/>
        <v>0</v>
      </c>
      <c r="M9" s="160">
        <f t="shared" si="1"/>
        <v>0</v>
      </c>
      <c r="N9" s="160">
        <f t="shared" si="1"/>
        <v>0</v>
      </c>
      <c r="O9" s="160"/>
    </row>
    <row r="10" spans="1:15" x14ac:dyDescent="0.6">
      <c r="A10" s="167" t="s">
        <v>714</v>
      </c>
      <c r="B10" s="158">
        <f>B9/B4</f>
        <v>0.85</v>
      </c>
      <c r="C10" s="158">
        <f>C9/C4</f>
        <v>0.60199004975124371</v>
      </c>
      <c r="D10" s="158">
        <f>D9/D4</f>
        <v>0.65465465465465478</v>
      </c>
      <c r="E10" s="158">
        <f>E9/E4</f>
        <v>0.76252319109461975</v>
      </c>
      <c r="F10" s="160"/>
      <c r="G10" s="160"/>
      <c r="H10" s="160"/>
      <c r="I10" s="160"/>
      <c r="J10" s="160"/>
      <c r="K10" s="160"/>
      <c r="L10" s="160"/>
      <c r="M10" s="160"/>
      <c r="N10" s="160"/>
      <c r="O10" s="160"/>
    </row>
    <row r="11" spans="1:15" x14ac:dyDescent="0.6">
      <c r="A11" s="167" t="s">
        <v>715</v>
      </c>
      <c r="B11" s="160">
        <f t="shared" ref="B11:E13" si="2">B$10*B5</f>
        <v>5.0999999999999996</v>
      </c>
      <c r="C11" s="160">
        <f t="shared" si="2"/>
        <v>12.1</v>
      </c>
      <c r="D11" s="160">
        <f t="shared" si="2"/>
        <v>21.8</v>
      </c>
      <c r="E11" s="160">
        <f t="shared" si="2"/>
        <v>39.956215213358071</v>
      </c>
      <c r="F11" s="160"/>
      <c r="G11" s="160"/>
      <c r="H11" s="160"/>
      <c r="I11" s="160"/>
      <c r="J11" s="160"/>
      <c r="K11" s="160"/>
      <c r="L11" s="160"/>
      <c r="M11" s="160"/>
      <c r="N11" s="160"/>
      <c r="O11" s="160"/>
    </row>
    <row r="12" spans="1:15" x14ac:dyDescent="0.6">
      <c r="A12" s="167" t="s">
        <v>716</v>
      </c>
      <c r="B12" s="160">
        <f t="shared" si="2"/>
        <v>0</v>
      </c>
      <c r="C12" s="160">
        <f t="shared" si="2"/>
        <v>0</v>
      </c>
      <c r="D12" s="160">
        <f t="shared" si="2"/>
        <v>0</v>
      </c>
      <c r="E12" s="160">
        <f t="shared" si="2"/>
        <v>1.0675324675324676</v>
      </c>
      <c r="F12" s="160"/>
      <c r="G12" s="160"/>
      <c r="H12" s="160"/>
      <c r="I12" s="160"/>
      <c r="J12" s="160"/>
      <c r="K12" s="160"/>
      <c r="L12" s="160"/>
      <c r="M12" s="160"/>
      <c r="N12" s="160"/>
      <c r="O12" s="160"/>
    </row>
    <row r="13" spans="1:15" x14ac:dyDescent="0.6">
      <c r="A13" s="167" t="s">
        <v>717</v>
      </c>
      <c r="B13" s="160">
        <f t="shared" si="2"/>
        <v>0</v>
      </c>
      <c r="C13" s="160">
        <f t="shared" si="2"/>
        <v>0</v>
      </c>
      <c r="D13" s="160">
        <f t="shared" si="2"/>
        <v>0</v>
      </c>
      <c r="E13" s="160">
        <f t="shared" si="2"/>
        <v>7.6252319109462036E-2</v>
      </c>
      <c r="F13" s="160"/>
      <c r="G13" s="160"/>
      <c r="H13" s="160"/>
      <c r="I13" s="160"/>
      <c r="J13" s="160"/>
      <c r="K13" s="160"/>
      <c r="L13" s="160"/>
      <c r="M13" s="160"/>
      <c r="N13" s="160"/>
      <c r="O13" s="160"/>
    </row>
    <row r="14" spans="1:15" x14ac:dyDescent="0.6">
      <c r="B14" s="112"/>
      <c r="C14" s="112"/>
      <c r="D14" s="112"/>
      <c r="E14" s="112"/>
      <c r="F14" s="160"/>
      <c r="G14" s="160"/>
      <c r="H14" s="160"/>
      <c r="I14" s="160"/>
      <c r="J14" s="160"/>
      <c r="K14" s="160"/>
      <c r="L14" s="160"/>
      <c r="M14" s="160"/>
      <c r="N14" s="160"/>
      <c r="O14" s="160"/>
    </row>
    <row r="15" spans="1:15" x14ac:dyDescent="0.6">
      <c r="B15" s="112"/>
      <c r="C15" s="112"/>
      <c r="D15" s="112"/>
      <c r="E15" s="112"/>
      <c r="F15" s="160"/>
      <c r="G15" s="160"/>
      <c r="H15" s="160"/>
      <c r="I15" s="160"/>
      <c r="J15" s="160"/>
      <c r="K15" s="160"/>
      <c r="L15" s="160"/>
      <c r="M15" s="160"/>
      <c r="N15" s="160"/>
      <c r="O15" s="160"/>
    </row>
    <row r="16" spans="1:15" x14ac:dyDescent="0.6">
      <c r="A16" t="s">
        <v>176</v>
      </c>
      <c r="B16" s="157">
        <v>0.84</v>
      </c>
      <c r="C16" s="157">
        <v>0.61</v>
      </c>
      <c r="D16" s="410">
        <v>0.66</v>
      </c>
      <c r="E16" s="157">
        <v>0.73</v>
      </c>
      <c r="F16" s="163">
        <v>0.7</v>
      </c>
      <c r="G16" s="39">
        <f>F16</f>
        <v>0.7</v>
      </c>
      <c r="H16" s="39">
        <f>G16</f>
        <v>0.7</v>
      </c>
      <c r="I16" s="39">
        <f t="shared" ref="I16:N16" si="3">H16</f>
        <v>0.7</v>
      </c>
      <c r="J16" s="39">
        <f t="shared" si="3"/>
        <v>0.7</v>
      </c>
      <c r="K16" s="39">
        <f t="shared" si="3"/>
        <v>0.7</v>
      </c>
      <c r="L16" s="39">
        <f t="shared" si="3"/>
        <v>0.7</v>
      </c>
      <c r="M16" s="39">
        <f t="shared" si="3"/>
        <v>0.7</v>
      </c>
      <c r="N16" s="39">
        <f t="shared" si="3"/>
        <v>0.7</v>
      </c>
      <c r="O16" s="39"/>
    </row>
  </sheetData>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9E2EC-ABE1-4D8A-9A03-62BB8F525B4B}">
  <dimension ref="B1:AY192"/>
  <sheetViews>
    <sheetView showGridLines="0" zoomScaleNormal="100" workbookViewId="0">
      <pane xSplit="2" ySplit="2" topLeftCell="C3" activePane="bottomRight" state="frozen"/>
      <selection activeCell="B19" sqref="B19"/>
      <selection pane="topRight" activeCell="B19" sqref="B19"/>
      <selection pane="bottomLeft" activeCell="B19" sqref="B19"/>
      <selection pane="bottomRight" activeCell="B1" sqref="B1"/>
    </sheetView>
  </sheetViews>
  <sheetFormatPr defaultColWidth="8.69921875" defaultRowHeight="15.6" x14ac:dyDescent="0.6"/>
  <cols>
    <col min="1" max="1" width="8.69921875" style="43"/>
    <col min="2" max="2" width="42.59765625" style="17" customWidth="1"/>
    <col min="3" max="5" width="8.19921875" style="17" customWidth="1"/>
    <col min="6" max="15" width="8.19921875" style="43" customWidth="1"/>
    <col min="16" max="19" width="8.69921875" style="43"/>
    <col min="51" max="16384" width="8.69921875" style="43"/>
  </cols>
  <sheetData>
    <row r="1" spans="2:19" s="19" customFormat="1" x14ac:dyDescent="0.6">
      <c r="B1" s="262" t="s">
        <v>373</v>
      </c>
      <c r="C1" s="17">
        <v>2018</v>
      </c>
      <c r="D1" s="17">
        <v>2019</v>
      </c>
      <c r="E1" s="17">
        <v>2020</v>
      </c>
      <c r="F1" s="17">
        <v>2021</v>
      </c>
      <c r="G1" s="17">
        <v>2022</v>
      </c>
      <c r="H1" s="18">
        <v>2023</v>
      </c>
      <c r="I1" s="18">
        <v>2024</v>
      </c>
      <c r="J1" s="18">
        <v>2025</v>
      </c>
      <c r="K1" s="18">
        <v>2026</v>
      </c>
      <c r="L1" s="18">
        <v>2027</v>
      </c>
      <c r="M1" s="18">
        <v>2028</v>
      </c>
      <c r="N1" s="18">
        <v>2029</v>
      </c>
      <c r="O1" s="18">
        <v>2030</v>
      </c>
      <c r="P1"/>
      <c r="Q1"/>
      <c r="R1"/>
      <c r="S1"/>
    </row>
    <row r="2" spans="2:19" customFormat="1" x14ac:dyDescent="0.6">
      <c r="B2" s="20" t="s">
        <v>136</v>
      </c>
      <c r="C2" s="21" t="s">
        <v>7</v>
      </c>
      <c r="D2" s="21" t="s">
        <v>7</v>
      </c>
      <c r="E2" s="21" t="s">
        <v>7</v>
      </c>
      <c r="F2" s="21" t="s">
        <v>7</v>
      </c>
      <c r="G2" s="21" t="s">
        <v>7</v>
      </c>
      <c r="H2" s="21" t="s">
        <v>8</v>
      </c>
      <c r="I2" s="21" t="s">
        <v>8</v>
      </c>
      <c r="J2" s="21" t="s">
        <v>8</v>
      </c>
      <c r="K2" s="21" t="s">
        <v>8</v>
      </c>
      <c r="L2" s="21" t="s">
        <v>8</v>
      </c>
      <c r="M2" s="21" t="s">
        <v>8</v>
      </c>
      <c r="N2" s="21" t="s">
        <v>8</v>
      </c>
      <c r="O2" s="21" t="s">
        <v>8</v>
      </c>
    </row>
    <row r="3" spans="2:19" customFormat="1" x14ac:dyDescent="0.6">
      <c r="B3" s="20" t="s">
        <v>9</v>
      </c>
    </row>
    <row r="4" spans="2:19" s="88" customFormat="1" ht="15.9" thickBot="1" x14ac:dyDescent="0.65">
      <c r="B4" s="87" t="s">
        <v>133</v>
      </c>
      <c r="C4" s="109">
        <f>SUM(C5:C6)</f>
        <v>318.89999999999998</v>
      </c>
      <c r="D4" s="109">
        <f>SUM(D5:D6)</f>
        <v>612.09999999999991</v>
      </c>
      <c r="E4" s="109">
        <f>SUM(E5:E6)</f>
        <v>737.1</v>
      </c>
      <c r="F4" s="109">
        <f t="shared" ref="F4:O4" si="0">SUM(F5:F6)</f>
        <v>1696.9561700000002</v>
      </c>
      <c r="G4" s="109">
        <f t="shared" si="0"/>
        <v>4790.1710000000003</v>
      </c>
      <c r="H4" s="109">
        <f t="shared" si="0"/>
        <v>7732.8072369424499</v>
      </c>
      <c r="I4" s="109">
        <f t="shared" si="0"/>
        <v>10023.301010022686</v>
      </c>
      <c r="J4" s="109">
        <f t="shared" si="0"/>
        <v>12552.755047904211</v>
      </c>
      <c r="K4" s="109">
        <f t="shared" si="0"/>
        <v>14827.584061151229</v>
      </c>
      <c r="L4" s="109">
        <f t="shared" si="0"/>
        <v>16928.784213913113</v>
      </c>
      <c r="M4" s="109">
        <f t="shared" si="0"/>
        <v>18724.416345688416</v>
      </c>
      <c r="N4" s="109">
        <f t="shared" si="0"/>
        <v>20972.958831498792</v>
      </c>
      <c r="O4" s="109">
        <f t="shared" si="0"/>
        <v>23159.131387457866</v>
      </c>
    </row>
    <row r="5" spans="2:19" s="32" customFormat="1" ht="14.4" x14ac:dyDescent="0.55000000000000004">
      <c r="B5" s="29" t="s">
        <v>87</v>
      </c>
      <c r="C5" s="151">
        <v>161.6</v>
      </c>
      <c r="D5" s="151">
        <v>337.9</v>
      </c>
      <c r="E5" s="44">
        <f>'Revenue and Expenses breakdown'!D7</f>
        <v>382.9</v>
      </c>
      <c r="F5" s="44">
        <f>'Revenue and Expenses breakdown'!E7</f>
        <v>1045.6791700000001</v>
      </c>
      <c r="G5" s="44">
        <f>'Revenue and Expenses breakdown'!F7</f>
        <v>3555.1709999999998</v>
      </c>
      <c r="H5" s="44">
        <f>'Revenue and Expenses breakdown'!G7</f>
        <v>6136.3464197242847</v>
      </c>
      <c r="I5" s="44">
        <f>'Revenue and Expenses breakdown'!H7</f>
        <v>8015.8005110030226</v>
      </c>
      <c r="J5" s="44">
        <f>'Revenue and Expenses breakdown'!I7</f>
        <v>9840.4789014433009</v>
      </c>
      <c r="K5" s="44">
        <f>'Revenue and Expenses breakdown'!J7</f>
        <v>11591.160163987488</v>
      </c>
      <c r="L5" s="44">
        <f>'Revenue and Expenses breakdown'!K7</f>
        <v>13094.530396286749</v>
      </c>
      <c r="M5" s="44">
        <f>'Revenue and Expenses breakdown'!L7</f>
        <v>14421.920037477121</v>
      </c>
      <c r="N5" s="44">
        <f>'Revenue and Expenses breakdown'!M7</f>
        <v>16186.129190786229</v>
      </c>
      <c r="O5" s="44">
        <f>'Revenue and Expenses breakdown'!N7</f>
        <v>17867.518323133812</v>
      </c>
    </row>
    <row r="6" spans="2:19" s="32" customFormat="1" ht="14.4" x14ac:dyDescent="0.55000000000000004">
      <c r="B6" s="29" t="s">
        <v>88</v>
      </c>
      <c r="C6" s="151">
        <v>157.30000000000001</v>
      </c>
      <c r="D6" s="151">
        <v>274.2</v>
      </c>
      <c r="E6" s="44">
        <f>'Revenue and Expenses breakdown'!D26</f>
        <v>354.20000000000005</v>
      </c>
      <c r="F6" s="44">
        <f>'Revenue and Expenses breakdown'!E26</f>
        <v>651.27700000000004</v>
      </c>
      <c r="G6" s="44">
        <f>'Revenue and Expenses breakdown'!F26</f>
        <v>1235</v>
      </c>
      <c r="H6" s="44">
        <f>'Revenue and Expenses breakdown'!G26</f>
        <v>1596.4608172181649</v>
      </c>
      <c r="I6" s="44">
        <f>'Revenue and Expenses breakdown'!H26</f>
        <v>2007.5004990196635</v>
      </c>
      <c r="J6" s="44">
        <f>'Revenue and Expenses breakdown'!I26</f>
        <v>2712.2761464609107</v>
      </c>
      <c r="K6" s="44">
        <f>'Revenue and Expenses breakdown'!J26</f>
        <v>3236.423897163741</v>
      </c>
      <c r="L6" s="44">
        <f>'Revenue and Expenses breakdown'!K26</f>
        <v>3834.2538176263633</v>
      </c>
      <c r="M6" s="44">
        <f>'Revenue and Expenses breakdown'!L26</f>
        <v>4302.4963082112954</v>
      </c>
      <c r="N6" s="44">
        <f>'Revenue and Expenses breakdown'!M26</f>
        <v>4786.8296407125636</v>
      </c>
      <c r="O6" s="44">
        <f>'Revenue and Expenses breakdown'!N26</f>
        <v>5291.6130643240531</v>
      </c>
    </row>
    <row r="7" spans="2:19" s="32" customFormat="1" ht="14.4" x14ac:dyDescent="0.55000000000000004">
      <c r="B7" s="17"/>
      <c r="C7" s="34"/>
      <c r="D7" s="34"/>
      <c r="E7" s="34"/>
    </row>
    <row r="8" spans="2:19" s="32" customFormat="1" ht="14.4" x14ac:dyDescent="0.55000000000000004">
      <c r="B8" s="29" t="s">
        <v>89</v>
      </c>
      <c r="C8" s="151">
        <v>-45.4</v>
      </c>
      <c r="D8" s="151">
        <v>-109.7</v>
      </c>
      <c r="E8" s="36">
        <f>'Revenue and Expenses breakdown'!D65</f>
        <v>-113.9</v>
      </c>
      <c r="F8" s="36">
        <f>'Revenue and Expenses breakdown'!E65</f>
        <v>-367.34399999999999</v>
      </c>
      <c r="G8" s="36">
        <f>'Revenue and Expenses breakdown'!F65</f>
        <v>-1548</v>
      </c>
      <c r="H8" s="36">
        <f>'Revenue and Expenses breakdown'!G65</f>
        <v>-1869.5716505708156</v>
      </c>
      <c r="I8" s="36">
        <f>'Revenue and Expenses breakdown'!H65</f>
        <v>-1868.1948063999262</v>
      </c>
      <c r="J8" s="36">
        <f>'Revenue and Expenses breakdown'!I65</f>
        <v>-1921.4462352435539</v>
      </c>
      <c r="K8" s="36">
        <f>'Revenue and Expenses breakdown'!J65</f>
        <v>-2208.6217994389854</v>
      </c>
      <c r="L8" s="36">
        <f>'Revenue and Expenses breakdown'!K65</f>
        <v>-2612.6377401543514</v>
      </c>
      <c r="M8" s="36">
        <f>'Revenue and Expenses breakdown'!L65</f>
        <v>-3024.4675446337778</v>
      </c>
      <c r="N8" s="36">
        <f>'Revenue and Expenses breakdown'!M65</f>
        <v>-3450.0998165479441</v>
      </c>
      <c r="O8" s="36">
        <f>'Revenue and Expenses breakdown'!N65</f>
        <v>-3903.3833845936947</v>
      </c>
    </row>
    <row r="9" spans="2:19" s="32" customFormat="1" ht="12.9" x14ac:dyDescent="0.5">
      <c r="B9" s="37" t="s">
        <v>10</v>
      </c>
      <c r="C9" s="38">
        <f>C8/C$4</f>
        <v>-0.14236437754782064</v>
      </c>
      <c r="D9" s="38">
        <f>D8/D$4</f>
        <v>-0.17921908184937105</v>
      </c>
      <c r="E9" s="38">
        <f>E8/E$4</f>
        <v>-0.15452448785782119</v>
      </c>
      <c r="F9" s="39">
        <f t="shared" ref="F9:O9" si="1">-F8/F$4</f>
        <v>0.21647229698336873</v>
      </c>
      <c r="G9" s="39">
        <f t="shared" si="1"/>
        <v>0.3231617409900398</v>
      </c>
      <c r="H9" s="39">
        <f t="shared" si="1"/>
        <v>0.24177140245255146</v>
      </c>
      <c r="I9" s="39">
        <f t="shared" si="1"/>
        <v>0.18638518433516524</v>
      </c>
      <c r="J9" s="39">
        <f t="shared" si="1"/>
        <v>0.15306968294297718</v>
      </c>
      <c r="K9" s="39">
        <f t="shared" si="1"/>
        <v>0.14895358477350665</v>
      </c>
      <c r="L9" s="39">
        <f t="shared" si="1"/>
        <v>0.15433109118415753</v>
      </c>
      <c r="M9" s="39">
        <f t="shared" si="1"/>
        <v>0.16152533081920109</v>
      </c>
      <c r="N9" s="39">
        <f t="shared" si="1"/>
        <v>0.16450229289375806</v>
      </c>
      <c r="O9" s="39">
        <f t="shared" si="1"/>
        <v>0.16854619110229771</v>
      </c>
    </row>
    <row r="10" spans="2:19" s="32" customFormat="1" ht="14.4" x14ac:dyDescent="0.55000000000000004">
      <c r="B10" s="371" t="s">
        <v>601</v>
      </c>
      <c r="C10" s="151">
        <v>-43.2</v>
      </c>
      <c r="D10" s="151">
        <v>-79.3</v>
      </c>
      <c r="E10" s="36">
        <f>'Revenue and Expenses breakdown'!D73</f>
        <v>-126.8</v>
      </c>
      <c r="F10" s="36">
        <f>'Revenue and Expenses breakdown'!E73</f>
        <v>-117.11899999999999</v>
      </c>
      <c r="G10" s="36">
        <f>'Revenue and Expenses breakdown'!F73</f>
        <v>-174</v>
      </c>
      <c r="H10" s="36">
        <f>'Revenue and Expenses breakdown'!G73</f>
        <v>-217.5</v>
      </c>
      <c r="I10" s="36">
        <f>'Revenue and Expenses breakdown'!H73</f>
        <v>-282.75</v>
      </c>
      <c r="J10" s="36">
        <f>'Revenue and Expenses breakdown'!I73</f>
        <v>-325.16249999999997</v>
      </c>
      <c r="K10" s="36">
        <f>'Revenue and Expenses breakdown'!J73</f>
        <v>-487.74374999999998</v>
      </c>
      <c r="L10" s="36">
        <f>'Revenue and Expenses breakdown'!K73</f>
        <v>-581.24420819060902</v>
      </c>
      <c r="M10" s="36">
        <f>'Revenue and Expenses breakdown'!L73</f>
        <v>-650.40710818312107</v>
      </c>
      <c r="N10" s="36">
        <f>'Revenue and Expenses breakdown'!M73</f>
        <v>-721.11308121811396</v>
      </c>
      <c r="O10" s="36">
        <f>'Revenue and Expenses breakdown'!N73</f>
        <v>-794.38938138237484</v>
      </c>
    </row>
    <row r="11" spans="2:19" s="32" customFormat="1" ht="12.9" x14ac:dyDescent="0.5">
      <c r="B11" s="37"/>
      <c r="C11" s="90"/>
      <c r="D11" s="90"/>
      <c r="E11" s="90"/>
    </row>
    <row r="12" spans="2:19" s="32" customFormat="1" ht="14.4" x14ac:dyDescent="0.55000000000000004">
      <c r="B12" s="29" t="s">
        <v>90</v>
      </c>
      <c r="C12" s="151">
        <v>-118.6</v>
      </c>
      <c r="D12" s="151">
        <v>-175.2</v>
      </c>
      <c r="E12" s="44">
        <f>'Revenue and Expenses breakdown'!D79</f>
        <v>-169.5</v>
      </c>
      <c r="F12" s="44">
        <f>'Revenue and Expenses breakdown'!E79</f>
        <v>-480.64299999999997</v>
      </c>
      <c r="G12" s="44">
        <f>'Revenue and Expenses breakdown'!F79</f>
        <v>-1405</v>
      </c>
      <c r="H12" s="44">
        <f>'Revenue and Expenses breakdown'!G79</f>
        <v>-2462.84</v>
      </c>
      <c r="I12" s="44">
        <f>'Revenue and Expenses breakdown'!H79</f>
        <v>-3307.16</v>
      </c>
      <c r="J12" s="44">
        <f>'Revenue and Expenses breakdown'!I79</f>
        <v>-3957.8399999999997</v>
      </c>
      <c r="K12" s="44">
        <f>'Revenue and Expenses breakdown'!J79</f>
        <v>-4382.16</v>
      </c>
      <c r="L12" s="44">
        <f>'Revenue and Expenses breakdown'!K79</f>
        <v>-4767.84</v>
      </c>
      <c r="M12" s="44">
        <f>'Revenue and Expenses breakdown'!L79</f>
        <v>-5112.16</v>
      </c>
      <c r="N12" s="44">
        <f>'Revenue and Expenses breakdown'!M79</f>
        <v>-5497.84</v>
      </c>
      <c r="O12" s="44">
        <f>'Revenue and Expenses breakdown'!N79</f>
        <v>-5842.16</v>
      </c>
    </row>
    <row r="13" spans="2:19" s="32" customFormat="1" ht="14.4" x14ac:dyDescent="0.55000000000000004">
      <c r="B13" s="89" t="s">
        <v>91</v>
      </c>
      <c r="C13" s="44">
        <f>C8+C10+C12</f>
        <v>-207.2</v>
      </c>
      <c r="D13" s="44">
        <f t="shared" ref="D13:O13" si="2">D8+D10+D12</f>
        <v>-364.2</v>
      </c>
      <c r="E13" s="44">
        <f t="shared" si="2"/>
        <v>-410.2</v>
      </c>
      <c r="F13" s="36">
        <f t="shared" si="2"/>
        <v>-965.10599999999999</v>
      </c>
      <c r="G13" s="36">
        <f t="shared" si="2"/>
        <v>-3127</v>
      </c>
      <c r="H13" s="36">
        <f t="shared" si="2"/>
        <v>-4549.9116505708153</v>
      </c>
      <c r="I13" s="36">
        <f t="shared" si="2"/>
        <v>-5458.104806399926</v>
      </c>
      <c r="J13" s="36">
        <f t="shared" si="2"/>
        <v>-6204.4487352435535</v>
      </c>
      <c r="K13" s="36">
        <f t="shared" si="2"/>
        <v>-7078.5255494389858</v>
      </c>
      <c r="L13" s="36">
        <f t="shared" si="2"/>
        <v>-7961.7219483449608</v>
      </c>
      <c r="M13" s="36">
        <f t="shared" si="2"/>
        <v>-8787.0346528168993</v>
      </c>
      <c r="N13" s="36">
        <f t="shared" si="2"/>
        <v>-9669.0528977660579</v>
      </c>
      <c r="O13" s="36">
        <f t="shared" si="2"/>
        <v>-10539.932765976069</v>
      </c>
    </row>
    <row r="14" spans="2:19" s="32" customFormat="1" ht="14.4" x14ac:dyDescent="0.55000000000000004">
      <c r="B14" s="17"/>
      <c r="C14" s="31"/>
      <c r="D14" s="31"/>
      <c r="E14" s="31"/>
      <c r="G14" s="39"/>
    </row>
    <row r="15" spans="2:19" s="26" customFormat="1" ht="14.4" x14ac:dyDescent="0.55000000000000004">
      <c r="B15" s="40" t="s">
        <v>409</v>
      </c>
      <c r="C15" s="95">
        <f t="shared" ref="C15:O15" si="3">C4+C13</f>
        <v>111.69999999999999</v>
      </c>
      <c r="D15" s="95">
        <f t="shared" si="3"/>
        <v>247.89999999999992</v>
      </c>
      <c r="E15" s="95">
        <f t="shared" si="3"/>
        <v>326.90000000000003</v>
      </c>
      <c r="F15" s="95">
        <f t="shared" si="3"/>
        <v>731.85017000000016</v>
      </c>
      <c r="G15" s="95">
        <f t="shared" si="3"/>
        <v>1663.1710000000003</v>
      </c>
      <c r="H15" s="95">
        <f t="shared" si="3"/>
        <v>3182.8955863716346</v>
      </c>
      <c r="I15" s="95">
        <f t="shared" si="3"/>
        <v>4565.1962036227596</v>
      </c>
      <c r="J15" s="95">
        <f t="shared" si="3"/>
        <v>6348.3063126606576</v>
      </c>
      <c r="K15" s="95">
        <f t="shared" si="3"/>
        <v>7749.0585117122428</v>
      </c>
      <c r="L15" s="95">
        <f t="shared" si="3"/>
        <v>8967.0622655681527</v>
      </c>
      <c r="M15" s="95">
        <f t="shared" si="3"/>
        <v>9937.3816928715169</v>
      </c>
      <c r="N15" s="95">
        <f t="shared" si="3"/>
        <v>11303.905933732734</v>
      </c>
      <c r="O15" s="95">
        <f t="shared" si="3"/>
        <v>12619.198621481797</v>
      </c>
      <c r="Q15" s="32"/>
    </row>
    <row r="16" spans="2:19" s="26" customFormat="1" ht="14.4" x14ac:dyDescent="0.55000000000000004">
      <c r="B16" s="40" t="s">
        <v>372</v>
      </c>
      <c r="C16" s="273">
        <f t="shared" ref="C16:O16" si="4">C15/C4</f>
        <v>0.350266541235497</v>
      </c>
      <c r="D16" s="273">
        <f t="shared" si="4"/>
        <v>0.40499918314000971</v>
      </c>
      <c r="E16" s="273">
        <f t="shared" si="4"/>
        <v>0.44349477682811017</v>
      </c>
      <c r="F16" s="273">
        <f t="shared" si="4"/>
        <v>0.43127228795779687</v>
      </c>
      <c r="G16" s="273">
        <f t="shared" si="4"/>
        <v>0.34720493276753589</v>
      </c>
      <c r="H16" s="273">
        <f t="shared" si="4"/>
        <v>0.41160932748533774</v>
      </c>
      <c r="I16" s="273">
        <f t="shared" si="4"/>
        <v>0.45545835638956106</v>
      </c>
      <c r="J16" s="273">
        <f t="shared" si="4"/>
        <v>0.50573011967763692</v>
      </c>
      <c r="K16" s="273">
        <f t="shared" si="4"/>
        <v>0.52261099851155379</v>
      </c>
      <c r="L16" s="273">
        <f t="shared" si="4"/>
        <v>0.52969322263547258</v>
      </c>
      <c r="M16" s="273">
        <f t="shared" si="4"/>
        <v>0.5307178343724317</v>
      </c>
      <c r="N16" s="273">
        <f t="shared" si="4"/>
        <v>0.53897525974044558</v>
      </c>
      <c r="O16" s="273">
        <f t="shared" si="4"/>
        <v>0.5448908428541448</v>
      </c>
      <c r="Q16" s="32"/>
    </row>
    <row r="17" spans="2:17" s="26" customFormat="1" ht="14.4" x14ac:dyDescent="0.55000000000000004">
      <c r="B17" s="40"/>
      <c r="C17" s="273"/>
      <c r="D17" s="273"/>
      <c r="E17" s="273"/>
      <c r="F17" s="273"/>
      <c r="G17" s="273"/>
      <c r="H17" s="273"/>
      <c r="I17" s="273"/>
      <c r="J17" s="273"/>
      <c r="K17" s="273"/>
      <c r="L17" s="273"/>
      <c r="M17" s="273"/>
      <c r="N17" s="273"/>
      <c r="O17" s="273"/>
      <c r="Q17" s="32"/>
    </row>
    <row r="18" spans="2:17" s="26" customFormat="1" ht="14.4" x14ac:dyDescent="0.55000000000000004">
      <c r="B18" s="40" t="s">
        <v>705</v>
      </c>
      <c r="C18" s="273"/>
      <c r="D18" s="95">
        <f t="shared" ref="D18:O18" si="5">D5+D8</f>
        <v>228.2</v>
      </c>
      <c r="E18" s="95">
        <f t="shared" si="5"/>
        <v>269</v>
      </c>
      <c r="F18" s="95">
        <f t="shared" si="5"/>
        <v>678.33517000000006</v>
      </c>
      <c r="G18" s="95">
        <f t="shared" si="5"/>
        <v>2007.1709999999998</v>
      </c>
      <c r="H18" s="95">
        <f t="shared" si="5"/>
        <v>4266.7747691534696</v>
      </c>
      <c r="I18" s="95">
        <f t="shared" si="5"/>
        <v>6147.6057046030965</v>
      </c>
      <c r="J18" s="95">
        <f t="shared" si="5"/>
        <v>7919.0326661997469</v>
      </c>
      <c r="K18" s="95">
        <f t="shared" si="5"/>
        <v>9382.5383645485017</v>
      </c>
      <c r="L18" s="95">
        <f t="shared" si="5"/>
        <v>10481.892656132397</v>
      </c>
      <c r="M18" s="95">
        <f t="shared" si="5"/>
        <v>11397.452492843342</v>
      </c>
      <c r="N18" s="95">
        <f t="shared" si="5"/>
        <v>12736.029374238286</v>
      </c>
      <c r="O18" s="95">
        <f t="shared" si="5"/>
        <v>13964.134938540117</v>
      </c>
      <c r="Q18" s="32"/>
    </row>
    <row r="19" spans="2:17" s="26" customFormat="1" ht="14.4" x14ac:dyDescent="0.55000000000000004">
      <c r="B19" s="40" t="s">
        <v>372</v>
      </c>
      <c r="C19" s="273"/>
      <c r="D19" s="784">
        <f>D18/AVERAGE(C152:D152)</f>
        <v>9.9731223914516082E-2</v>
      </c>
      <c r="E19" s="784">
        <f t="shared" ref="E19:O19" si="6">E18/AVERAGE(D152:E152)</f>
        <v>8.817900482823314E-2</v>
      </c>
      <c r="F19" s="784">
        <f t="shared" si="6"/>
        <v>0.13418977126336215</v>
      </c>
      <c r="G19" s="784">
        <f t="shared" si="6"/>
        <v>0.19471536871845421</v>
      </c>
      <c r="H19" s="784">
        <f t="shared" si="6"/>
        <v>0.25144026662136587</v>
      </c>
      <c r="I19" s="784">
        <f t="shared" si="6"/>
        <v>0.25797245228264654</v>
      </c>
      <c r="J19" s="784">
        <f t="shared" si="6"/>
        <v>0.25339290388918939</v>
      </c>
      <c r="K19" s="784">
        <f t="shared" si="6"/>
        <v>0.24352876417569527</v>
      </c>
      <c r="L19" s="784">
        <f t="shared" si="6"/>
        <v>0.23189132685137537</v>
      </c>
      <c r="M19" s="784">
        <f t="shared" si="6"/>
        <v>0.22143035461792643</v>
      </c>
      <c r="N19" s="784">
        <f t="shared" si="6"/>
        <v>0.22242089958426017</v>
      </c>
      <c r="O19" s="784">
        <f t="shared" si="6"/>
        <v>0.22231151567039492</v>
      </c>
      <c r="Q19" s="32"/>
    </row>
    <row r="20" spans="2:17" s="26" customFormat="1" ht="14.7" thickBot="1" x14ac:dyDescent="0.6">
      <c r="B20" s="40"/>
      <c r="C20" s="273"/>
      <c r="D20" s="273"/>
      <c r="E20" s="273"/>
      <c r="F20" s="273"/>
      <c r="G20" s="273"/>
      <c r="H20" s="273"/>
      <c r="I20" s="273"/>
      <c r="J20" s="273"/>
      <c r="K20" s="273"/>
      <c r="L20" s="273"/>
      <c r="M20" s="273"/>
      <c r="N20" s="273"/>
      <c r="O20" s="273"/>
    </row>
    <row r="21" spans="2:17" s="28" customFormat="1" ht="14.4" x14ac:dyDescent="0.55000000000000004">
      <c r="B21" s="41" t="s">
        <v>92</v>
      </c>
      <c r="C21" s="42"/>
      <c r="D21" s="42"/>
      <c r="E21" s="42"/>
    </row>
    <row r="22" spans="2:17" s="32" customFormat="1" ht="14.4" x14ac:dyDescent="0.55000000000000004">
      <c r="B22" s="29" t="s">
        <v>93</v>
      </c>
      <c r="C22" s="151">
        <v>-46.7</v>
      </c>
      <c r="D22" s="151">
        <v>-115.6</v>
      </c>
      <c r="E22" s="151">
        <v>-124</v>
      </c>
      <c r="F22" s="151">
        <v>-190.50899999999999</v>
      </c>
      <c r="G22" s="151">
        <v>-335</v>
      </c>
      <c r="H22" s="31">
        <f>H23*H$4</f>
        <v>-487.16685592737434</v>
      </c>
      <c r="I22" s="31">
        <f t="shared" ref="I22:O22" si="7">I23*I$4</f>
        <v>-656.52621615648593</v>
      </c>
      <c r="J22" s="31">
        <f t="shared" si="7"/>
        <v>-822.20545563772589</v>
      </c>
      <c r="K22" s="31">
        <f t="shared" si="7"/>
        <v>-971.20675600540551</v>
      </c>
      <c r="L22" s="31">
        <f t="shared" si="7"/>
        <v>-1108.8353660113089</v>
      </c>
      <c r="M22" s="31">
        <f t="shared" si="7"/>
        <v>-1226.4492706425913</v>
      </c>
      <c r="N22" s="31">
        <f t="shared" si="7"/>
        <v>-1373.7288034631711</v>
      </c>
      <c r="O22" s="31">
        <f t="shared" si="7"/>
        <v>-1516.9231058784903</v>
      </c>
    </row>
    <row r="23" spans="2:17" s="32" customFormat="1" ht="12.9" x14ac:dyDescent="0.5">
      <c r="B23" s="37" t="s">
        <v>10</v>
      </c>
      <c r="C23" s="38">
        <f>C22/C$4</f>
        <v>-0.14644089056130449</v>
      </c>
      <c r="D23" s="38">
        <f>D22/D$4</f>
        <v>-0.18885802973370366</v>
      </c>
      <c r="E23" s="38">
        <f>E22/E$4</f>
        <v>-0.16822683489350154</v>
      </c>
      <c r="F23" s="38">
        <f>F22/F$4</f>
        <v>-0.11226512703625101</v>
      </c>
      <c r="G23" s="185">
        <v>-6.8000000000000005E-2</v>
      </c>
      <c r="H23" s="174">
        <f>G23+H24</f>
        <v>-6.3E-2</v>
      </c>
      <c r="I23" s="174">
        <f t="shared" ref="I23:O23" si="8">H23+I24</f>
        <v>-6.5500000000000003E-2</v>
      </c>
      <c r="J23" s="174">
        <f t="shared" si="8"/>
        <v>-6.5500000000000003E-2</v>
      </c>
      <c r="K23" s="174">
        <f t="shared" si="8"/>
        <v>-6.5500000000000003E-2</v>
      </c>
      <c r="L23" s="174">
        <f t="shared" si="8"/>
        <v>-6.5500000000000003E-2</v>
      </c>
      <c r="M23" s="174">
        <f t="shared" si="8"/>
        <v>-6.5500000000000003E-2</v>
      </c>
      <c r="N23" s="174">
        <f t="shared" si="8"/>
        <v>-6.5500000000000003E-2</v>
      </c>
      <c r="O23" s="174">
        <f t="shared" si="8"/>
        <v>-6.5500000000000003E-2</v>
      </c>
    </row>
    <row r="24" spans="2:17" s="32" customFormat="1" ht="12.9" x14ac:dyDescent="0.5">
      <c r="B24" s="92" t="s">
        <v>437</v>
      </c>
      <c r="C24" s="38"/>
      <c r="D24" s="38">
        <f>(D23-C23)</f>
        <v>-4.2417139172399171E-2</v>
      </c>
      <c r="E24" s="38">
        <f>(E23-D23)</f>
        <v>2.0631194840202122E-2</v>
      </c>
      <c r="F24" s="38">
        <f>(F23-E23)</f>
        <v>5.5961707857250534E-2</v>
      </c>
      <c r="G24" s="38">
        <f>(G23-F23)</f>
        <v>4.4265127036251004E-2</v>
      </c>
      <c r="H24" s="185">
        <v>5.0000000000000001E-3</v>
      </c>
      <c r="I24" s="185">
        <v>-2.5000000000000001E-3</v>
      </c>
      <c r="J24" s="185">
        <v>0</v>
      </c>
      <c r="K24" s="185">
        <v>0</v>
      </c>
      <c r="L24" s="185">
        <v>0</v>
      </c>
      <c r="M24" s="185">
        <v>0</v>
      </c>
      <c r="N24" s="185">
        <v>0</v>
      </c>
      <c r="O24" s="185">
        <v>0</v>
      </c>
    </row>
    <row r="25" spans="2:17" s="32" customFormat="1" ht="12.9" x14ac:dyDescent="0.5">
      <c r="B25" s="37"/>
      <c r="C25" s="38"/>
      <c r="D25" s="38"/>
      <c r="E25" s="38"/>
      <c r="F25" s="39"/>
      <c r="G25" s="39"/>
      <c r="H25" s="39"/>
      <c r="I25" s="39"/>
      <c r="J25" s="39"/>
      <c r="K25" s="39"/>
      <c r="L25" s="39"/>
      <c r="M25" s="39"/>
      <c r="N25" s="39"/>
      <c r="O25" s="39"/>
    </row>
    <row r="26" spans="2:17" s="32" customFormat="1" ht="14.4" x14ac:dyDescent="0.55000000000000004">
      <c r="B26" s="29" t="s">
        <v>94</v>
      </c>
      <c r="C26" s="151">
        <v>-84.7</v>
      </c>
      <c r="D26" s="151">
        <v>-199.9</v>
      </c>
      <c r="E26" s="151">
        <v>-266</v>
      </c>
      <c r="F26" s="151">
        <v>-628.90099999999995</v>
      </c>
      <c r="G26" s="151">
        <v>-1333</v>
      </c>
      <c r="H26" s="31">
        <f t="shared" ref="H26:O26" si="9">H27*H$4</f>
        <v>-1082.5930131719431</v>
      </c>
      <c r="I26" s="31">
        <f t="shared" si="9"/>
        <v>-1353.1456363530626</v>
      </c>
      <c r="J26" s="31">
        <f t="shared" si="9"/>
        <v>-1631.8581562275474</v>
      </c>
      <c r="K26" s="31">
        <f t="shared" si="9"/>
        <v>-1853.4480076439036</v>
      </c>
      <c r="L26" s="31">
        <f t="shared" si="9"/>
        <v>-2031.4541056695734</v>
      </c>
      <c r="M26" s="31">
        <f t="shared" si="9"/>
        <v>-2153.3078797541675</v>
      </c>
      <c r="N26" s="31">
        <f t="shared" si="9"/>
        <v>-2307.0254714648668</v>
      </c>
      <c r="O26" s="31">
        <f t="shared" si="9"/>
        <v>-2431.7087956830756</v>
      </c>
    </row>
    <row r="27" spans="2:17" s="32" customFormat="1" ht="12.9" x14ac:dyDescent="0.5">
      <c r="B27" s="37" t="s">
        <v>10</v>
      </c>
      <c r="C27" s="150">
        <f>C26/C$4</f>
        <v>-0.26560050172467858</v>
      </c>
      <c r="D27" s="150">
        <f>D26/D$4</f>
        <v>-0.32658062408103256</v>
      </c>
      <c r="E27" s="150">
        <f>E26/E$4</f>
        <v>-0.36087369420702753</v>
      </c>
      <c r="F27" s="150">
        <f>F26/F$4</f>
        <v>-0.3706053291877302</v>
      </c>
      <c r="G27" s="93">
        <v>-0.215</v>
      </c>
      <c r="H27" s="174">
        <f>G27+H28</f>
        <v>-0.14000000000000001</v>
      </c>
      <c r="I27" s="174">
        <f t="shared" ref="I27:O27" si="10">H27+I28</f>
        <v>-0.13500000000000001</v>
      </c>
      <c r="J27" s="174">
        <f t="shared" si="10"/>
        <v>-0.13</v>
      </c>
      <c r="K27" s="174">
        <f t="shared" si="10"/>
        <v>-0.125</v>
      </c>
      <c r="L27" s="174">
        <f t="shared" si="10"/>
        <v>-0.12</v>
      </c>
      <c r="M27" s="174">
        <f t="shared" si="10"/>
        <v>-0.11499999999999999</v>
      </c>
      <c r="N27" s="174">
        <f t="shared" si="10"/>
        <v>-0.10999999999999999</v>
      </c>
      <c r="O27" s="174">
        <f t="shared" si="10"/>
        <v>-0.10499999999999998</v>
      </c>
    </row>
    <row r="28" spans="2:17" s="32" customFormat="1" ht="12.9" x14ac:dyDescent="0.5">
      <c r="B28" s="92" t="s">
        <v>437</v>
      </c>
      <c r="C28" s="38"/>
      <c r="D28" s="38">
        <f>(D27-C27)</f>
        <v>-6.0980122356353972E-2</v>
      </c>
      <c r="E28" s="38">
        <f>(E27-D27)</f>
        <v>-3.4293070125994973E-2</v>
      </c>
      <c r="F28" s="38">
        <f>(F27-E27)</f>
        <v>-9.7316349807026747E-3</v>
      </c>
      <c r="G28" s="38">
        <f>(G27-F27)</f>
        <v>0.15560532918773021</v>
      </c>
      <c r="H28" s="185">
        <v>7.4999999999999997E-2</v>
      </c>
      <c r="I28" s="185">
        <v>5.0000000000000001E-3</v>
      </c>
      <c r="J28" s="185">
        <v>5.0000000000000001E-3</v>
      </c>
      <c r="K28" s="185">
        <v>5.0000000000000001E-3</v>
      </c>
      <c r="L28" s="185">
        <v>5.0000000000000001E-3</v>
      </c>
      <c r="M28" s="185">
        <v>5.0000000000000001E-3</v>
      </c>
      <c r="N28" s="185">
        <v>5.0000000000000001E-3</v>
      </c>
      <c r="O28" s="185">
        <v>5.0000000000000001E-3</v>
      </c>
    </row>
    <row r="29" spans="2:17" s="32" customFormat="1" ht="12.9" x14ac:dyDescent="0.5">
      <c r="B29" s="1008" t="s">
        <v>1290</v>
      </c>
      <c r="C29" s="38"/>
      <c r="D29" s="38"/>
      <c r="E29" s="38"/>
      <c r="F29" s="151">
        <v>0</v>
      </c>
      <c r="G29" s="151">
        <v>-355</v>
      </c>
      <c r="H29" s="151">
        <f>(G29+18+18+18+6)*0.9</f>
        <v>-265.5</v>
      </c>
      <c r="I29" s="30">
        <f>H29*1.1</f>
        <v>-292.05</v>
      </c>
      <c r="J29" s="30">
        <f t="shared" ref="J29:O29" si="11">I29*1.1</f>
        <v>-321.25500000000005</v>
      </c>
      <c r="K29" s="30">
        <f t="shared" si="11"/>
        <v>-353.3805000000001</v>
      </c>
      <c r="L29" s="30">
        <f t="shared" si="11"/>
        <v>-388.71855000000016</v>
      </c>
      <c r="M29" s="30">
        <f t="shared" si="11"/>
        <v>-427.5904050000002</v>
      </c>
      <c r="N29" s="30">
        <f t="shared" si="11"/>
        <v>-470.34944550000029</v>
      </c>
      <c r="O29" s="30">
        <f t="shared" si="11"/>
        <v>-517.38439005000032</v>
      </c>
    </row>
    <row r="30" spans="2:17" s="32" customFormat="1" ht="12.9" x14ac:dyDescent="0.5">
      <c r="B30" s="1008" t="s">
        <v>1291</v>
      </c>
      <c r="C30" s="38"/>
      <c r="D30" s="38"/>
      <c r="E30" s="38"/>
      <c r="F30" s="151">
        <v>-225</v>
      </c>
      <c r="G30" s="151">
        <v>-286</v>
      </c>
      <c r="H30" s="39"/>
      <c r="I30" s="39"/>
      <c r="J30" s="39"/>
      <c r="K30" s="39"/>
      <c r="L30" s="39"/>
      <c r="M30" s="39"/>
      <c r="N30" s="39"/>
      <c r="O30" s="39"/>
    </row>
    <row r="31" spans="2:17" s="32" customFormat="1" ht="12.9" x14ac:dyDescent="0.5">
      <c r="B31" s="1008" t="s">
        <v>1292</v>
      </c>
      <c r="C31" s="38"/>
      <c r="D31" s="38"/>
      <c r="E31" s="38"/>
      <c r="F31" s="31">
        <f>F26-F29-F30</f>
        <v>-403.90099999999995</v>
      </c>
      <c r="G31" s="31">
        <f>G26-G29-G30</f>
        <v>-692</v>
      </c>
      <c r="H31" s="31">
        <f t="shared" ref="H31:O31" si="12">H26-H29-H30</f>
        <v>-817.09301317194308</v>
      </c>
      <c r="I31" s="31">
        <f t="shared" si="12"/>
        <v>-1061.0956363530627</v>
      </c>
      <c r="J31" s="31">
        <f t="shared" si="12"/>
        <v>-1310.6031562275473</v>
      </c>
      <c r="K31" s="31">
        <f t="shared" si="12"/>
        <v>-1500.0675076439034</v>
      </c>
      <c r="L31" s="31">
        <f t="shared" si="12"/>
        <v>-1642.7355556695734</v>
      </c>
      <c r="M31" s="31">
        <f t="shared" si="12"/>
        <v>-1725.7174747541674</v>
      </c>
      <c r="N31" s="31">
        <f t="shared" si="12"/>
        <v>-1836.6760259648665</v>
      </c>
      <c r="O31" s="31">
        <f t="shared" si="12"/>
        <v>-1914.3244056330752</v>
      </c>
    </row>
    <row r="32" spans="2:17" s="32" customFormat="1" ht="12.9" x14ac:dyDescent="0.5">
      <c r="B32" s="1008"/>
      <c r="C32" s="38"/>
      <c r="D32" s="38"/>
      <c r="E32" s="38"/>
      <c r="F32" s="39">
        <f>-F31/F4</f>
        <v>0.23801498656267586</v>
      </c>
      <c r="G32" s="39">
        <f t="shared" ref="G32:O32" si="13">-G31/G4</f>
        <v>0.14446248369838988</v>
      </c>
      <c r="H32" s="39">
        <f t="shared" si="13"/>
        <v>0.1056657677005565</v>
      </c>
      <c r="I32" s="39">
        <f t="shared" si="13"/>
        <v>0.10586289240361356</v>
      </c>
      <c r="J32" s="39">
        <f t="shared" si="13"/>
        <v>0.10440761021990655</v>
      </c>
      <c r="K32" s="39">
        <f t="shared" si="13"/>
        <v>0.10116735817901251</v>
      </c>
      <c r="L32" s="39">
        <f t="shared" si="13"/>
        <v>9.703801140778158E-2</v>
      </c>
      <c r="M32" s="39">
        <f t="shared" si="13"/>
        <v>9.216401958246033E-2</v>
      </c>
      <c r="N32" s="39">
        <f t="shared" si="13"/>
        <v>8.7573529358499769E-2</v>
      </c>
      <c r="O32" s="39">
        <f t="shared" si="13"/>
        <v>8.2659594334777292E-2</v>
      </c>
    </row>
    <row r="33" spans="2:15" s="32" customFormat="1" ht="12.9" x14ac:dyDescent="0.5">
      <c r="B33" s="37"/>
      <c r="C33" s="38"/>
      <c r="D33" s="38"/>
      <c r="E33" s="38"/>
      <c r="F33" s="39"/>
      <c r="G33" s="39"/>
      <c r="H33" s="39"/>
      <c r="I33" s="39"/>
      <c r="J33" s="39"/>
      <c r="K33" s="39"/>
      <c r="L33" s="39"/>
      <c r="M33" s="39"/>
      <c r="N33" s="39"/>
      <c r="O33" s="39"/>
    </row>
    <row r="34" spans="2:15" s="32" customFormat="1" ht="14.4" x14ac:dyDescent="0.55000000000000004">
      <c r="B34" s="29" t="s">
        <v>95</v>
      </c>
      <c r="C34" s="151">
        <v>-6.4</v>
      </c>
      <c r="D34" s="151">
        <v>-41.8</v>
      </c>
      <c r="E34" s="151">
        <v>-19.399999999999999</v>
      </c>
      <c r="F34" s="151">
        <v>-79.573999999999998</v>
      </c>
      <c r="G34" s="151">
        <v>-153</v>
      </c>
      <c r="H34" s="31">
        <f>H35*H$4</f>
        <v>-130.99688354075818</v>
      </c>
      <c r="I34" s="31">
        <f t="shared" ref="I34:O34" si="14">I35*I$4</f>
        <v>-169.79877486550069</v>
      </c>
      <c r="J34" s="31">
        <f t="shared" si="14"/>
        <v>-212.64874976712292</v>
      </c>
      <c r="K34" s="31">
        <f t="shared" si="14"/>
        <v>-251.18527372181609</v>
      </c>
      <c r="L34" s="31">
        <f t="shared" si="14"/>
        <v>-286.78045452397015</v>
      </c>
      <c r="M34" s="31">
        <f t="shared" si="14"/>
        <v>-317.199189407787</v>
      </c>
      <c r="N34" s="31">
        <f t="shared" si="14"/>
        <v>-355.29040895131391</v>
      </c>
      <c r="O34" s="31">
        <f t="shared" si="14"/>
        <v>-392.32505664624438</v>
      </c>
    </row>
    <row r="35" spans="2:15" s="32" customFormat="1" ht="12.9" x14ac:dyDescent="0.5">
      <c r="B35" s="37" t="s">
        <v>10</v>
      </c>
      <c r="C35" s="38">
        <f>C34/C$4</f>
        <v>-2.0068987143305114E-2</v>
      </c>
      <c r="D35" s="38">
        <f>D34/D$4</f>
        <v>-6.8289495180526058E-2</v>
      </c>
      <c r="E35" s="38">
        <f>E34/E$4</f>
        <v>-2.6319359652692983E-2</v>
      </c>
      <c r="F35" s="38">
        <f>F34/F$4</f>
        <v>-4.6892195217982553E-2</v>
      </c>
      <c r="G35" s="38">
        <f>G34/G$4</f>
        <v>-3.1940404632736494E-2</v>
      </c>
      <c r="H35" s="174">
        <f t="shared" ref="H35:O35" si="15">G35+H36</f>
        <v>-1.6940404632736494E-2</v>
      </c>
      <c r="I35" s="174">
        <f t="shared" si="15"/>
        <v>-1.6940404632736494E-2</v>
      </c>
      <c r="J35" s="174">
        <f t="shared" si="15"/>
        <v>-1.6940404632736494E-2</v>
      </c>
      <c r="K35" s="174">
        <f t="shared" si="15"/>
        <v>-1.6940404632736494E-2</v>
      </c>
      <c r="L35" s="174">
        <f t="shared" si="15"/>
        <v>-1.6940404632736494E-2</v>
      </c>
      <c r="M35" s="174">
        <f t="shared" si="15"/>
        <v>-1.6940404632736494E-2</v>
      </c>
      <c r="N35" s="174">
        <f t="shared" si="15"/>
        <v>-1.6940404632736494E-2</v>
      </c>
      <c r="O35" s="174">
        <f t="shared" si="15"/>
        <v>-1.6940404632736494E-2</v>
      </c>
    </row>
    <row r="36" spans="2:15" s="32" customFormat="1" ht="12.9" x14ac:dyDescent="0.5">
      <c r="B36" s="92" t="s">
        <v>437</v>
      </c>
      <c r="C36" s="38"/>
      <c r="D36" s="38">
        <f>(D35-C35)</f>
        <v>-4.8220508037220944E-2</v>
      </c>
      <c r="E36" s="38">
        <f>(E35-D35)</f>
        <v>4.1970135527833075E-2</v>
      </c>
      <c r="F36" s="38">
        <f>(F35-E35)</f>
        <v>-2.057283556528957E-2</v>
      </c>
      <c r="G36" s="38">
        <f>(G35-F35)</f>
        <v>1.4951790585246059E-2</v>
      </c>
      <c r="H36" s="185">
        <v>1.4999999999999999E-2</v>
      </c>
      <c r="I36" s="185">
        <v>0</v>
      </c>
      <c r="J36" s="185">
        <v>0</v>
      </c>
      <c r="K36" s="185">
        <v>0</v>
      </c>
      <c r="L36" s="185">
        <v>0</v>
      </c>
      <c r="M36" s="185">
        <v>0</v>
      </c>
      <c r="N36" s="185">
        <v>0</v>
      </c>
      <c r="O36" s="185">
        <v>0</v>
      </c>
    </row>
    <row r="37" spans="2:15" s="32" customFormat="1" ht="12.9" x14ac:dyDescent="0.5">
      <c r="B37" s="37"/>
      <c r="C37" s="38"/>
      <c r="D37" s="38"/>
      <c r="E37" s="38"/>
      <c r="F37" s="39"/>
      <c r="G37" s="39"/>
      <c r="H37" s="39"/>
      <c r="I37" s="39"/>
      <c r="J37" s="39"/>
      <c r="K37" s="39"/>
      <c r="L37" s="39"/>
      <c r="M37" s="39"/>
      <c r="N37" s="39"/>
      <c r="O37" s="39"/>
    </row>
    <row r="38" spans="2:15" s="32" customFormat="1" ht="14.4" x14ac:dyDescent="0.55000000000000004">
      <c r="B38" s="29" t="s">
        <v>96</v>
      </c>
      <c r="C38" s="151">
        <v>-7.3</v>
      </c>
      <c r="D38" s="151">
        <v>-19.899999999999999</v>
      </c>
      <c r="E38" s="151">
        <v>-9.5</v>
      </c>
      <c r="F38" s="151">
        <v>-4.0970000000000004</v>
      </c>
      <c r="G38" s="151">
        <v>-150</v>
      </c>
      <c r="H38" s="33">
        <v>-185</v>
      </c>
      <c r="I38" s="30">
        <f>H38*1.1</f>
        <v>-203.50000000000003</v>
      </c>
      <c r="J38" s="30">
        <f t="shared" ref="J38:O38" si="16">I38*1.1</f>
        <v>-223.85000000000005</v>
      </c>
      <c r="K38" s="30">
        <f t="shared" si="16"/>
        <v>-246.23500000000007</v>
      </c>
      <c r="L38" s="30">
        <f t="shared" si="16"/>
        <v>-270.85850000000011</v>
      </c>
      <c r="M38" s="30">
        <f t="shared" si="16"/>
        <v>-297.94435000000016</v>
      </c>
      <c r="N38" s="30">
        <f t="shared" si="16"/>
        <v>-327.73878500000018</v>
      </c>
      <c r="O38" s="30">
        <f t="shared" si="16"/>
        <v>-360.5126635000002</v>
      </c>
    </row>
    <row r="39" spans="2:15" s="32" customFormat="1" ht="12.9" x14ac:dyDescent="0.5">
      <c r="B39" s="92"/>
      <c r="C39" s="38"/>
      <c r="D39" s="38"/>
      <c r="E39" s="38"/>
      <c r="F39" s="39"/>
      <c r="G39" s="39"/>
      <c r="H39" s="39"/>
      <c r="I39" s="39"/>
      <c r="J39" s="39"/>
      <c r="K39" s="39"/>
      <c r="L39" s="39"/>
      <c r="M39" s="39"/>
      <c r="N39" s="39"/>
      <c r="O39" s="93"/>
    </row>
    <row r="40" spans="2:15" s="32" customFormat="1" ht="14.4" x14ac:dyDescent="0.55000000000000004">
      <c r="B40" s="94" t="s">
        <v>97</v>
      </c>
      <c r="C40" s="95">
        <f t="shared" ref="C40:O40" si="17">C38+C34+C26+C22</f>
        <v>-145.10000000000002</v>
      </c>
      <c r="D40" s="95">
        <f t="shared" si="17"/>
        <v>-377.20000000000005</v>
      </c>
      <c r="E40" s="95">
        <f t="shared" si="17"/>
        <v>-418.9</v>
      </c>
      <c r="F40" s="95">
        <f t="shared" si="17"/>
        <v>-903.0809999999999</v>
      </c>
      <c r="G40" s="95">
        <f t="shared" si="17"/>
        <v>-1971</v>
      </c>
      <c r="H40" s="95">
        <f t="shared" si="17"/>
        <v>-1885.7567526400758</v>
      </c>
      <c r="I40" s="95">
        <f t="shared" si="17"/>
        <v>-2382.9706273750494</v>
      </c>
      <c r="J40" s="95">
        <f t="shared" si="17"/>
        <v>-2890.5623616323965</v>
      </c>
      <c r="K40" s="95">
        <f t="shared" si="17"/>
        <v>-3322.0750373711253</v>
      </c>
      <c r="L40" s="95">
        <f t="shared" si="17"/>
        <v>-3697.9284262048527</v>
      </c>
      <c r="M40" s="95">
        <f t="shared" si="17"/>
        <v>-3994.9006898045459</v>
      </c>
      <c r="N40" s="95">
        <f t="shared" si="17"/>
        <v>-4363.7834688793519</v>
      </c>
      <c r="O40" s="95">
        <f t="shared" si="17"/>
        <v>-4701.4696217078108</v>
      </c>
    </row>
    <row r="41" spans="2:15" s="32" customFormat="1" ht="12.9" x14ac:dyDescent="0.5">
      <c r="B41" s="92"/>
      <c r="C41" s="38"/>
      <c r="D41" s="38"/>
      <c r="E41" s="38"/>
      <c r="F41" s="39"/>
      <c r="G41" s="39"/>
      <c r="H41" s="39"/>
      <c r="I41" s="39"/>
      <c r="J41" s="39"/>
      <c r="K41" s="39"/>
      <c r="L41" s="39"/>
      <c r="M41" s="39"/>
      <c r="N41" s="39"/>
      <c r="O41" s="93"/>
    </row>
    <row r="42" spans="2:15" s="32" customFormat="1" ht="14.4" x14ac:dyDescent="0.55000000000000004">
      <c r="B42" s="381" t="s">
        <v>411</v>
      </c>
      <c r="C42" s="382">
        <f>C15+C40</f>
        <v>-33.400000000000034</v>
      </c>
      <c r="D42" s="382">
        <f t="shared" ref="D42:O42" si="18">D15+D40</f>
        <v>-129.30000000000013</v>
      </c>
      <c r="E42" s="382">
        <f t="shared" si="18"/>
        <v>-91.999999999999943</v>
      </c>
      <c r="F42" s="382">
        <f t="shared" si="18"/>
        <v>-171.23082999999974</v>
      </c>
      <c r="G42" s="382">
        <f t="shared" si="18"/>
        <v>-307.82899999999972</v>
      </c>
      <c r="H42" s="382">
        <f t="shared" si="18"/>
        <v>1297.1388337315589</v>
      </c>
      <c r="I42" s="382">
        <f t="shared" si="18"/>
        <v>2182.2255762477103</v>
      </c>
      <c r="J42" s="382">
        <f t="shared" si="18"/>
        <v>3457.7439510282611</v>
      </c>
      <c r="K42" s="382">
        <f t="shared" si="18"/>
        <v>4426.9834743411175</v>
      </c>
      <c r="L42" s="382">
        <f t="shared" si="18"/>
        <v>5269.1338393632996</v>
      </c>
      <c r="M42" s="382">
        <f t="shared" si="18"/>
        <v>5942.4810030669705</v>
      </c>
      <c r="N42" s="382">
        <f t="shared" si="18"/>
        <v>6940.1224648533826</v>
      </c>
      <c r="O42" s="382">
        <f t="shared" si="18"/>
        <v>7917.7289997739863</v>
      </c>
    </row>
    <row r="43" spans="2:15" s="32" customFormat="1" ht="12.9" x14ac:dyDescent="0.5">
      <c r="B43" s="92"/>
      <c r="C43" s="38"/>
      <c r="D43" s="38"/>
      <c r="E43" s="38"/>
      <c r="F43" s="39"/>
      <c r="G43" s="39"/>
      <c r="H43" s="39"/>
      <c r="I43" s="39"/>
      <c r="J43" s="39"/>
      <c r="K43" s="39"/>
      <c r="L43" s="39"/>
      <c r="M43" s="39"/>
      <c r="N43" s="39"/>
      <c r="O43" s="93"/>
    </row>
    <row r="44" spans="2:15" s="32" customFormat="1" ht="14.4" x14ac:dyDescent="0.55000000000000004">
      <c r="B44" s="381" t="s">
        <v>658</v>
      </c>
      <c r="C44" s="382">
        <f>C42+C86</f>
        <v>-32.329000000000036</v>
      </c>
      <c r="D44" s="382">
        <f t="shared" ref="D44:O44" si="19">D42+D86</f>
        <v>-124.22700000000012</v>
      </c>
      <c r="E44" s="382">
        <f t="shared" si="19"/>
        <v>-84.571999999999946</v>
      </c>
      <c r="F44" s="382">
        <f t="shared" si="19"/>
        <v>-153.89182999999974</v>
      </c>
      <c r="G44" s="382">
        <f t="shared" si="19"/>
        <v>-258.88443888679194</v>
      </c>
      <c r="H44" s="382">
        <f t="shared" si="19"/>
        <v>1376.1503880967757</v>
      </c>
      <c r="I44" s="382">
        <f t="shared" si="19"/>
        <v>2284.6407236069867</v>
      </c>
      <c r="J44" s="382">
        <f t="shared" si="19"/>
        <v>3586.0043172200476</v>
      </c>
      <c r="K44" s="382">
        <f t="shared" si="19"/>
        <v>4578.4873756094112</v>
      </c>
      <c r="L44" s="382">
        <f t="shared" si="19"/>
        <v>5442.1071869807811</v>
      </c>
      <c r="M44" s="382">
        <f t="shared" si="19"/>
        <v>6133.8015926953349</v>
      </c>
      <c r="N44" s="382">
        <f t="shared" si="19"/>
        <v>7154.4180015373722</v>
      </c>
      <c r="O44" s="382">
        <f t="shared" si="19"/>
        <v>8154.3622058792043</v>
      </c>
    </row>
    <row r="45" spans="2:15" s="32" customFormat="1" ht="14.7" thickBot="1" x14ac:dyDescent="0.6">
      <c r="B45" s="91" t="s">
        <v>98</v>
      </c>
      <c r="C45" s="151">
        <v>0</v>
      </c>
      <c r="D45" s="151">
        <v>0</v>
      </c>
      <c r="E45" s="151">
        <v>-101.2</v>
      </c>
      <c r="F45" s="151">
        <v>0</v>
      </c>
      <c r="G45" s="151">
        <v>0</v>
      </c>
      <c r="H45" s="32">
        <v>0</v>
      </c>
      <c r="I45" s="32">
        <v>0</v>
      </c>
      <c r="J45" s="32">
        <v>0</v>
      </c>
      <c r="K45" s="32">
        <v>0</v>
      </c>
      <c r="L45" s="32">
        <v>0</v>
      </c>
      <c r="M45" s="32">
        <v>0</v>
      </c>
      <c r="N45" s="32">
        <v>0</v>
      </c>
      <c r="O45" s="32">
        <v>0</v>
      </c>
    </row>
    <row r="46" spans="2:15" s="28" customFormat="1" ht="14.4" x14ac:dyDescent="0.55000000000000004">
      <c r="B46" s="41"/>
      <c r="C46" s="27"/>
      <c r="D46" s="27"/>
      <c r="E46" s="27"/>
    </row>
    <row r="47" spans="2:15" s="32" customFormat="1" ht="14.7" thickBot="1" x14ac:dyDescent="0.6">
      <c r="B47" s="40" t="s">
        <v>12</v>
      </c>
      <c r="C47" s="95">
        <f t="shared" ref="C47:O47" si="20">C15+C40+C45</f>
        <v>-33.400000000000034</v>
      </c>
      <c r="D47" s="95">
        <f t="shared" si="20"/>
        <v>-129.30000000000013</v>
      </c>
      <c r="E47" s="95">
        <f t="shared" si="20"/>
        <v>-193.19999999999993</v>
      </c>
      <c r="F47" s="95">
        <f t="shared" si="20"/>
        <v>-171.23082999999974</v>
      </c>
      <c r="G47" s="95">
        <f t="shared" si="20"/>
        <v>-307.82899999999972</v>
      </c>
      <c r="H47" s="95">
        <f t="shared" si="20"/>
        <v>1297.1388337315589</v>
      </c>
      <c r="I47" s="95">
        <f t="shared" si="20"/>
        <v>2182.2255762477103</v>
      </c>
      <c r="J47" s="95">
        <f t="shared" si="20"/>
        <v>3457.7439510282611</v>
      </c>
      <c r="K47" s="95">
        <f t="shared" si="20"/>
        <v>4426.9834743411175</v>
      </c>
      <c r="L47" s="95">
        <f t="shared" si="20"/>
        <v>5269.1338393632996</v>
      </c>
      <c r="M47" s="95">
        <f t="shared" si="20"/>
        <v>5942.4810030669705</v>
      </c>
      <c r="N47" s="95">
        <f t="shared" si="20"/>
        <v>6940.1224648533826</v>
      </c>
      <c r="O47" s="95">
        <f t="shared" si="20"/>
        <v>7917.7289997739863</v>
      </c>
    </row>
    <row r="48" spans="2:15" s="28" customFormat="1" ht="14.4" x14ac:dyDescent="0.55000000000000004">
      <c r="B48" s="41"/>
      <c r="C48" s="42"/>
      <c r="D48" s="42"/>
      <c r="E48" s="42"/>
    </row>
    <row r="49" spans="2:15" s="32" customFormat="1" ht="14.4" x14ac:dyDescent="0.55000000000000004">
      <c r="B49" s="17" t="s">
        <v>99</v>
      </c>
      <c r="C49" s="151">
        <v>-15.5</v>
      </c>
      <c r="D49" s="151">
        <v>-3.6</v>
      </c>
      <c r="E49" s="151">
        <v>-22.3</v>
      </c>
      <c r="F49" s="151">
        <v>-219.82400000000001</v>
      </c>
      <c r="G49" s="151">
        <v>-473</v>
      </c>
      <c r="H49" s="31">
        <f>IF(H47&gt;0,H50*H47,-H50*H47)</f>
        <v>-972.85412529866915</v>
      </c>
      <c r="I49" s="31">
        <f t="shared" ref="I49:O49" si="21">IF(I47&gt;0,I50*I47,-I50*I47)</f>
        <v>-1309.3353457486262</v>
      </c>
      <c r="J49" s="31">
        <f t="shared" si="21"/>
        <v>-1141.0555038393263</v>
      </c>
      <c r="K49" s="31">
        <f t="shared" si="21"/>
        <v>-1460.9045465325689</v>
      </c>
      <c r="L49" s="31">
        <f t="shared" si="21"/>
        <v>-1791.5055053835219</v>
      </c>
      <c r="M49" s="31">
        <f t="shared" si="21"/>
        <v>-2020.4435410427702</v>
      </c>
      <c r="N49" s="31">
        <f t="shared" si="21"/>
        <v>-2359.64163805015</v>
      </c>
      <c r="O49" s="31">
        <f t="shared" si="21"/>
        <v>-2692.0278599231556</v>
      </c>
    </row>
    <row r="50" spans="2:15" s="32" customFormat="1" ht="12.9" x14ac:dyDescent="0.5">
      <c r="B50" s="24" t="s">
        <v>13</v>
      </c>
      <c r="C50" s="45">
        <f>C49/C$4</f>
        <v>-4.860457823769207E-2</v>
      </c>
      <c r="D50" s="45">
        <f>D49/D47</f>
        <v>2.784222737819023E-2</v>
      </c>
      <c r="E50" s="45">
        <f>E49/E47</f>
        <v>0.11542443064182199</v>
      </c>
      <c r="F50" s="45">
        <f>F49/F47</f>
        <v>1.28378750485529</v>
      </c>
      <c r="G50" s="45">
        <f>G49/G47</f>
        <v>1.5365673799414623</v>
      </c>
      <c r="H50" s="93">
        <v>-0.75</v>
      </c>
      <c r="I50" s="93">
        <v>-0.6</v>
      </c>
      <c r="J50" s="93">
        <v>-0.33</v>
      </c>
      <c r="K50" s="93">
        <v>-0.33</v>
      </c>
      <c r="L50" s="93">
        <v>-0.34</v>
      </c>
      <c r="M50" s="93">
        <v>-0.34</v>
      </c>
      <c r="N50" s="93">
        <v>-0.34</v>
      </c>
      <c r="O50" s="93">
        <v>-0.34</v>
      </c>
    </row>
    <row r="51" spans="2:15" s="32" customFormat="1" ht="14.4" x14ac:dyDescent="0.55000000000000004">
      <c r="B51" s="17" t="s">
        <v>25</v>
      </c>
      <c r="C51" s="151">
        <v>20.3</v>
      </c>
      <c r="D51" s="151">
        <v>40.4</v>
      </c>
      <c r="E51" s="151">
        <v>44</v>
      </c>
      <c r="F51" s="151">
        <v>224.654</v>
      </c>
      <c r="G51" s="151">
        <v>417</v>
      </c>
      <c r="H51" s="30">
        <v>550</v>
      </c>
      <c r="I51" s="30">
        <v>600</v>
      </c>
      <c r="J51" s="30">
        <v>0</v>
      </c>
      <c r="K51" s="30">
        <v>0</v>
      </c>
      <c r="L51" s="30">
        <v>0</v>
      </c>
      <c r="M51" s="30">
        <v>0</v>
      </c>
      <c r="N51" s="30">
        <v>0</v>
      </c>
      <c r="O51" s="30">
        <v>0</v>
      </c>
    </row>
    <row r="52" spans="2:15" s="32" customFormat="1" ht="12.9" x14ac:dyDescent="0.5">
      <c r="B52" s="24" t="s">
        <v>10</v>
      </c>
      <c r="C52" s="45">
        <f>C51/C$4</f>
        <v>6.3656318595170902E-2</v>
      </c>
      <c r="D52" s="45">
        <f>D51/D$4</f>
        <v>6.6002287207972563E-2</v>
      </c>
      <c r="E52" s="45">
        <f>E51/E$4</f>
        <v>5.9693393026726362E-2</v>
      </c>
      <c r="F52" s="45">
        <f>F51/F$4</f>
        <v>0.1323864481426176</v>
      </c>
      <c r="G52" s="45">
        <f>G51/G$4</f>
        <v>8.7053259685301421E-2</v>
      </c>
      <c r="H52" s="185"/>
      <c r="I52" s="184"/>
      <c r="J52" s="184"/>
      <c r="K52" s="184"/>
      <c r="L52" s="184"/>
      <c r="M52" s="184"/>
      <c r="N52" s="184"/>
      <c r="O52" s="184"/>
    </row>
    <row r="53" spans="2:15" s="32" customFormat="1" ht="14.4" x14ac:dyDescent="0.55000000000000004">
      <c r="B53" s="1116" t="s">
        <v>1454</v>
      </c>
      <c r="C53" s="45"/>
      <c r="D53" s="45"/>
      <c r="E53" s="45"/>
      <c r="F53" s="45"/>
      <c r="K53" s="150"/>
      <c r="L53" s="150"/>
      <c r="M53" s="150"/>
      <c r="N53" s="150"/>
      <c r="O53" s="150"/>
    </row>
    <row r="54" spans="2:15" s="32" customFormat="1" ht="14.4" x14ac:dyDescent="0.55000000000000004">
      <c r="B54" s="1154" t="s">
        <v>602</v>
      </c>
      <c r="C54" s="45"/>
      <c r="D54" s="45"/>
      <c r="E54" s="45"/>
      <c r="G54" s="31">
        <f t="shared" ref="G54:O54" si="22">G49+G51</f>
        <v>-56</v>
      </c>
      <c r="H54" s="31">
        <f t="shared" si="22"/>
        <v>-422.85412529866915</v>
      </c>
      <c r="I54" s="31">
        <f t="shared" si="22"/>
        <v>-709.3353457486262</v>
      </c>
      <c r="J54" s="31">
        <f t="shared" si="22"/>
        <v>-1141.0555038393263</v>
      </c>
      <c r="K54" s="31">
        <f t="shared" si="22"/>
        <v>-1460.9045465325689</v>
      </c>
      <c r="L54" s="31">
        <f t="shared" si="22"/>
        <v>-1791.5055053835219</v>
      </c>
      <c r="M54" s="31">
        <f t="shared" si="22"/>
        <v>-2020.4435410427702</v>
      </c>
      <c r="N54" s="31">
        <f t="shared" si="22"/>
        <v>-2359.64163805015</v>
      </c>
      <c r="O54" s="31">
        <f t="shared" si="22"/>
        <v>-2692.0278599231556</v>
      </c>
    </row>
    <row r="55" spans="2:15" s="32" customFormat="1" ht="14.4" x14ac:dyDescent="0.55000000000000004">
      <c r="B55" s="17"/>
      <c r="C55" s="45"/>
      <c r="D55" s="45"/>
      <c r="E55" s="45"/>
      <c r="G55" s="31"/>
      <c r="H55" s="31"/>
      <c r="I55" s="31"/>
      <c r="J55" s="31"/>
    </row>
    <row r="56" spans="2:15" s="47" customFormat="1" ht="14.4" x14ac:dyDescent="0.55000000000000004">
      <c r="B56" s="46" t="s">
        <v>14</v>
      </c>
      <c r="C56" s="95">
        <f>C47+C49+C51</f>
        <v>-28.600000000000033</v>
      </c>
      <c r="D56" s="95">
        <f t="shared" ref="D56:O56" si="23">D47+D49+D51</f>
        <v>-92.500000000000114</v>
      </c>
      <c r="E56" s="95">
        <f>E47+E49+E51</f>
        <v>-171.49999999999994</v>
      </c>
      <c r="F56" s="95">
        <f t="shared" si="23"/>
        <v>-166.40082999999976</v>
      </c>
      <c r="G56" s="95">
        <f>G47+G49+G51</f>
        <v>-363.82899999999972</v>
      </c>
      <c r="H56" s="95">
        <f>H47+H49+H51</f>
        <v>874.28470843288972</v>
      </c>
      <c r="I56" s="95">
        <f>I47+I49+I51</f>
        <v>1472.8902304990841</v>
      </c>
      <c r="J56" s="95">
        <f t="shared" si="23"/>
        <v>2316.6884471889348</v>
      </c>
      <c r="K56" s="95">
        <f t="shared" si="23"/>
        <v>2966.0789278085485</v>
      </c>
      <c r="L56" s="95">
        <f t="shared" si="23"/>
        <v>3477.6283339797774</v>
      </c>
      <c r="M56" s="95">
        <f t="shared" si="23"/>
        <v>3922.0374620242001</v>
      </c>
      <c r="N56" s="95">
        <f t="shared" si="23"/>
        <v>4580.480826803232</v>
      </c>
      <c r="O56" s="95">
        <f t="shared" si="23"/>
        <v>5225.7011398508312</v>
      </c>
    </row>
    <row r="57" spans="2:15" s="47" customFormat="1" ht="14.7" thickBot="1" x14ac:dyDescent="0.6">
      <c r="B57" s="46" t="s">
        <v>372</v>
      </c>
      <c r="C57" s="264">
        <f t="shared" ref="C57:O57" si="24">C56/C4</f>
        <v>-8.9683286296644821E-2</v>
      </c>
      <c r="D57" s="264">
        <f t="shared" si="24"/>
        <v>-0.15111909818657104</v>
      </c>
      <c r="E57" s="264">
        <f t="shared" si="24"/>
        <v>-0.23266856600189925</v>
      </c>
      <c r="F57" s="264">
        <f t="shared" si="24"/>
        <v>-9.8058413612415074E-2</v>
      </c>
      <c r="G57" s="264">
        <f t="shared" si="24"/>
        <v>-7.5953238412574356E-2</v>
      </c>
      <c r="H57" s="264">
        <f t="shared" si="24"/>
        <v>0.11306174868243343</v>
      </c>
      <c r="I57" s="264">
        <f t="shared" si="24"/>
        <v>0.14694662257736091</v>
      </c>
      <c r="J57" s="264">
        <f t="shared" si="24"/>
        <v>0.1845561741902807</v>
      </c>
      <c r="K57" s="264">
        <f t="shared" si="24"/>
        <v>0.20003791012588326</v>
      </c>
      <c r="L57" s="264">
        <f t="shared" si="24"/>
        <v>0.20542693970436748</v>
      </c>
      <c r="M57" s="264">
        <f t="shared" si="24"/>
        <v>0.20946113297290087</v>
      </c>
      <c r="N57" s="264">
        <f t="shared" si="24"/>
        <v>0.21839936194047718</v>
      </c>
      <c r="O57" s="264">
        <f t="shared" si="24"/>
        <v>0.22564322695975025</v>
      </c>
    </row>
    <row r="58" spans="2:15" s="28" customFormat="1" ht="14.4" x14ac:dyDescent="0.55000000000000004">
      <c r="B58" s="41"/>
      <c r="C58" s="48"/>
      <c r="D58" s="48"/>
      <c r="E58" s="48"/>
    </row>
    <row r="59" spans="2:15" s="32" customFormat="1" ht="14.4" x14ac:dyDescent="0.55000000000000004">
      <c r="B59" s="1116" t="s">
        <v>1448</v>
      </c>
      <c r="C59" s="49"/>
      <c r="D59" s="49"/>
      <c r="E59" s="49"/>
      <c r="G59" s="31">
        <f>G60-G56</f>
        <v>577.82899999999972</v>
      </c>
      <c r="H59" s="30">
        <v>200</v>
      </c>
      <c r="I59" s="30">
        <f t="shared" ref="I59:O59" si="25">H59*1.05</f>
        <v>210</v>
      </c>
      <c r="J59" s="30">
        <f t="shared" si="25"/>
        <v>220.5</v>
      </c>
      <c r="K59" s="30">
        <f t="shared" si="25"/>
        <v>231.52500000000001</v>
      </c>
      <c r="L59" s="30">
        <f t="shared" si="25"/>
        <v>243.10125000000002</v>
      </c>
      <c r="M59" s="30">
        <f t="shared" si="25"/>
        <v>255.25631250000004</v>
      </c>
      <c r="N59" s="30">
        <f t="shared" si="25"/>
        <v>268.01912812500007</v>
      </c>
      <c r="O59" s="30">
        <f t="shared" si="25"/>
        <v>281.4200845312501</v>
      </c>
    </row>
    <row r="60" spans="2:15" s="32" customFormat="1" ht="14.4" x14ac:dyDescent="0.55000000000000004">
      <c r="B60" s="40" t="s">
        <v>1162</v>
      </c>
      <c r="C60" s="49"/>
      <c r="D60" s="49"/>
      <c r="E60" s="49"/>
      <c r="F60" s="95"/>
      <c r="G60" s="95">
        <v>214</v>
      </c>
      <c r="H60" s="95">
        <f>H56+H59</f>
        <v>1074.2847084328896</v>
      </c>
      <c r="I60" s="95">
        <f t="shared" ref="I60:O60" si="26">I56+I59</f>
        <v>1682.8902304990841</v>
      </c>
      <c r="J60" s="95">
        <f t="shared" si="26"/>
        <v>2537.1884471889348</v>
      </c>
      <c r="K60" s="95">
        <f t="shared" si="26"/>
        <v>3197.6039278085486</v>
      </c>
      <c r="L60" s="95">
        <f t="shared" si="26"/>
        <v>3720.7295839797775</v>
      </c>
      <c r="M60" s="95">
        <f t="shared" si="26"/>
        <v>4177.2937745241998</v>
      </c>
      <c r="N60" s="95">
        <f t="shared" si="26"/>
        <v>4848.499954928232</v>
      </c>
      <c r="O60" s="95">
        <f t="shared" si="26"/>
        <v>5507.121224382081</v>
      </c>
    </row>
    <row r="61" spans="2:15" s="32" customFormat="1" ht="14.4" x14ac:dyDescent="0.55000000000000004">
      <c r="B61" s="17"/>
      <c r="C61" s="49"/>
      <c r="D61" s="49"/>
      <c r="E61" s="49"/>
      <c r="H61" s="39"/>
      <c r="I61" s="39"/>
    </row>
    <row r="62" spans="2:15" s="32" customFormat="1" ht="14.4" x14ac:dyDescent="0.55000000000000004">
      <c r="B62" s="118" t="s">
        <v>183</v>
      </c>
      <c r="C62" s="49"/>
      <c r="D62" s="49"/>
      <c r="E62" s="49">
        <f>F62-F66</f>
        <v>3161.0990970000003</v>
      </c>
      <c r="F62" s="50">
        <f>3450.222235+43.4</f>
        <v>3493.6222350000003</v>
      </c>
      <c r="G62" s="50">
        <v>3602</v>
      </c>
      <c r="H62" s="49">
        <f t="shared" ref="H62:O62" si="27">G62+H66</f>
        <v>3619</v>
      </c>
      <c r="I62" s="49">
        <f t="shared" si="27"/>
        <v>3619</v>
      </c>
      <c r="J62" s="49">
        <f t="shared" si="27"/>
        <v>3619</v>
      </c>
      <c r="K62" s="49">
        <f t="shared" si="27"/>
        <v>3619</v>
      </c>
      <c r="L62" s="49">
        <f t="shared" si="27"/>
        <v>3619</v>
      </c>
      <c r="M62" s="49">
        <f t="shared" si="27"/>
        <v>3619</v>
      </c>
      <c r="N62" s="49">
        <f t="shared" si="27"/>
        <v>3619</v>
      </c>
      <c r="O62" s="49">
        <f t="shared" si="27"/>
        <v>3619</v>
      </c>
    </row>
    <row r="63" spans="2:15" s="32" customFormat="1" ht="14.4" x14ac:dyDescent="0.55000000000000004">
      <c r="B63" s="118" t="s">
        <v>184</v>
      </c>
      <c r="C63" s="49"/>
      <c r="D63" s="49"/>
      <c r="E63" s="49">
        <f>F63</f>
        <v>1150.2451140000001</v>
      </c>
      <c r="F63" s="50">
        <v>1150.2451140000001</v>
      </c>
      <c r="G63" s="50">
        <v>1091</v>
      </c>
      <c r="H63" s="49">
        <f t="shared" ref="H63:O63" si="28">G63</f>
        <v>1091</v>
      </c>
      <c r="I63" s="49">
        <f t="shared" si="28"/>
        <v>1091</v>
      </c>
      <c r="J63" s="49">
        <f t="shared" si="28"/>
        <v>1091</v>
      </c>
      <c r="K63" s="49">
        <f t="shared" si="28"/>
        <v>1091</v>
      </c>
      <c r="L63" s="49">
        <f t="shared" si="28"/>
        <v>1091</v>
      </c>
      <c r="M63" s="49">
        <f t="shared" si="28"/>
        <v>1091</v>
      </c>
      <c r="N63" s="49">
        <f t="shared" si="28"/>
        <v>1091</v>
      </c>
      <c r="O63" s="49">
        <f t="shared" si="28"/>
        <v>1091</v>
      </c>
    </row>
    <row r="64" spans="2:15" s="32" customFormat="1" ht="14.4" x14ac:dyDescent="0.55000000000000004">
      <c r="B64" s="118" t="s">
        <v>185</v>
      </c>
      <c r="C64" s="49"/>
      <c r="D64" s="49"/>
      <c r="E64" s="49">
        <f>E62+E63</f>
        <v>4311.3442110000005</v>
      </c>
      <c r="F64" s="119">
        <f>SUM(F62:F63)</f>
        <v>4643.8673490000001</v>
      </c>
      <c r="G64" s="119">
        <f t="shared" ref="G64:O64" si="29">SUM(G62:G63)</f>
        <v>4693</v>
      </c>
      <c r="H64" s="119">
        <f t="shared" si="29"/>
        <v>4710</v>
      </c>
      <c r="I64" s="119">
        <f t="shared" si="29"/>
        <v>4710</v>
      </c>
      <c r="J64" s="119">
        <f t="shared" si="29"/>
        <v>4710</v>
      </c>
      <c r="K64" s="119">
        <f t="shared" si="29"/>
        <v>4710</v>
      </c>
      <c r="L64" s="119">
        <f t="shared" si="29"/>
        <v>4710</v>
      </c>
      <c r="M64" s="119">
        <f t="shared" si="29"/>
        <v>4710</v>
      </c>
      <c r="N64" s="119">
        <f t="shared" si="29"/>
        <v>4710</v>
      </c>
      <c r="O64" s="119">
        <f t="shared" si="29"/>
        <v>4710</v>
      </c>
    </row>
    <row r="65" spans="2:15" s="32" customFormat="1" ht="14.4" x14ac:dyDescent="0.55000000000000004">
      <c r="B65" s="118"/>
      <c r="C65" s="49"/>
      <c r="D65" s="49"/>
      <c r="E65" s="49"/>
      <c r="F65" s="119"/>
      <c r="G65" s="49"/>
      <c r="H65" s="49"/>
      <c r="I65" s="49"/>
      <c r="J65" s="49"/>
      <c r="K65" s="49"/>
      <c r="L65" s="49"/>
      <c r="M65" s="49"/>
      <c r="N65" s="49"/>
      <c r="O65" s="49"/>
    </row>
    <row r="66" spans="2:15" s="32" customFormat="1" ht="14.4" x14ac:dyDescent="0.55000000000000004">
      <c r="B66" s="217" t="s">
        <v>335</v>
      </c>
      <c r="C66" s="49"/>
      <c r="D66" s="49"/>
      <c r="E66" s="49"/>
      <c r="F66" s="119">
        <f>289.150555+(43.372583*1)</f>
        <v>332.52313800000002</v>
      </c>
      <c r="G66" s="119">
        <v>0</v>
      </c>
      <c r="H66" s="119">
        <v>17</v>
      </c>
      <c r="I66" s="119">
        <v>0</v>
      </c>
      <c r="J66" s="119">
        <v>0</v>
      </c>
      <c r="K66" s="119">
        <v>0</v>
      </c>
      <c r="L66" s="119">
        <v>0</v>
      </c>
      <c r="M66" s="119">
        <v>0</v>
      </c>
      <c r="N66" s="119">
        <v>0</v>
      </c>
      <c r="O66" s="119">
        <v>0</v>
      </c>
    </row>
    <row r="67" spans="2:15" s="32" customFormat="1" ht="14.4" x14ac:dyDescent="0.55000000000000004">
      <c r="B67" s="217" t="s">
        <v>336</v>
      </c>
      <c r="C67" s="49"/>
      <c r="D67" s="49"/>
      <c r="E67" s="49"/>
      <c r="F67" s="274"/>
      <c r="G67" s="49"/>
      <c r="H67" s="49"/>
      <c r="I67" s="49"/>
      <c r="J67" s="49"/>
      <c r="K67" s="49"/>
      <c r="L67" s="49"/>
      <c r="M67" s="49"/>
      <c r="N67" s="49"/>
      <c r="O67" s="49"/>
    </row>
    <row r="68" spans="2:15" s="32" customFormat="1" ht="14.4" x14ac:dyDescent="0.55000000000000004">
      <c r="B68" s="118"/>
      <c r="C68" s="49"/>
      <c r="D68" s="49"/>
      <c r="E68" s="49"/>
      <c r="F68" s="119"/>
      <c r="G68" s="49"/>
      <c r="H68" s="49"/>
      <c r="I68" s="49"/>
      <c r="J68" s="49"/>
      <c r="K68" s="49"/>
      <c r="L68" s="49"/>
      <c r="M68" s="49"/>
      <c r="N68" s="49"/>
      <c r="O68" s="49"/>
    </row>
    <row r="69" spans="2:15" s="32" customFormat="1" ht="14.4" x14ac:dyDescent="0.55000000000000004">
      <c r="B69" s="267" t="s">
        <v>385</v>
      </c>
      <c r="C69" s="49"/>
      <c r="D69" s="49"/>
      <c r="E69" s="49"/>
      <c r="F69" s="119"/>
      <c r="G69" s="49"/>
      <c r="H69" s="49"/>
      <c r="I69" s="49"/>
      <c r="J69" s="49"/>
      <c r="K69" s="49"/>
      <c r="L69" s="49"/>
      <c r="M69" s="49"/>
      <c r="N69" s="49"/>
      <c r="O69" s="49"/>
    </row>
    <row r="70" spans="2:15" s="32" customFormat="1" ht="14.4" x14ac:dyDescent="0.55000000000000004">
      <c r="B70" s="217" t="s">
        <v>337</v>
      </c>
      <c r="C70" s="49"/>
      <c r="D70" s="49"/>
      <c r="E70" s="49"/>
      <c r="F70" s="276">
        <v>8.5</v>
      </c>
      <c r="G70" s="49"/>
      <c r="H70" s="49"/>
      <c r="I70" s="49"/>
      <c r="J70" s="49"/>
      <c r="K70" s="49"/>
      <c r="L70" s="49"/>
      <c r="M70" s="49"/>
      <c r="N70" s="49"/>
      <c r="O70" s="49"/>
    </row>
    <row r="71" spans="2:15" s="32" customFormat="1" ht="14.4" x14ac:dyDescent="0.55000000000000004">
      <c r="B71" s="262" t="s">
        <v>338</v>
      </c>
      <c r="C71" s="49"/>
      <c r="D71" s="49"/>
      <c r="E71" s="49"/>
      <c r="F71" s="49">
        <f>F66*F70+271+401+400+400</f>
        <v>4298.4466730000004</v>
      </c>
      <c r="G71" s="49"/>
      <c r="H71" s="49"/>
      <c r="I71" s="49"/>
      <c r="J71" s="49"/>
      <c r="K71" s="49"/>
      <c r="L71" s="49"/>
      <c r="M71" s="49"/>
      <c r="N71" s="49"/>
      <c r="O71" s="49"/>
    </row>
    <row r="72" spans="2:15" s="32" customFormat="1" ht="14.4" x14ac:dyDescent="0.55000000000000004">
      <c r="B72" s="217" t="s">
        <v>339</v>
      </c>
      <c r="C72" s="49"/>
      <c r="D72" s="49"/>
      <c r="E72" s="49"/>
      <c r="F72" s="49">
        <f>0.03*F71</f>
        <v>128.95340019</v>
      </c>
      <c r="G72" s="49"/>
      <c r="H72" s="49"/>
      <c r="I72" s="49"/>
      <c r="J72" s="49"/>
      <c r="K72" s="49"/>
      <c r="L72" s="49"/>
      <c r="M72" s="49"/>
      <c r="N72" s="49"/>
      <c r="O72" s="49"/>
    </row>
    <row r="73" spans="2:15" s="32" customFormat="1" ht="14.4" x14ac:dyDescent="0.55000000000000004">
      <c r="B73" s="17"/>
      <c r="C73" s="49"/>
      <c r="D73" s="49"/>
      <c r="E73" s="49"/>
    </row>
    <row r="74" spans="2:15" s="32" customFormat="1" ht="14.4" x14ac:dyDescent="0.55000000000000004">
      <c r="B74" s="17" t="s">
        <v>17</v>
      </c>
      <c r="C74" s="51"/>
      <c r="D74" s="51"/>
      <c r="E74" s="51">
        <f>E56/E64</f>
        <v>-3.9778777014007227E-2</v>
      </c>
      <c r="F74" s="51">
        <f t="shared" ref="F74:O74" si="30">F56/F64</f>
        <v>-3.5832382256963509E-2</v>
      </c>
      <c r="G74" s="51">
        <f t="shared" si="30"/>
        <v>-7.7525889622842473E-2</v>
      </c>
      <c r="H74" s="51">
        <f t="shared" si="30"/>
        <v>0.1856230803466857</v>
      </c>
      <c r="I74" s="51">
        <f t="shared" si="30"/>
        <v>0.31271554787666328</v>
      </c>
      <c r="J74" s="51">
        <f t="shared" si="30"/>
        <v>0.49186591235433857</v>
      </c>
      <c r="K74" s="51">
        <f t="shared" si="30"/>
        <v>0.62974074900393817</v>
      </c>
      <c r="L74" s="51">
        <f t="shared" si="30"/>
        <v>0.73834996475154513</v>
      </c>
      <c r="M74" s="51">
        <f t="shared" si="30"/>
        <v>0.83270434437881102</v>
      </c>
      <c r="N74" s="51">
        <f t="shared" si="30"/>
        <v>0.97250123711321279</v>
      </c>
      <c r="O74" s="51">
        <f t="shared" si="30"/>
        <v>1.1094906878664186</v>
      </c>
    </row>
    <row r="75" spans="2:15" s="32" customFormat="1" ht="14.4" x14ac:dyDescent="0.55000000000000004">
      <c r="B75" s="17" t="s">
        <v>18</v>
      </c>
      <c r="C75" s="51"/>
      <c r="D75" s="51"/>
      <c r="E75" s="51">
        <f>E56/E64</f>
        <v>-3.9778777014007227E-2</v>
      </c>
      <c r="F75" s="51">
        <f t="shared" ref="F75:O75" si="31">F56/F64</f>
        <v>-3.5832382256963509E-2</v>
      </c>
      <c r="G75" s="51">
        <f t="shared" si="31"/>
        <v>-7.7525889622842473E-2</v>
      </c>
      <c r="H75" s="51">
        <f t="shared" si="31"/>
        <v>0.1856230803466857</v>
      </c>
      <c r="I75" s="51">
        <f t="shared" si="31"/>
        <v>0.31271554787666328</v>
      </c>
      <c r="J75" s="51">
        <f t="shared" si="31"/>
        <v>0.49186591235433857</v>
      </c>
      <c r="K75" s="51">
        <f t="shared" si="31"/>
        <v>0.62974074900393817</v>
      </c>
      <c r="L75" s="51">
        <f t="shared" si="31"/>
        <v>0.73834996475154513</v>
      </c>
      <c r="M75" s="51">
        <f t="shared" si="31"/>
        <v>0.83270434437881102</v>
      </c>
      <c r="N75" s="51">
        <f t="shared" si="31"/>
        <v>0.97250123711321279</v>
      </c>
      <c r="O75" s="51">
        <f t="shared" si="31"/>
        <v>1.1094906878664186</v>
      </c>
    </row>
    <row r="76" spans="2:15" s="32" customFormat="1" ht="14.4" x14ac:dyDescent="0.55000000000000004">
      <c r="B76" s="17"/>
      <c r="C76" s="51"/>
      <c r="D76" s="51"/>
      <c r="E76" s="51"/>
      <c r="F76" s="51"/>
      <c r="G76" s="51"/>
      <c r="H76" s="51"/>
      <c r="I76" s="51"/>
      <c r="J76" s="51"/>
      <c r="K76" s="51"/>
      <c r="L76" s="51"/>
      <c r="M76" s="51"/>
      <c r="N76" s="51"/>
      <c r="O76" s="51"/>
    </row>
    <row r="77" spans="2:15" s="32" customFormat="1" ht="14.4" x14ac:dyDescent="0.55000000000000004">
      <c r="B77" s="17" t="s">
        <v>19</v>
      </c>
      <c r="C77" s="51"/>
      <c r="D77" s="51"/>
      <c r="E77" s="51">
        <f t="shared" ref="E77:O77" si="32">-E122/E64</f>
        <v>-4.1690013880452837E-3</v>
      </c>
      <c r="F77" s="51">
        <f t="shared" si="32"/>
        <v>-2.5054333221868265E-2</v>
      </c>
      <c r="G77" s="51">
        <f t="shared" si="32"/>
        <v>0</v>
      </c>
      <c r="H77" s="51">
        <f t="shared" si="32"/>
        <v>0</v>
      </c>
      <c r="I77" s="51">
        <f t="shared" si="32"/>
        <v>0</v>
      </c>
      <c r="J77" s="51">
        <f t="shared" si="32"/>
        <v>0</v>
      </c>
      <c r="K77" s="51">
        <f t="shared" si="32"/>
        <v>0</v>
      </c>
      <c r="L77" s="51">
        <f t="shared" si="32"/>
        <v>0</v>
      </c>
      <c r="M77" s="51">
        <f t="shared" si="32"/>
        <v>0</v>
      </c>
      <c r="N77" s="51">
        <f t="shared" si="32"/>
        <v>0</v>
      </c>
      <c r="O77" s="51">
        <f t="shared" si="32"/>
        <v>0</v>
      </c>
    </row>
    <row r="78" spans="2:15" s="32" customFormat="1" ht="14.4" x14ac:dyDescent="0.55000000000000004">
      <c r="B78" s="17" t="s">
        <v>20</v>
      </c>
      <c r="C78" s="51"/>
      <c r="D78" s="51"/>
      <c r="E78" s="51">
        <f t="shared" ref="E78:O78" si="33">-E122/E64</f>
        <v>-4.1690013880452837E-3</v>
      </c>
      <c r="F78" s="51">
        <f t="shared" si="33"/>
        <v>-2.5054333221868265E-2</v>
      </c>
      <c r="G78" s="51">
        <f t="shared" si="33"/>
        <v>0</v>
      </c>
      <c r="H78" s="51">
        <f t="shared" si="33"/>
        <v>0</v>
      </c>
      <c r="I78" s="51">
        <f t="shared" si="33"/>
        <v>0</v>
      </c>
      <c r="J78" s="51">
        <f t="shared" si="33"/>
        <v>0</v>
      </c>
      <c r="K78" s="51">
        <f t="shared" si="33"/>
        <v>0</v>
      </c>
      <c r="L78" s="51">
        <f t="shared" si="33"/>
        <v>0</v>
      </c>
      <c r="M78" s="51">
        <f t="shared" si="33"/>
        <v>0</v>
      </c>
      <c r="N78" s="51">
        <f t="shared" si="33"/>
        <v>0</v>
      </c>
      <c r="O78" s="51">
        <f t="shared" si="33"/>
        <v>0</v>
      </c>
    </row>
    <row r="79" spans="2:15" s="32" customFormat="1" ht="14.4" x14ac:dyDescent="0.55000000000000004">
      <c r="B79" s="17"/>
      <c r="C79" s="49"/>
      <c r="D79" s="49"/>
      <c r="E79" s="49"/>
    </row>
    <row r="80" spans="2:15" s="32" customFormat="1" x14ac:dyDescent="0.6">
      <c r="B80" s="20" t="s">
        <v>21</v>
      </c>
      <c r="C80"/>
      <c r="D80"/>
      <c r="E80"/>
    </row>
    <row r="81" spans="2:15" s="32" customFormat="1" x14ac:dyDescent="0.6">
      <c r="B81" s="17"/>
      <c r="C81"/>
      <c r="D81"/>
      <c r="E81"/>
    </row>
    <row r="82" spans="2:15" s="32" customFormat="1" ht="14.4" x14ac:dyDescent="0.55000000000000004">
      <c r="B82" s="99" t="s">
        <v>22</v>
      </c>
      <c r="C82" s="56"/>
      <c r="D82" s="56"/>
      <c r="E82" s="56"/>
      <c r="F82" s="23"/>
      <c r="G82" s="23"/>
      <c r="H82" s="23"/>
      <c r="I82" s="23"/>
      <c r="J82" s="23"/>
      <c r="K82" s="23"/>
      <c r="L82" s="23"/>
      <c r="M82" s="23"/>
      <c r="N82" s="23"/>
      <c r="O82" s="23"/>
    </row>
    <row r="83" spans="2:15" s="100" customFormat="1" ht="14.7" thickBot="1" x14ac:dyDescent="0.6">
      <c r="B83" s="68" t="s">
        <v>23</v>
      </c>
      <c r="C83" s="54">
        <f t="shared" ref="C83:O83" si="34">C84+C95</f>
        <v>-5.4629999999999086</v>
      </c>
      <c r="D83" s="54">
        <f t="shared" si="34"/>
        <v>276.16799999999989</v>
      </c>
      <c r="E83" s="54">
        <f t="shared" si="34"/>
        <v>977.15699999999958</v>
      </c>
      <c r="F83" s="54">
        <f t="shared" si="34"/>
        <v>-2925.38483</v>
      </c>
      <c r="G83" s="54">
        <f t="shared" si="34"/>
        <v>4134.8045611132093</v>
      </c>
      <c r="H83" s="54">
        <f t="shared" ca="1" si="34"/>
        <v>-1020.3201885345557</v>
      </c>
      <c r="I83" s="54">
        <f t="shared" ca="1" si="34"/>
        <v>3009.6143805783213</v>
      </c>
      <c r="J83" s="54">
        <f t="shared" ca="1" si="34"/>
        <v>7646.0023529809341</v>
      </c>
      <c r="K83" s="54">
        <f t="shared" ca="1" si="34"/>
        <v>9353.0685081144766</v>
      </c>
      <c r="L83" s="54">
        <f t="shared" ca="1" si="34"/>
        <v>10839.127136959763</v>
      </c>
      <c r="M83" s="54">
        <f t="shared" ca="1" si="34"/>
        <v>11850.852088361909</v>
      </c>
      <c r="N83" s="54">
        <f t="shared" ca="1" si="34"/>
        <v>13799.358296618384</v>
      </c>
      <c r="O83" s="54">
        <f t="shared" ca="1" si="34"/>
        <v>15290.931571914216</v>
      </c>
    </row>
    <row r="84" spans="2:15" s="31" customFormat="1" ht="14.4" x14ac:dyDescent="0.55000000000000004">
      <c r="B84" s="57" t="s">
        <v>141</v>
      </c>
      <c r="C84" s="56">
        <f>C85+C86+C87+C88+C90+C92+C93+C94</f>
        <v>142.83799999999999</v>
      </c>
      <c r="D84" s="56">
        <f>D85+D86+D87+D88+D90+D92+D93+D94</f>
        <v>111.5769999999999</v>
      </c>
      <c r="E84" s="56">
        <f>E85+E86+E87+E88+E90+E92+E93+E94</f>
        <v>106.08900000000006</v>
      </c>
      <c r="F84" s="23">
        <f>F85+F86+F87+F88+F90+F92+F93+F94+F89+F91</f>
        <v>292.42017000000021</v>
      </c>
      <c r="G84" s="23">
        <f t="shared" ref="G84:O84" si="35">G85+G86+G87+G88+G90+G92+G93+G94+G89+G91</f>
        <v>673.11556111320806</v>
      </c>
      <c r="H84" s="23">
        <f t="shared" si="35"/>
        <v>2866.1362627981066</v>
      </c>
      <c r="I84" s="23">
        <f t="shared" si="35"/>
        <v>4282.4653778583606</v>
      </c>
      <c r="J84" s="23">
        <f t="shared" si="35"/>
        <v>6402.788813380721</v>
      </c>
      <c r="K84" s="23">
        <f t="shared" si="35"/>
        <v>7499.7428290768421</v>
      </c>
      <c r="L84" s="23">
        <f t="shared" si="35"/>
        <v>8418.4416815972581</v>
      </c>
      <c r="M84" s="23">
        <f t="shared" si="35"/>
        <v>9225.5180516525652</v>
      </c>
      <c r="N84" s="23">
        <f t="shared" si="35"/>
        <v>10292.616363487221</v>
      </c>
      <c r="O84" s="23">
        <f t="shared" si="35"/>
        <v>11304.494345956049</v>
      </c>
    </row>
    <row r="85" spans="2:15" x14ac:dyDescent="0.6">
      <c r="B85" s="58" t="s">
        <v>24</v>
      </c>
      <c r="C85" s="97">
        <f>C56</f>
        <v>-28.600000000000033</v>
      </c>
      <c r="D85" s="97">
        <f>D56</f>
        <v>-92.500000000000114</v>
      </c>
      <c r="E85" s="97">
        <f>E56</f>
        <v>-171.49999999999994</v>
      </c>
      <c r="F85" s="97">
        <f t="shared" ref="F85:O85" si="36">F56</f>
        <v>-166.40082999999976</v>
      </c>
      <c r="G85" s="97">
        <f t="shared" si="36"/>
        <v>-363.82899999999972</v>
      </c>
      <c r="H85" s="97">
        <f t="shared" si="36"/>
        <v>874.28470843288972</v>
      </c>
      <c r="I85" s="97">
        <f t="shared" si="36"/>
        <v>1472.8902304990841</v>
      </c>
      <c r="J85" s="97">
        <f t="shared" si="36"/>
        <v>2316.6884471889348</v>
      </c>
      <c r="K85" s="97">
        <f t="shared" si="36"/>
        <v>2966.0789278085485</v>
      </c>
      <c r="L85" s="97">
        <f t="shared" si="36"/>
        <v>3477.6283339797774</v>
      </c>
      <c r="M85" s="97">
        <f t="shared" si="36"/>
        <v>3922.0374620242001</v>
      </c>
      <c r="N85" s="97">
        <f t="shared" si="36"/>
        <v>4580.480826803232</v>
      </c>
      <c r="O85" s="97">
        <f t="shared" si="36"/>
        <v>5225.7011398508312</v>
      </c>
    </row>
    <row r="86" spans="2:15" x14ac:dyDescent="0.6">
      <c r="B86" s="58" t="s">
        <v>26</v>
      </c>
      <c r="C86" s="151">
        <v>1.071</v>
      </c>
      <c r="D86" s="151">
        <v>5.0730000000000004</v>
      </c>
      <c r="E86" s="151">
        <v>7.4279999999999999</v>
      </c>
      <c r="F86" s="151">
        <v>17.338999999999999</v>
      </c>
      <c r="G86" s="44">
        <f t="shared" ref="G86:O86" si="37">F86/F4*G4</f>
        <v>48.944561113207769</v>
      </c>
      <c r="H86" s="44">
        <f t="shared" si="37"/>
        <v>79.011554365216824</v>
      </c>
      <c r="I86" s="44">
        <f t="shared" si="37"/>
        <v>102.41514735927642</v>
      </c>
      <c r="J86" s="44">
        <f t="shared" si="37"/>
        <v>128.26036619178626</v>
      </c>
      <c r="K86" s="44">
        <f t="shared" si="37"/>
        <v>151.50390126829328</v>
      </c>
      <c r="L86" s="44">
        <f t="shared" si="37"/>
        <v>172.97334761748112</v>
      </c>
      <c r="M86" s="44">
        <f t="shared" si="37"/>
        <v>191.32058962836462</v>
      </c>
      <c r="N86" s="44">
        <f t="shared" si="37"/>
        <v>214.29553668398958</v>
      </c>
      <c r="O86" s="44">
        <f t="shared" si="37"/>
        <v>236.63320610521828</v>
      </c>
    </row>
    <row r="87" spans="2:15" x14ac:dyDescent="0.6">
      <c r="B87" s="58" t="s">
        <v>90</v>
      </c>
      <c r="C87" s="151">
        <v>150.411</v>
      </c>
      <c r="D87" s="151">
        <v>193.96700000000001</v>
      </c>
      <c r="E87" s="151">
        <v>187.79</v>
      </c>
      <c r="F87" s="151">
        <v>503.67899999999997</v>
      </c>
      <c r="G87" s="43">
        <f t="shared" ref="G87:O87" si="38">-G12</f>
        <v>1405</v>
      </c>
      <c r="H87" s="43">
        <f t="shared" si="38"/>
        <v>2462.84</v>
      </c>
      <c r="I87" s="43">
        <f t="shared" si="38"/>
        <v>3307.16</v>
      </c>
      <c r="J87" s="43">
        <f t="shared" si="38"/>
        <v>3957.8399999999997</v>
      </c>
      <c r="K87" s="43">
        <f t="shared" si="38"/>
        <v>4382.16</v>
      </c>
      <c r="L87" s="43">
        <f t="shared" si="38"/>
        <v>4767.84</v>
      </c>
      <c r="M87" s="43">
        <f t="shared" si="38"/>
        <v>5112.16</v>
      </c>
      <c r="N87" s="43">
        <f t="shared" si="38"/>
        <v>5497.84</v>
      </c>
      <c r="O87" s="43">
        <f t="shared" si="38"/>
        <v>5842.16</v>
      </c>
    </row>
    <row r="88" spans="2:15" x14ac:dyDescent="0.6">
      <c r="B88" s="58" t="s">
        <v>137</v>
      </c>
      <c r="C88" s="151">
        <v>-19.126999999999999</v>
      </c>
      <c r="D88" s="151">
        <v>-40.340000000000003</v>
      </c>
      <c r="E88" s="151">
        <v>-44.024999999999999</v>
      </c>
      <c r="F88" s="151">
        <v>-224.654</v>
      </c>
      <c r="G88" s="43">
        <f t="shared" ref="G88:O88" si="39">-G51</f>
        <v>-417</v>
      </c>
      <c r="H88" s="43">
        <f t="shared" si="39"/>
        <v>-550</v>
      </c>
      <c r="I88" s="43">
        <f t="shared" si="39"/>
        <v>-600</v>
      </c>
      <c r="J88" s="43">
        <f t="shared" si="39"/>
        <v>0</v>
      </c>
      <c r="K88" s="43">
        <f t="shared" si="39"/>
        <v>0</v>
      </c>
      <c r="L88" s="43">
        <f t="shared" si="39"/>
        <v>0</v>
      </c>
      <c r="M88" s="43">
        <f t="shared" si="39"/>
        <v>0</v>
      </c>
      <c r="N88" s="43">
        <f t="shared" si="39"/>
        <v>0</v>
      </c>
      <c r="O88" s="43">
        <f t="shared" si="39"/>
        <v>0</v>
      </c>
    </row>
    <row r="89" spans="2:15" x14ac:dyDescent="0.6">
      <c r="B89" s="58" t="s">
        <v>719</v>
      </c>
      <c r="C89" s="151">
        <v>0</v>
      </c>
      <c r="D89" s="151">
        <v>0</v>
      </c>
      <c r="E89" s="151">
        <v>0</v>
      </c>
      <c r="F89" s="151">
        <v>11.18</v>
      </c>
      <c r="G89" s="59">
        <v>0</v>
      </c>
      <c r="H89" s="43">
        <f>G89</f>
        <v>0</v>
      </c>
      <c r="I89" s="43">
        <f t="shared" ref="I89:O91" si="40">H89</f>
        <v>0</v>
      </c>
      <c r="J89" s="43">
        <f t="shared" si="40"/>
        <v>0</v>
      </c>
      <c r="K89" s="43">
        <f t="shared" si="40"/>
        <v>0</v>
      </c>
      <c r="L89" s="43">
        <f t="shared" si="40"/>
        <v>0</v>
      </c>
      <c r="M89" s="43">
        <f t="shared" si="40"/>
        <v>0</v>
      </c>
      <c r="N89" s="43">
        <f t="shared" si="40"/>
        <v>0</v>
      </c>
      <c r="O89" s="43">
        <f t="shared" si="40"/>
        <v>0</v>
      </c>
    </row>
    <row r="90" spans="2:15" x14ac:dyDescent="0.6">
      <c r="B90" s="58" t="s">
        <v>124</v>
      </c>
      <c r="C90" s="151">
        <v>10.037000000000001</v>
      </c>
      <c r="D90" s="151">
        <v>7.3860000000000001</v>
      </c>
      <c r="E90" s="151">
        <v>0.22700000000000001</v>
      </c>
      <c r="F90" s="151">
        <v>2.8180000000000001</v>
      </c>
      <c r="G90" s="32">
        <v>0</v>
      </c>
      <c r="H90" s="32">
        <v>0</v>
      </c>
      <c r="I90" s="32">
        <v>0</v>
      </c>
      <c r="J90" s="32">
        <v>0</v>
      </c>
      <c r="K90" s="32">
        <v>0</v>
      </c>
      <c r="L90" s="32">
        <v>0</v>
      </c>
      <c r="M90" s="32">
        <v>0</v>
      </c>
      <c r="N90" s="32">
        <v>0</v>
      </c>
      <c r="O90" s="32">
        <v>0</v>
      </c>
    </row>
    <row r="91" spans="2:15" x14ac:dyDescent="0.6">
      <c r="B91" s="58" t="s">
        <v>720</v>
      </c>
      <c r="C91" s="151">
        <v>0</v>
      </c>
      <c r="D91" s="151">
        <v>0</v>
      </c>
      <c r="E91" s="151">
        <v>0</v>
      </c>
      <c r="F91" s="151">
        <v>-39.28</v>
      </c>
      <c r="G91" s="59">
        <v>0</v>
      </c>
      <c r="H91" s="43">
        <f>G91</f>
        <v>0</v>
      </c>
      <c r="I91" s="43">
        <f t="shared" si="40"/>
        <v>0</v>
      </c>
      <c r="J91" s="43">
        <f t="shared" si="40"/>
        <v>0</v>
      </c>
      <c r="K91" s="43">
        <f t="shared" si="40"/>
        <v>0</v>
      </c>
      <c r="L91" s="43">
        <f t="shared" si="40"/>
        <v>0</v>
      </c>
      <c r="M91" s="43">
        <f t="shared" si="40"/>
        <v>0</v>
      </c>
      <c r="N91" s="43">
        <f t="shared" si="40"/>
        <v>0</v>
      </c>
      <c r="O91" s="43">
        <f t="shared" si="40"/>
        <v>0</v>
      </c>
    </row>
    <row r="92" spans="2:15" x14ac:dyDescent="0.6">
      <c r="B92" s="58" t="s">
        <v>138</v>
      </c>
      <c r="C92" s="151">
        <v>1E-3</v>
      </c>
      <c r="D92" s="151">
        <v>1.7989999999999999</v>
      </c>
      <c r="E92" s="151">
        <v>48.433</v>
      </c>
      <c r="F92" s="151">
        <v>19.338000000000001</v>
      </c>
      <c r="G92" s="32">
        <v>0</v>
      </c>
      <c r="H92" s="32">
        <v>0</v>
      </c>
      <c r="I92" s="32">
        <v>0</v>
      </c>
      <c r="J92" s="32">
        <v>0</v>
      </c>
      <c r="K92" s="32">
        <v>0</v>
      </c>
      <c r="L92" s="32">
        <v>0</v>
      </c>
      <c r="M92" s="32">
        <v>0</v>
      </c>
      <c r="N92" s="32">
        <v>0</v>
      </c>
      <c r="O92" s="32">
        <v>0</v>
      </c>
    </row>
    <row r="93" spans="2:15" x14ac:dyDescent="0.6">
      <c r="B93" s="58" t="s">
        <v>139</v>
      </c>
      <c r="C93" s="151">
        <v>19.716999999999999</v>
      </c>
      <c r="D93" s="151">
        <v>17.681000000000001</v>
      </c>
      <c r="E93" s="151">
        <v>39.521000000000001</v>
      </c>
      <c r="F93" s="151">
        <v>11.077</v>
      </c>
      <c r="G93" s="32">
        <v>0</v>
      </c>
      <c r="H93" s="32">
        <v>0</v>
      </c>
      <c r="I93" s="32">
        <v>0</v>
      </c>
      <c r="J93" s="32">
        <v>0</v>
      </c>
      <c r="K93" s="32">
        <v>0</v>
      </c>
      <c r="L93" s="32">
        <v>0</v>
      </c>
      <c r="M93" s="32">
        <v>0</v>
      </c>
      <c r="N93" s="32">
        <v>0</v>
      </c>
      <c r="O93" s="32">
        <v>0</v>
      </c>
    </row>
    <row r="94" spans="2:15" x14ac:dyDescent="0.6">
      <c r="B94" s="58" t="s">
        <v>140</v>
      </c>
      <c r="C94" s="151">
        <v>9.3279999999999994</v>
      </c>
      <c r="D94" s="151">
        <v>18.510999999999999</v>
      </c>
      <c r="E94" s="151">
        <v>38.215000000000003</v>
      </c>
      <c r="F94" s="151">
        <v>157.32400000000001</v>
      </c>
      <c r="G94" s="32">
        <v>0</v>
      </c>
      <c r="H94" s="32">
        <v>0</v>
      </c>
      <c r="I94" s="32">
        <v>0</v>
      </c>
      <c r="J94" s="32">
        <v>0</v>
      </c>
      <c r="K94" s="32">
        <v>0</v>
      </c>
      <c r="L94" s="32">
        <v>0</v>
      </c>
      <c r="M94" s="32">
        <v>0</v>
      </c>
      <c r="N94" s="32">
        <v>0</v>
      </c>
      <c r="O94" s="32">
        <v>0</v>
      </c>
    </row>
    <row r="95" spans="2:15" s="23" customFormat="1" ht="14.4" x14ac:dyDescent="0.55000000000000004">
      <c r="B95" s="57" t="s">
        <v>27</v>
      </c>
      <c r="C95" s="56">
        <f>C96+C97+C98+C99+C100+C101+C102+C103+C104+C105+C106+C107</f>
        <v>-148.3009999999999</v>
      </c>
      <c r="D95" s="56">
        <f>D96+D97+D98+D99+D100+D101+D102+D103+D104+D105+D106+D107</f>
        <v>164.59100000000001</v>
      </c>
      <c r="E95" s="56">
        <f>E96+E97+E98+E99+E100+E101+E102+E103+E104+E105+E106+E107</f>
        <v>871.06799999999953</v>
      </c>
      <c r="F95" s="56">
        <f>F96+F97+F98+F99+F100+F101+F102+F103+F104+F105+F106+F107+F108</f>
        <v>-3217.8050000000003</v>
      </c>
      <c r="G95" s="56">
        <f t="shared" ref="G95:O95" si="41">G96+G97+G98+G99+G100+G101+G102+G103+G104+G105+G106+G107+G108</f>
        <v>3461.6890000000008</v>
      </c>
      <c r="H95" s="56">
        <f t="shared" ca="1" si="41"/>
        <v>-3886.4564513326623</v>
      </c>
      <c r="I95" s="56">
        <f t="shared" ca="1" si="41"/>
        <v>-1272.8509972800393</v>
      </c>
      <c r="J95" s="56">
        <f t="shared" ca="1" si="41"/>
        <v>1243.2135396002132</v>
      </c>
      <c r="K95" s="56">
        <f t="shared" ca="1" si="41"/>
        <v>1853.3256790376336</v>
      </c>
      <c r="L95" s="56">
        <f t="shared" ca="1" si="41"/>
        <v>2420.6854553625062</v>
      </c>
      <c r="M95" s="56">
        <f t="shared" ca="1" si="41"/>
        <v>2625.3340367093451</v>
      </c>
      <c r="N95" s="56">
        <f t="shared" ca="1" si="41"/>
        <v>3506.741933131163</v>
      </c>
      <c r="O95" s="56">
        <f t="shared" ca="1" si="41"/>
        <v>3986.4372259581669</v>
      </c>
    </row>
    <row r="96" spans="2:15" x14ac:dyDescent="0.6">
      <c r="B96" s="58" t="s">
        <v>101</v>
      </c>
      <c r="C96" s="151">
        <v>-608.49900000000002</v>
      </c>
      <c r="D96" s="151">
        <v>-1689.547</v>
      </c>
      <c r="E96" s="151">
        <v>-2008.8610000000001</v>
      </c>
      <c r="F96" s="151">
        <v>-4666.7920000000004</v>
      </c>
      <c r="G96" s="31">
        <f t="shared" ref="G96:O96" si="42">-(G147-F147)</f>
        <v>724.16200000000003</v>
      </c>
      <c r="H96" s="31">
        <f t="shared" si="42"/>
        <v>0</v>
      </c>
      <c r="I96" s="31">
        <f t="shared" si="42"/>
        <v>0</v>
      </c>
      <c r="J96" s="31">
        <f t="shared" si="42"/>
        <v>0</v>
      </c>
      <c r="K96" s="31">
        <f t="shared" si="42"/>
        <v>0</v>
      </c>
      <c r="L96" s="31">
        <f t="shared" si="42"/>
        <v>0</v>
      </c>
      <c r="M96" s="31">
        <f t="shared" si="42"/>
        <v>0</v>
      </c>
      <c r="N96" s="31">
        <f t="shared" si="42"/>
        <v>0</v>
      </c>
      <c r="O96" s="31">
        <f t="shared" si="42"/>
        <v>0</v>
      </c>
    </row>
    <row r="97" spans="2:15" x14ac:dyDescent="0.6">
      <c r="B97" s="58" t="s">
        <v>105</v>
      </c>
      <c r="C97" s="151">
        <v>0</v>
      </c>
      <c r="D97" s="151">
        <v>0</v>
      </c>
      <c r="E97" s="151">
        <v>-43.841000000000001</v>
      </c>
      <c r="F97" s="151">
        <v>-924.88900000000001</v>
      </c>
      <c r="G97" s="31">
        <f t="shared" ref="G97:O97" si="43">-(G153-F153)</f>
        <v>-1839.3409999999999</v>
      </c>
      <c r="H97" s="31">
        <f t="shared" si="43"/>
        <v>-887.265359477125</v>
      </c>
      <c r="I97" s="31">
        <f t="shared" si="43"/>
        <v>-738.75987570321513</v>
      </c>
      <c r="J97" s="31">
        <f t="shared" si="43"/>
        <v>-1107.066893981113</v>
      </c>
      <c r="K97" s="31">
        <f t="shared" si="43"/>
        <v>-1162.2182191739694</v>
      </c>
      <c r="L97" s="31">
        <f t="shared" si="43"/>
        <v>-1205.1069603404258</v>
      </c>
      <c r="M97" s="31">
        <f t="shared" si="43"/>
        <v>-1194.5347745321678</v>
      </c>
      <c r="N97" s="31">
        <f t="shared" si="43"/>
        <v>-1273.3189476189254</v>
      </c>
      <c r="O97" s="31">
        <f t="shared" si="43"/>
        <v>-1347.780746704424</v>
      </c>
    </row>
    <row r="98" spans="2:15" x14ac:dyDescent="0.6">
      <c r="B98" s="58" t="s">
        <v>106</v>
      </c>
      <c r="C98" s="151">
        <v>-947.476</v>
      </c>
      <c r="D98" s="151">
        <v>-1414.489</v>
      </c>
      <c r="E98" s="151">
        <v>-242.255</v>
      </c>
      <c r="F98" s="151">
        <v>-2568.4229999999998</v>
      </c>
      <c r="G98" s="31">
        <f t="shared" ref="G98:O98" si="44">-(G154-F154)</f>
        <v>-3452.5</v>
      </c>
      <c r="H98" s="31">
        <f t="shared" si="44"/>
        <v>-3985.0161532364564</v>
      </c>
      <c r="I98" s="31">
        <f t="shared" si="44"/>
        <v>-4169.1214436129612</v>
      </c>
      <c r="J98" s="31">
        <f t="shared" si="44"/>
        <v>-3516.6438950093652</v>
      </c>
      <c r="K98" s="31">
        <f t="shared" si="44"/>
        <v>-3007.5448676022497</v>
      </c>
      <c r="L98" s="31">
        <f t="shared" si="44"/>
        <v>-2789.9504681369945</v>
      </c>
      <c r="M98" s="31">
        <f t="shared" si="44"/>
        <v>-2519.2762363483671</v>
      </c>
      <c r="N98" s="31">
        <f t="shared" si="44"/>
        <v>-2445.2944545736464</v>
      </c>
      <c r="O98" s="31">
        <f t="shared" si="44"/>
        <v>-2344.4223084399091</v>
      </c>
    </row>
    <row r="99" spans="2:15" x14ac:dyDescent="0.6">
      <c r="B99" s="58" t="s">
        <v>107</v>
      </c>
      <c r="C99" s="151">
        <v>0</v>
      </c>
      <c r="D99" s="151">
        <v>-63.009</v>
      </c>
      <c r="E99" s="151">
        <v>-143.62299999999999</v>
      </c>
      <c r="F99" s="151">
        <v>-1522.2170000000001</v>
      </c>
      <c r="G99" s="31">
        <f t="shared" ref="G99:O99" si="45">-(G155-F155)</f>
        <v>-478.19000000000005</v>
      </c>
      <c r="H99" s="31">
        <f t="shared" si="45"/>
        <v>-1400.7838046249276</v>
      </c>
      <c r="I99" s="31">
        <f t="shared" si="45"/>
        <v>-1271.5362097969332</v>
      </c>
      <c r="J99" s="31">
        <f t="shared" si="45"/>
        <v>-1684.1557402940998</v>
      </c>
      <c r="K99" s="31">
        <f t="shared" si="45"/>
        <v>-1904.1673721960397</v>
      </c>
      <c r="L99" s="31">
        <f t="shared" si="45"/>
        <v>-1804.0487101232848</v>
      </c>
      <c r="M99" s="31">
        <f t="shared" si="45"/>
        <v>-1808.5357986169747</v>
      </c>
      <c r="N99" s="31">
        <f t="shared" si="45"/>
        <v>-1459.6964704641141</v>
      </c>
      <c r="O99" s="31">
        <f t="shared" si="45"/>
        <v>-1514.3004427125579</v>
      </c>
    </row>
    <row r="100" spans="2:15" x14ac:dyDescent="0.6">
      <c r="B100" s="58" t="s">
        <v>108</v>
      </c>
      <c r="C100" s="151">
        <v>0</v>
      </c>
      <c r="D100" s="151">
        <v>-9.0999999999999998E-2</v>
      </c>
      <c r="E100" s="151">
        <v>9.2999999999999999E-2</v>
      </c>
      <c r="F100" s="151">
        <v>0</v>
      </c>
      <c r="G100" s="32">
        <v>0</v>
      </c>
      <c r="H100" s="32">
        <v>0</v>
      </c>
      <c r="I100" s="32">
        <v>0</v>
      </c>
      <c r="J100" s="32">
        <v>0</v>
      </c>
      <c r="K100" s="32">
        <v>0</v>
      </c>
      <c r="L100" s="32">
        <v>0</v>
      </c>
      <c r="M100" s="32">
        <v>0</v>
      </c>
      <c r="N100" s="32">
        <v>0</v>
      </c>
      <c r="O100" s="32">
        <v>0</v>
      </c>
    </row>
    <row r="101" spans="2:15" x14ac:dyDescent="0.6">
      <c r="B101" s="58" t="s">
        <v>44</v>
      </c>
      <c r="C101" s="151">
        <v>-4.8070000000000004</v>
      </c>
      <c r="D101" s="151">
        <v>-166.173</v>
      </c>
      <c r="E101" s="151">
        <v>78.319000000000003</v>
      </c>
      <c r="F101" s="151">
        <v>-64.072000000000003</v>
      </c>
      <c r="G101" s="31">
        <f t="shared" ref="G101:O101" si="46">-(G159-F159)</f>
        <v>-258.73599999999999</v>
      </c>
      <c r="H101" s="31">
        <f t="shared" si="46"/>
        <v>0</v>
      </c>
      <c r="I101" s="31">
        <f t="shared" si="46"/>
        <v>0</v>
      </c>
      <c r="J101" s="31">
        <f t="shared" si="46"/>
        <v>0</v>
      </c>
      <c r="K101" s="31">
        <f t="shared" si="46"/>
        <v>0</v>
      </c>
      <c r="L101" s="31">
        <f t="shared" si="46"/>
        <v>0</v>
      </c>
      <c r="M101" s="31">
        <f t="shared" si="46"/>
        <v>0</v>
      </c>
      <c r="N101" s="31">
        <f t="shared" si="46"/>
        <v>0</v>
      </c>
      <c r="O101" s="31">
        <f t="shared" si="46"/>
        <v>0</v>
      </c>
    </row>
    <row r="102" spans="2:15" x14ac:dyDescent="0.6">
      <c r="B102" s="58" t="s">
        <v>47</v>
      </c>
      <c r="C102" s="151">
        <v>646.16399999999999</v>
      </c>
      <c r="D102" s="151">
        <v>2088.7930000000001</v>
      </c>
      <c r="E102" s="151">
        <v>2871.2460000000001</v>
      </c>
      <c r="F102" s="151">
        <v>4001.8560000000002</v>
      </c>
      <c r="G102" s="31">
        <f t="shared" ref="G102:O103" si="47">(G173-F173)</f>
        <v>6140.7000000000007</v>
      </c>
      <c r="H102" s="31">
        <f t="shared" si="47"/>
        <v>5048.9167755991293</v>
      </c>
      <c r="I102" s="31">
        <f t="shared" si="47"/>
        <v>4203.857492842486</v>
      </c>
      <c r="J102" s="31">
        <f t="shared" si="47"/>
        <v>6299.6808711495505</v>
      </c>
      <c r="K102" s="31">
        <f t="shared" si="47"/>
        <v>6613.5153379057265</v>
      </c>
      <c r="L102" s="31">
        <f t="shared" si="47"/>
        <v>6857.5704928226987</v>
      </c>
      <c r="M102" s="31">
        <f t="shared" si="47"/>
        <v>6797.4102648684348</v>
      </c>
      <c r="N102" s="31">
        <f t="shared" si="47"/>
        <v>7245.7256745716222</v>
      </c>
      <c r="O102" s="31">
        <f t="shared" si="47"/>
        <v>7669.4449402100508</v>
      </c>
    </row>
    <row r="103" spans="2:15" x14ac:dyDescent="0.6">
      <c r="B103" s="58" t="s">
        <v>117</v>
      </c>
      <c r="C103" s="151">
        <v>740.90200000000004</v>
      </c>
      <c r="D103" s="151">
        <v>1365.4760000000001</v>
      </c>
      <c r="E103" s="151">
        <v>312.60700000000003</v>
      </c>
      <c r="F103" s="151">
        <v>1602.4849999999999</v>
      </c>
      <c r="G103" s="31">
        <f t="shared" si="47"/>
        <v>2171.8410000000003</v>
      </c>
      <c r="H103" s="31">
        <f t="shared" ca="1" si="47"/>
        <v>-2662.3079095932826</v>
      </c>
      <c r="I103" s="31">
        <f t="shared" ca="1" si="47"/>
        <v>702.70903899058521</v>
      </c>
      <c r="J103" s="31">
        <f t="shared" ca="1" si="47"/>
        <v>1251.3991977352407</v>
      </c>
      <c r="K103" s="31">
        <f t="shared" ca="1" si="47"/>
        <v>1313.7408001041658</v>
      </c>
      <c r="L103" s="31">
        <f t="shared" ca="1" si="47"/>
        <v>1362.2211011405125</v>
      </c>
      <c r="M103" s="31">
        <f t="shared" ca="1" si="47"/>
        <v>1350.27058133842</v>
      </c>
      <c r="N103" s="31">
        <f t="shared" ca="1" si="47"/>
        <v>1439.3261312162267</v>
      </c>
      <c r="O103" s="31">
        <f t="shared" ca="1" si="47"/>
        <v>1523.4957836050071</v>
      </c>
    </row>
    <row r="104" spans="2:15" x14ac:dyDescent="0.6">
      <c r="B104" s="58" t="s">
        <v>125</v>
      </c>
      <c r="C104" s="151">
        <v>6.718</v>
      </c>
      <c r="D104" s="151">
        <v>10.324999999999999</v>
      </c>
      <c r="E104" s="151">
        <v>3.621</v>
      </c>
      <c r="F104" s="151">
        <v>4.8479999999999999</v>
      </c>
      <c r="G104" s="32">
        <v>0</v>
      </c>
      <c r="H104" s="32">
        <v>0</v>
      </c>
      <c r="I104" s="32">
        <v>0</v>
      </c>
      <c r="J104" s="32">
        <v>0</v>
      </c>
      <c r="K104" s="32">
        <v>0</v>
      </c>
      <c r="L104" s="32">
        <v>0</v>
      </c>
      <c r="M104" s="32">
        <v>0</v>
      </c>
      <c r="N104" s="32">
        <v>0</v>
      </c>
      <c r="O104" s="32">
        <v>0</v>
      </c>
    </row>
    <row r="105" spans="2:15" x14ac:dyDescent="0.6">
      <c r="B105" s="58" t="s">
        <v>48</v>
      </c>
      <c r="C105" s="151">
        <v>46.728000000000002</v>
      </c>
      <c r="D105" s="151">
        <v>52.366</v>
      </c>
      <c r="E105" s="151">
        <v>57.841000000000001</v>
      </c>
      <c r="F105" s="151">
        <v>417.22500000000002</v>
      </c>
      <c r="G105" s="31">
        <f t="shared" ref="G105:O105" si="48">(G184-F184)</f>
        <v>453.75299999999999</v>
      </c>
      <c r="H105" s="31">
        <f t="shared" si="48"/>
        <v>0</v>
      </c>
      <c r="I105" s="31">
        <f t="shared" si="48"/>
        <v>0</v>
      </c>
      <c r="J105" s="31">
        <f t="shared" si="48"/>
        <v>0</v>
      </c>
      <c r="K105" s="31">
        <f t="shared" si="48"/>
        <v>0</v>
      </c>
      <c r="L105" s="31">
        <f t="shared" si="48"/>
        <v>0</v>
      </c>
      <c r="M105" s="31">
        <f t="shared" si="48"/>
        <v>0</v>
      </c>
      <c r="N105" s="31">
        <f t="shared" si="48"/>
        <v>0</v>
      </c>
      <c r="O105" s="31">
        <f t="shared" si="48"/>
        <v>0</v>
      </c>
    </row>
    <row r="106" spans="2:15" x14ac:dyDescent="0.6">
      <c r="B106" s="58" t="s">
        <v>142</v>
      </c>
      <c r="C106" s="151">
        <v>-16.388999999999999</v>
      </c>
      <c r="D106" s="151">
        <v>-15.603</v>
      </c>
      <c r="E106" s="151">
        <v>-6.1989999999999998</v>
      </c>
      <c r="F106" s="151">
        <v>-9.0619999999999994</v>
      </c>
      <c r="G106" s="32">
        <v>0</v>
      </c>
      <c r="H106" s="32">
        <v>0</v>
      </c>
      <c r="I106" s="32">
        <v>0</v>
      </c>
      <c r="J106" s="32">
        <v>0</v>
      </c>
      <c r="K106" s="32">
        <v>0</v>
      </c>
      <c r="L106" s="32">
        <v>0</v>
      </c>
      <c r="M106" s="32">
        <v>0</v>
      </c>
      <c r="N106" s="32">
        <v>0</v>
      </c>
      <c r="O106" s="32">
        <v>0</v>
      </c>
    </row>
    <row r="107" spans="2:15" x14ac:dyDescent="0.6">
      <c r="B107" s="58" t="s">
        <v>143</v>
      </c>
      <c r="C107" s="151">
        <v>-11.641999999999999</v>
      </c>
      <c r="D107" s="151">
        <v>-3.4569999999999999</v>
      </c>
      <c r="E107" s="151">
        <v>-7.88</v>
      </c>
      <c r="F107" s="151">
        <v>-52.314</v>
      </c>
      <c r="G107" s="32">
        <v>0</v>
      </c>
      <c r="H107" s="32">
        <v>0</v>
      </c>
      <c r="I107" s="32">
        <v>0</v>
      </c>
      <c r="J107" s="32">
        <v>0</v>
      </c>
      <c r="K107" s="32">
        <v>0</v>
      </c>
      <c r="L107" s="32">
        <v>0</v>
      </c>
      <c r="M107" s="32">
        <v>0</v>
      </c>
      <c r="N107" s="32">
        <v>0</v>
      </c>
      <c r="O107" s="32">
        <v>0</v>
      </c>
    </row>
    <row r="108" spans="2:15" x14ac:dyDescent="0.6">
      <c r="B108" s="58" t="s">
        <v>721</v>
      </c>
      <c r="C108" s="151">
        <v>0</v>
      </c>
      <c r="D108" s="151">
        <v>0</v>
      </c>
      <c r="E108" s="151">
        <v>0</v>
      </c>
      <c r="F108" s="151">
        <v>563.54999999999995</v>
      </c>
      <c r="G108" s="59">
        <v>0</v>
      </c>
      <c r="H108" s="43">
        <f>G108</f>
        <v>0</v>
      </c>
      <c r="I108" s="43">
        <f t="shared" ref="I108:O108" si="49">H108</f>
        <v>0</v>
      </c>
      <c r="J108" s="43">
        <f t="shared" si="49"/>
        <v>0</v>
      </c>
      <c r="K108" s="43">
        <f t="shared" si="49"/>
        <v>0</v>
      </c>
      <c r="L108" s="43">
        <f t="shared" si="49"/>
        <v>0</v>
      </c>
      <c r="M108" s="43">
        <f t="shared" si="49"/>
        <v>0</v>
      </c>
      <c r="N108" s="43">
        <f t="shared" si="49"/>
        <v>0</v>
      </c>
      <c r="O108" s="43">
        <f t="shared" si="49"/>
        <v>0</v>
      </c>
    </row>
    <row r="109" spans="2:15" s="54" customFormat="1" ht="14.7" thickBot="1" x14ac:dyDescent="0.6">
      <c r="B109" s="52" t="s">
        <v>28</v>
      </c>
      <c r="C109" s="53">
        <f>C110+C111+C112</f>
        <v>-6.38</v>
      </c>
      <c r="D109" s="53">
        <f>D110+D111+D112</f>
        <v>-4.6790000000000003</v>
      </c>
      <c r="E109" s="53">
        <f>E110+E111+E112</f>
        <v>-16.270000000000003</v>
      </c>
      <c r="F109" s="53">
        <f>F110+F111+F112+F113</f>
        <v>-154.19500000000002</v>
      </c>
      <c r="G109" s="53">
        <f t="shared" ref="G109:O109" si="50">G110+G111+G112+G113</f>
        <v>-126.5</v>
      </c>
      <c r="H109" s="53">
        <f t="shared" si="50"/>
        <v>-157.15614473884901</v>
      </c>
      <c r="I109" s="53">
        <f t="shared" si="50"/>
        <v>-202.96602020045373</v>
      </c>
      <c r="J109" s="53">
        <f t="shared" si="50"/>
        <v>-253.55510095808424</v>
      </c>
      <c r="K109" s="53">
        <f t="shared" si="50"/>
        <v>-299.05168122302456</v>
      </c>
      <c r="L109" s="53">
        <f t="shared" si="50"/>
        <v>-341.07568427826226</v>
      </c>
      <c r="M109" s="53">
        <f t="shared" si="50"/>
        <v>-376.98832691376833</v>
      </c>
      <c r="N109" s="53">
        <f t="shared" si="50"/>
        <v>-421.95917662997584</v>
      </c>
      <c r="O109" s="53">
        <f t="shared" si="50"/>
        <v>-465.68262774915735</v>
      </c>
    </row>
    <row r="110" spans="2:15" x14ac:dyDescent="0.6">
      <c r="B110" s="62" t="s">
        <v>144</v>
      </c>
      <c r="C110" s="151">
        <v>-5.875</v>
      </c>
      <c r="D110" s="151">
        <v>-2.3769999999999998</v>
      </c>
      <c r="E110" s="151">
        <v>-3.0840000000000001</v>
      </c>
      <c r="F110" s="151">
        <v>-6.0250000000000004</v>
      </c>
      <c r="G110" s="151">
        <v>-20</v>
      </c>
      <c r="H110" s="30">
        <f>G110</f>
        <v>-20</v>
      </c>
      <c r="I110" s="30">
        <f t="shared" ref="I110:O110" si="51">H110</f>
        <v>-20</v>
      </c>
      <c r="J110" s="30">
        <f t="shared" si="51"/>
        <v>-20</v>
      </c>
      <c r="K110" s="30">
        <f t="shared" si="51"/>
        <v>-20</v>
      </c>
      <c r="L110" s="30">
        <f t="shared" si="51"/>
        <v>-20</v>
      </c>
      <c r="M110" s="30">
        <f t="shared" si="51"/>
        <v>-20</v>
      </c>
      <c r="N110" s="30">
        <f t="shared" si="51"/>
        <v>-20</v>
      </c>
      <c r="O110" s="30">
        <f t="shared" si="51"/>
        <v>-20</v>
      </c>
    </row>
    <row r="111" spans="2:15" x14ac:dyDescent="0.6">
      <c r="B111" s="62" t="s">
        <v>29</v>
      </c>
      <c r="C111" s="151">
        <v>-0.505</v>
      </c>
      <c r="D111" s="151">
        <v>-2.302</v>
      </c>
      <c r="E111" s="151">
        <v>-4.9020000000000001</v>
      </c>
      <c r="F111" s="151">
        <v>-22.472999999999999</v>
      </c>
      <c r="G111" s="151">
        <v>-94</v>
      </c>
      <c r="H111" s="31">
        <f>-H134-H110</f>
        <v>-134.65614473884901</v>
      </c>
      <c r="I111" s="31">
        <f t="shared" ref="I111:O111" si="52">-I134-I110</f>
        <v>-180.46602020045373</v>
      </c>
      <c r="J111" s="31">
        <f t="shared" si="52"/>
        <v>-231.05510095808424</v>
      </c>
      <c r="K111" s="31">
        <f t="shared" si="52"/>
        <v>-276.55168122302456</v>
      </c>
      <c r="L111" s="31">
        <f t="shared" si="52"/>
        <v>-318.57568427826226</v>
      </c>
      <c r="M111" s="31">
        <f t="shared" si="52"/>
        <v>-354.48832691376833</v>
      </c>
      <c r="N111" s="31">
        <f t="shared" si="52"/>
        <v>-399.45917662997584</v>
      </c>
      <c r="O111" s="31">
        <f t="shared" si="52"/>
        <v>-443.18262774915735</v>
      </c>
    </row>
    <row r="112" spans="2:15" x14ac:dyDescent="0.6">
      <c r="B112" s="62" t="s">
        <v>145</v>
      </c>
      <c r="C112" s="151">
        <v>0</v>
      </c>
      <c r="D112" s="151">
        <v>0</v>
      </c>
      <c r="E112" s="151">
        <v>-8.2840000000000007</v>
      </c>
      <c r="F112" s="151">
        <v>-114.486</v>
      </c>
      <c r="G112" s="151">
        <v>-10</v>
      </c>
      <c r="H112" s="32">
        <v>0</v>
      </c>
      <c r="I112" s="32">
        <v>0</v>
      </c>
      <c r="J112" s="32">
        <v>0</v>
      </c>
      <c r="K112" s="32">
        <v>0</v>
      </c>
      <c r="L112" s="32">
        <v>0</v>
      </c>
      <c r="M112" s="32">
        <v>0</v>
      </c>
      <c r="N112" s="32">
        <v>0</v>
      </c>
      <c r="O112" s="32">
        <v>0</v>
      </c>
    </row>
    <row r="113" spans="2:16" x14ac:dyDescent="0.6">
      <c r="B113" s="62" t="s">
        <v>722</v>
      </c>
      <c r="C113" s="151">
        <v>0</v>
      </c>
      <c r="D113" s="151">
        <v>0</v>
      </c>
      <c r="E113" s="151">
        <v>0</v>
      </c>
      <c r="F113" s="151">
        <v>-11.211</v>
      </c>
      <c r="G113" s="151">
        <v>-2.5</v>
      </c>
      <c r="H113" s="43">
        <f>G113</f>
        <v>-2.5</v>
      </c>
      <c r="I113" s="43">
        <f t="shared" ref="I113:O113" si="53">H113</f>
        <v>-2.5</v>
      </c>
      <c r="J113" s="43">
        <f t="shared" si="53"/>
        <v>-2.5</v>
      </c>
      <c r="K113" s="43">
        <f t="shared" si="53"/>
        <v>-2.5</v>
      </c>
      <c r="L113" s="43">
        <f t="shared" si="53"/>
        <v>-2.5</v>
      </c>
      <c r="M113" s="43">
        <f t="shared" si="53"/>
        <v>-2.5</v>
      </c>
      <c r="N113" s="43">
        <f t="shared" si="53"/>
        <v>-2.5</v>
      </c>
      <c r="O113" s="43">
        <f t="shared" si="53"/>
        <v>-2.5</v>
      </c>
    </row>
    <row r="114" spans="2:16" s="54" customFormat="1" ht="14.7" thickBot="1" x14ac:dyDescent="0.6">
      <c r="B114" s="52" t="s">
        <v>30</v>
      </c>
      <c r="C114" s="53">
        <f>C115+C116+C120+C121+C122+C123+C124+C125+C126+C127+C128</f>
        <v>253.41200000000003</v>
      </c>
      <c r="D114" s="53">
        <f>D115+D116+D120+D121+D122+D123+D124+D125+D126+D127+D128</f>
        <v>611.19299999999998</v>
      </c>
      <c r="E114" s="53">
        <f>E115+E116+E120+E121+E122+E123+E124+E125+E126+E127+E128</f>
        <v>237.45600000000005</v>
      </c>
      <c r="F114" s="53">
        <f>F115+F116+F120+F121+F122+F123+F124+F125+F126+F127+F128+F117+F118+F119</f>
        <v>3335.982</v>
      </c>
      <c r="G114" s="53">
        <f t="shared" ref="G114:O114" si="54">G115+G116+G120+G121+G122+G123+G124+G125+G126+G127+G128+G117+G118+G119</f>
        <v>0</v>
      </c>
      <c r="H114" s="53">
        <f t="shared" si="54"/>
        <v>0</v>
      </c>
      <c r="I114" s="53">
        <f t="shared" si="54"/>
        <v>0</v>
      </c>
      <c r="J114" s="53">
        <f t="shared" si="54"/>
        <v>0</v>
      </c>
      <c r="K114" s="53">
        <f t="shared" si="54"/>
        <v>0</v>
      </c>
      <c r="L114" s="53">
        <f t="shared" si="54"/>
        <v>0</v>
      </c>
      <c r="M114" s="53">
        <f t="shared" si="54"/>
        <v>0</v>
      </c>
      <c r="N114" s="53">
        <f t="shared" si="54"/>
        <v>0</v>
      </c>
      <c r="O114" s="53">
        <f t="shared" si="54"/>
        <v>0</v>
      </c>
    </row>
    <row r="115" spans="2:16" x14ac:dyDescent="0.6">
      <c r="B115" s="62" t="s">
        <v>31</v>
      </c>
      <c r="C115" s="151">
        <v>243.59700000000001</v>
      </c>
      <c r="D115" s="151">
        <v>400.00099999999998</v>
      </c>
      <c r="E115" s="151">
        <v>0</v>
      </c>
      <c r="F115" s="151">
        <v>0</v>
      </c>
      <c r="G115" s="32">
        <v>0</v>
      </c>
      <c r="H115" s="32">
        <v>0</v>
      </c>
      <c r="I115" s="32">
        <v>0</v>
      </c>
      <c r="J115" s="32">
        <v>0</v>
      </c>
      <c r="K115" s="32">
        <v>0</v>
      </c>
      <c r="L115" s="32">
        <v>0</v>
      </c>
      <c r="M115" s="32">
        <v>0</v>
      </c>
      <c r="N115" s="32">
        <v>0</v>
      </c>
      <c r="O115" s="32">
        <v>0</v>
      </c>
      <c r="P115" s="124"/>
    </row>
    <row r="116" spans="2:16" x14ac:dyDescent="0.6">
      <c r="B116" s="62" t="s">
        <v>146</v>
      </c>
      <c r="C116" s="151">
        <v>0</v>
      </c>
      <c r="D116" s="151">
        <v>0</v>
      </c>
      <c r="E116" s="151">
        <v>300</v>
      </c>
      <c r="F116" s="151">
        <v>0</v>
      </c>
      <c r="G116" s="32">
        <v>0</v>
      </c>
      <c r="H116" s="32">
        <v>0</v>
      </c>
      <c r="I116" s="32">
        <v>0</v>
      </c>
      <c r="J116" s="32">
        <v>0</v>
      </c>
      <c r="K116" s="32">
        <v>0</v>
      </c>
      <c r="L116" s="32">
        <v>0</v>
      </c>
      <c r="M116" s="32">
        <v>0</v>
      </c>
      <c r="N116" s="32">
        <v>0</v>
      </c>
      <c r="O116" s="32">
        <v>0</v>
      </c>
    </row>
    <row r="117" spans="2:16" x14ac:dyDescent="0.6">
      <c r="B117" s="62" t="s">
        <v>723</v>
      </c>
      <c r="C117" s="151">
        <v>0</v>
      </c>
      <c r="D117" s="151">
        <v>0</v>
      </c>
      <c r="E117" s="151">
        <v>0</v>
      </c>
      <c r="F117" s="151">
        <v>800</v>
      </c>
      <c r="G117" s="59">
        <v>0</v>
      </c>
      <c r="H117" s="43">
        <f>G117</f>
        <v>0</v>
      </c>
      <c r="I117" s="43">
        <f t="shared" ref="I117:O119" si="55">H117</f>
        <v>0</v>
      </c>
      <c r="J117" s="43">
        <f t="shared" si="55"/>
        <v>0</v>
      </c>
      <c r="K117" s="43">
        <f t="shared" si="55"/>
        <v>0</v>
      </c>
      <c r="L117" s="43">
        <f t="shared" si="55"/>
        <v>0</v>
      </c>
      <c r="M117" s="43">
        <f t="shared" si="55"/>
        <v>0</v>
      </c>
      <c r="N117" s="43">
        <f t="shared" si="55"/>
        <v>0</v>
      </c>
      <c r="O117" s="43">
        <f t="shared" si="55"/>
        <v>0</v>
      </c>
    </row>
    <row r="118" spans="2:16" x14ac:dyDescent="0.6">
      <c r="B118" s="62" t="s">
        <v>724</v>
      </c>
      <c r="C118" s="151">
        <v>0</v>
      </c>
      <c r="D118" s="151">
        <v>0</v>
      </c>
      <c r="E118" s="151">
        <v>0</v>
      </c>
      <c r="F118" s="151">
        <v>2590.846</v>
      </c>
      <c r="G118" s="59">
        <v>0</v>
      </c>
      <c r="H118" s="43">
        <f>G118</f>
        <v>0</v>
      </c>
      <c r="I118" s="43">
        <f t="shared" si="55"/>
        <v>0</v>
      </c>
      <c r="J118" s="43">
        <f t="shared" si="55"/>
        <v>0</v>
      </c>
      <c r="K118" s="43">
        <f t="shared" si="55"/>
        <v>0</v>
      </c>
      <c r="L118" s="43">
        <f t="shared" si="55"/>
        <v>0</v>
      </c>
      <c r="M118" s="43">
        <f t="shared" si="55"/>
        <v>0</v>
      </c>
      <c r="N118" s="43">
        <f t="shared" si="55"/>
        <v>0</v>
      </c>
      <c r="O118" s="43">
        <f t="shared" si="55"/>
        <v>0</v>
      </c>
    </row>
    <row r="119" spans="2:16" x14ac:dyDescent="0.6">
      <c r="B119" s="62" t="s">
        <v>725</v>
      </c>
      <c r="C119" s="151">
        <v>0</v>
      </c>
      <c r="D119" s="151">
        <v>0</v>
      </c>
      <c r="E119" s="151">
        <v>0</v>
      </c>
      <c r="F119" s="151">
        <v>-47.545000000000002</v>
      </c>
      <c r="G119" s="59">
        <v>0</v>
      </c>
      <c r="H119" s="43">
        <f>G119</f>
        <v>0</v>
      </c>
      <c r="I119" s="43">
        <f t="shared" si="55"/>
        <v>0</v>
      </c>
      <c r="J119" s="43">
        <f t="shared" si="55"/>
        <v>0</v>
      </c>
      <c r="K119" s="43">
        <f t="shared" si="55"/>
        <v>0</v>
      </c>
      <c r="L119" s="43">
        <f t="shared" si="55"/>
        <v>0</v>
      </c>
      <c r="M119" s="43">
        <f t="shared" si="55"/>
        <v>0</v>
      </c>
      <c r="N119" s="43">
        <f t="shared" si="55"/>
        <v>0</v>
      </c>
      <c r="O119" s="43">
        <f t="shared" si="55"/>
        <v>0</v>
      </c>
    </row>
    <row r="120" spans="2:16" x14ac:dyDescent="0.6">
      <c r="B120" s="62" t="s">
        <v>147</v>
      </c>
      <c r="C120" s="151">
        <v>34.203000000000003</v>
      </c>
      <c r="D120" s="151">
        <v>126.768</v>
      </c>
      <c r="E120" s="151">
        <v>0</v>
      </c>
      <c r="F120" s="151">
        <v>0</v>
      </c>
      <c r="G120" s="32">
        <v>0</v>
      </c>
      <c r="H120" s="32">
        <v>0</v>
      </c>
      <c r="I120" s="32">
        <v>0</v>
      </c>
      <c r="J120" s="32">
        <v>0</v>
      </c>
      <c r="K120" s="32">
        <v>0</v>
      </c>
      <c r="L120" s="32">
        <v>0</v>
      </c>
      <c r="M120" s="32">
        <v>0</v>
      </c>
      <c r="N120" s="32">
        <v>0</v>
      </c>
      <c r="O120" s="32">
        <v>0</v>
      </c>
    </row>
    <row r="121" spans="2:16" x14ac:dyDescent="0.6">
      <c r="B121" s="62" t="s">
        <v>148</v>
      </c>
      <c r="C121" s="151">
        <v>0</v>
      </c>
      <c r="D121" s="151">
        <v>-16.835000000000001</v>
      </c>
      <c r="E121" s="151">
        <v>-52.171999999999997</v>
      </c>
      <c r="F121" s="151">
        <v>-66.403000000000006</v>
      </c>
      <c r="G121" s="32">
        <v>0</v>
      </c>
      <c r="H121" s="32">
        <v>0</v>
      </c>
      <c r="I121" s="32">
        <v>0</v>
      </c>
      <c r="J121" s="32">
        <v>0</v>
      </c>
      <c r="K121" s="32">
        <v>0</v>
      </c>
      <c r="L121" s="32">
        <v>0</v>
      </c>
      <c r="M121" s="32">
        <v>0</v>
      </c>
      <c r="N121" s="32">
        <v>0</v>
      </c>
      <c r="O121" s="32">
        <v>0</v>
      </c>
    </row>
    <row r="122" spans="2:16" x14ac:dyDescent="0.6">
      <c r="B122" s="62" t="s">
        <v>149</v>
      </c>
      <c r="C122" s="151">
        <v>28.393999999999998</v>
      </c>
      <c r="D122" s="151">
        <v>160.577</v>
      </c>
      <c r="E122" s="151">
        <v>17.974</v>
      </c>
      <c r="F122" s="151">
        <v>116.349</v>
      </c>
      <c r="G122" s="32">
        <v>0</v>
      </c>
      <c r="H122" s="32">
        <v>0</v>
      </c>
      <c r="I122" s="32">
        <v>0</v>
      </c>
      <c r="J122" s="32">
        <v>0</v>
      </c>
      <c r="K122" s="32">
        <v>0</v>
      </c>
      <c r="L122" s="32">
        <v>0</v>
      </c>
      <c r="M122" s="32">
        <v>0</v>
      </c>
      <c r="N122" s="32">
        <v>0</v>
      </c>
      <c r="O122" s="32">
        <v>0</v>
      </c>
    </row>
    <row r="123" spans="2:16" x14ac:dyDescent="0.6">
      <c r="B123" s="62" t="s">
        <v>150</v>
      </c>
      <c r="C123" s="151">
        <v>-52.38</v>
      </c>
      <c r="D123" s="151">
        <v>-78.185000000000002</v>
      </c>
      <c r="E123" s="151">
        <v>-27.893000000000001</v>
      </c>
      <c r="F123" s="151">
        <v>-60.523000000000003</v>
      </c>
      <c r="G123" s="32">
        <v>0</v>
      </c>
      <c r="H123" s="32">
        <v>0</v>
      </c>
      <c r="I123" s="32">
        <v>0</v>
      </c>
      <c r="J123" s="32">
        <v>0</v>
      </c>
      <c r="K123" s="32">
        <v>0</v>
      </c>
      <c r="L123" s="32">
        <v>0</v>
      </c>
      <c r="M123" s="32">
        <v>0</v>
      </c>
      <c r="N123" s="32">
        <v>0</v>
      </c>
      <c r="O123" s="32">
        <v>0</v>
      </c>
    </row>
    <row r="124" spans="2:16" x14ac:dyDescent="0.6">
      <c r="B124" s="62" t="s">
        <v>151</v>
      </c>
      <c r="C124" s="151">
        <v>0</v>
      </c>
      <c r="D124" s="151">
        <v>18.824000000000002</v>
      </c>
      <c r="E124" s="151">
        <v>0</v>
      </c>
      <c r="F124" s="151">
        <v>0</v>
      </c>
      <c r="G124" s="32">
        <v>0</v>
      </c>
      <c r="H124" s="32">
        <v>0</v>
      </c>
      <c r="I124" s="32">
        <v>0</v>
      </c>
      <c r="J124" s="32">
        <v>0</v>
      </c>
      <c r="K124" s="32">
        <v>0</v>
      </c>
      <c r="L124" s="32">
        <v>0</v>
      </c>
      <c r="M124" s="32">
        <v>0</v>
      </c>
      <c r="N124" s="32">
        <v>0</v>
      </c>
      <c r="O124" s="32">
        <v>0</v>
      </c>
    </row>
    <row r="125" spans="2:16" x14ac:dyDescent="0.6">
      <c r="B125" s="62" t="s">
        <v>152</v>
      </c>
      <c r="C125" s="151">
        <v>0</v>
      </c>
      <c r="D125" s="151">
        <v>-2.0139999999999998</v>
      </c>
      <c r="E125" s="151">
        <v>-4.5679999999999996</v>
      </c>
      <c r="F125" s="151">
        <v>-4.3869999999999996</v>
      </c>
      <c r="G125" s="32">
        <v>0</v>
      </c>
      <c r="H125" s="32">
        <v>0</v>
      </c>
      <c r="I125" s="32">
        <v>0</v>
      </c>
      <c r="J125" s="32">
        <v>0</v>
      </c>
      <c r="K125" s="32">
        <v>0</v>
      </c>
      <c r="L125" s="32">
        <v>0</v>
      </c>
      <c r="M125" s="32">
        <v>0</v>
      </c>
      <c r="N125" s="32">
        <v>0</v>
      </c>
      <c r="O125" s="32">
        <v>0</v>
      </c>
    </row>
    <row r="126" spans="2:16" x14ac:dyDescent="0.6">
      <c r="B126" s="62" t="s">
        <v>153</v>
      </c>
      <c r="C126" s="151">
        <v>0.29299999999999998</v>
      </c>
      <c r="D126" s="151">
        <v>5.8310000000000004</v>
      </c>
      <c r="E126" s="151">
        <v>6.7759999999999998</v>
      </c>
      <c r="F126" s="151">
        <v>12.252000000000001</v>
      </c>
      <c r="G126" s="32">
        <v>0</v>
      </c>
      <c r="H126" s="32">
        <v>0</v>
      </c>
      <c r="I126" s="32">
        <v>0</v>
      </c>
      <c r="J126" s="32">
        <v>0</v>
      </c>
      <c r="K126" s="32">
        <v>0</v>
      </c>
      <c r="L126" s="32">
        <v>0</v>
      </c>
      <c r="M126" s="32">
        <v>0</v>
      </c>
      <c r="N126" s="32">
        <v>0</v>
      </c>
      <c r="O126" s="32">
        <v>0</v>
      </c>
    </row>
    <row r="127" spans="2:16" x14ac:dyDescent="0.6">
      <c r="B127" s="62" t="s">
        <v>154</v>
      </c>
      <c r="C127" s="151">
        <v>-0.69499999999999995</v>
      </c>
      <c r="D127" s="151">
        <v>-3.774</v>
      </c>
      <c r="E127" s="151">
        <v>-1.4999999999999999E-2</v>
      </c>
      <c r="F127" s="151">
        <v>-4.6070000000000002</v>
      </c>
      <c r="G127" s="32">
        <v>0</v>
      </c>
      <c r="H127" s="32">
        <v>0</v>
      </c>
      <c r="I127" s="32">
        <v>0</v>
      </c>
      <c r="J127" s="32">
        <v>0</v>
      </c>
      <c r="K127" s="32">
        <v>0</v>
      </c>
      <c r="L127" s="32">
        <v>0</v>
      </c>
      <c r="M127" s="32">
        <v>0</v>
      </c>
      <c r="N127" s="32">
        <v>0</v>
      </c>
      <c r="O127" s="32">
        <v>0</v>
      </c>
    </row>
    <row r="128" spans="2:16" x14ac:dyDescent="0.6">
      <c r="B128" s="62" t="s">
        <v>155</v>
      </c>
      <c r="C128" s="151">
        <v>0</v>
      </c>
      <c r="D128" s="151">
        <v>0</v>
      </c>
      <c r="E128" s="151">
        <v>-2.6459999999999999</v>
      </c>
      <c r="F128" s="151">
        <v>0</v>
      </c>
      <c r="G128" s="32">
        <v>0</v>
      </c>
      <c r="H128" s="32">
        <v>0</v>
      </c>
      <c r="I128" s="32">
        <v>0</v>
      </c>
      <c r="J128" s="32">
        <v>0</v>
      </c>
      <c r="K128" s="32">
        <v>0</v>
      </c>
      <c r="L128" s="32">
        <v>0</v>
      </c>
      <c r="M128" s="32">
        <v>0</v>
      </c>
      <c r="N128" s="32">
        <v>0</v>
      </c>
      <c r="O128" s="32">
        <v>0</v>
      </c>
    </row>
    <row r="129" spans="2:50" s="54" customFormat="1" ht="15.9" thickBot="1" x14ac:dyDescent="0.65">
      <c r="B129" s="52" t="s">
        <v>32</v>
      </c>
      <c r="C129" s="54">
        <f t="shared" ref="C129:O129" si="56">C83+C109+C114</f>
        <v>241.56900000000013</v>
      </c>
      <c r="D129" s="54">
        <f t="shared" si="56"/>
        <v>882.6819999999999</v>
      </c>
      <c r="E129" s="54">
        <f t="shared" si="56"/>
        <v>1198.3429999999996</v>
      </c>
      <c r="F129" s="54">
        <f t="shared" si="56"/>
        <v>256.40216999999984</v>
      </c>
      <c r="G129" s="54">
        <f t="shared" si="56"/>
        <v>4008.3045611132093</v>
      </c>
      <c r="H129" s="54">
        <f t="shared" ca="1" si="56"/>
        <v>-1177.4763332734046</v>
      </c>
      <c r="I129" s="54">
        <f t="shared" ca="1" si="56"/>
        <v>2806.6483603778674</v>
      </c>
      <c r="J129" s="54">
        <f t="shared" ca="1" si="56"/>
        <v>7392.4472520228501</v>
      </c>
      <c r="K129" s="54">
        <f t="shared" ca="1" si="56"/>
        <v>9054.0168268914513</v>
      </c>
      <c r="L129" s="54">
        <f t="shared" ca="1" si="56"/>
        <v>10498.0514526815</v>
      </c>
      <c r="M129" s="54">
        <f t="shared" ca="1" si="56"/>
        <v>11473.863761448141</v>
      </c>
      <c r="N129" s="54">
        <f t="shared" ca="1" si="56"/>
        <v>13377.399119988408</v>
      </c>
      <c r="O129" s="54">
        <f t="shared" ca="1" si="56"/>
        <v>14825.248944165058</v>
      </c>
      <c r="T129" s="87"/>
      <c r="U129" s="87"/>
      <c r="V129" s="87"/>
      <c r="W129" s="87"/>
      <c r="X129" s="87"/>
      <c r="Y129" s="87"/>
      <c r="Z129" s="87"/>
      <c r="AA129" s="87"/>
      <c r="AB129" s="87"/>
      <c r="AC129" s="87"/>
      <c r="AD129" s="87"/>
      <c r="AE129" s="87"/>
      <c r="AF129" s="87"/>
      <c r="AG129" s="87"/>
      <c r="AH129" s="87"/>
      <c r="AI129" s="87"/>
      <c r="AJ129" s="87"/>
      <c r="AK129" s="87"/>
      <c r="AL129" s="87"/>
      <c r="AM129" s="87"/>
      <c r="AN129" s="87"/>
      <c r="AO129" s="87"/>
      <c r="AP129" s="87"/>
      <c r="AQ129" s="87"/>
      <c r="AR129" s="87"/>
      <c r="AS129" s="87"/>
      <c r="AT129" s="87"/>
      <c r="AU129" s="87"/>
      <c r="AV129" s="87"/>
      <c r="AW129" s="87"/>
      <c r="AX129" s="87"/>
    </row>
    <row r="130" spans="2:50" x14ac:dyDescent="0.6">
      <c r="B130" s="63" t="s">
        <v>34</v>
      </c>
      <c r="C130" s="151">
        <v>201.95699999999999</v>
      </c>
      <c r="D130" s="97">
        <f>C132</f>
        <v>379.2</v>
      </c>
      <c r="E130" s="97">
        <f t="shared" ref="E130:O130" si="57">D132</f>
        <v>1246.5999999999999</v>
      </c>
      <c r="F130" s="97">
        <f>E132</f>
        <v>2343.8000000000002</v>
      </c>
      <c r="G130" s="98">
        <f t="shared" si="57"/>
        <v>2704.62817</v>
      </c>
      <c r="H130" s="98">
        <f t="shared" si="57"/>
        <v>6712.9327311132092</v>
      </c>
      <c r="I130" s="98">
        <f t="shared" ca="1" si="57"/>
        <v>5535.4563978398046</v>
      </c>
      <c r="J130" s="98">
        <f t="shared" ca="1" si="57"/>
        <v>8342.1047582176725</v>
      </c>
      <c r="K130" s="98">
        <f t="shared" ca="1" si="57"/>
        <v>15734.552010240523</v>
      </c>
      <c r="L130" s="98">
        <f t="shared" ca="1" si="57"/>
        <v>24788.568837131974</v>
      </c>
      <c r="M130" s="98">
        <f t="shared" ca="1" si="57"/>
        <v>35286.620289813472</v>
      </c>
      <c r="N130" s="98">
        <f t="shared" ca="1" si="57"/>
        <v>46760.484051261614</v>
      </c>
      <c r="O130" s="98">
        <f t="shared" ca="1" si="57"/>
        <v>60137.883171250025</v>
      </c>
    </row>
    <row r="131" spans="2:50" x14ac:dyDescent="0.6">
      <c r="B131" s="63" t="s">
        <v>33</v>
      </c>
      <c r="C131" s="151">
        <v>-64.335999999999999</v>
      </c>
      <c r="D131" s="151">
        <v>-15.292</v>
      </c>
      <c r="E131" s="151">
        <v>-101.13800000000001</v>
      </c>
      <c r="F131" s="151">
        <v>104.426</v>
      </c>
      <c r="G131" s="32">
        <v>0</v>
      </c>
      <c r="H131" s="32">
        <v>0</v>
      </c>
      <c r="I131" s="32">
        <v>0</v>
      </c>
      <c r="J131" s="32">
        <v>0</v>
      </c>
      <c r="K131" s="32">
        <v>0</v>
      </c>
      <c r="L131" s="32">
        <v>0</v>
      </c>
      <c r="M131" s="32">
        <v>0</v>
      </c>
      <c r="N131" s="32">
        <v>0</v>
      </c>
      <c r="O131" s="32">
        <v>0</v>
      </c>
    </row>
    <row r="132" spans="2:50" x14ac:dyDescent="0.6">
      <c r="B132" s="63" t="s">
        <v>35</v>
      </c>
      <c r="C132" s="97">
        <f>C145</f>
        <v>379.2</v>
      </c>
      <c r="D132" s="97">
        <f>D145</f>
        <v>1246.5999999999999</v>
      </c>
      <c r="E132" s="97">
        <f>E145</f>
        <v>2343.8000000000002</v>
      </c>
      <c r="F132" s="97">
        <f>F130+F131+F129</f>
        <v>2704.62817</v>
      </c>
      <c r="G132" s="98">
        <f t="shared" ref="G132:O132" si="58">G130+G131+G129</f>
        <v>6712.9327311132092</v>
      </c>
      <c r="H132" s="98">
        <f t="shared" ca="1" si="58"/>
        <v>5535.4563978398046</v>
      </c>
      <c r="I132" s="98">
        <f t="shared" ca="1" si="58"/>
        <v>8342.1047582176725</v>
      </c>
      <c r="J132" s="98">
        <f t="shared" ca="1" si="58"/>
        <v>15734.552010240523</v>
      </c>
      <c r="K132" s="98">
        <f t="shared" ca="1" si="58"/>
        <v>24788.568837131974</v>
      </c>
      <c r="L132" s="98">
        <f t="shared" ca="1" si="58"/>
        <v>35286.620289813472</v>
      </c>
      <c r="M132" s="98">
        <f t="shared" ca="1" si="58"/>
        <v>46760.484051261614</v>
      </c>
      <c r="N132" s="98">
        <f t="shared" ca="1" si="58"/>
        <v>60137.883171250025</v>
      </c>
      <c r="O132" s="98">
        <f t="shared" ca="1" si="58"/>
        <v>74963.132115415079</v>
      </c>
    </row>
    <row r="133" spans="2:50" x14ac:dyDescent="0.6">
      <c r="B133" s="43"/>
      <c r="F133" s="345"/>
      <c r="G133" s="345"/>
    </row>
    <row r="134" spans="2:50" x14ac:dyDescent="0.6">
      <c r="B134" s="1007" t="s">
        <v>1288</v>
      </c>
      <c r="F134" s="43">
        <f>-(F110+F111)</f>
        <v>28.497999999999998</v>
      </c>
      <c r="G134" s="43">
        <f>-(G110+G111)</f>
        <v>114</v>
      </c>
      <c r="H134" s="43">
        <f t="shared" ref="H134:O134" si="59">H135*H4</f>
        <v>154.65614473884901</v>
      </c>
      <c r="I134" s="43">
        <f t="shared" si="59"/>
        <v>200.46602020045373</v>
      </c>
      <c r="J134" s="43">
        <f t="shared" si="59"/>
        <v>251.05510095808424</v>
      </c>
      <c r="K134" s="43">
        <f t="shared" si="59"/>
        <v>296.55168122302456</v>
      </c>
      <c r="L134" s="43">
        <f t="shared" si="59"/>
        <v>338.57568427826226</v>
      </c>
      <c r="M134" s="43">
        <f t="shared" si="59"/>
        <v>374.48832691376833</v>
      </c>
      <c r="N134" s="43">
        <f t="shared" si="59"/>
        <v>419.45917662997584</v>
      </c>
      <c r="O134" s="43">
        <f t="shared" si="59"/>
        <v>463.18262774915735</v>
      </c>
    </row>
    <row r="135" spans="2:50" x14ac:dyDescent="0.6">
      <c r="B135" s="1007" t="s">
        <v>1260</v>
      </c>
      <c r="F135" s="345">
        <f>F134/F4</f>
        <v>1.6793598151683551E-2</v>
      </c>
      <c r="G135" s="345">
        <f>G134/G4</f>
        <v>2.3798732863607581E-2</v>
      </c>
      <c r="H135" s="345">
        <v>0.02</v>
      </c>
      <c r="I135" s="345">
        <v>0.02</v>
      </c>
      <c r="J135" s="345">
        <v>0.02</v>
      </c>
      <c r="K135" s="345">
        <v>0.02</v>
      </c>
      <c r="L135" s="345">
        <v>0.02</v>
      </c>
      <c r="M135" s="345">
        <v>0.02</v>
      </c>
      <c r="N135" s="345">
        <v>0.02</v>
      </c>
      <c r="O135" s="345">
        <v>0.02</v>
      </c>
    </row>
    <row r="136" spans="2:50" x14ac:dyDescent="0.6">
      <c r="B136" s="1007" t="s">
        <v>1289</v>
      </c>
      <c r="F136" s="345">
        <f>F134/-(F40-F29-F30)</f>
        <v>4.2027427401741091E-2</v>
      </c>
      <c r="G136" s="345">
        <f>G134/-(G40-G29-G30)</f>
        <v>8.5714285714285715E-2</v>
      </c>
      <c r="H136" s="345">
        <f t="shared" ref="H136:O136" si="60">H134/-(H40-H29-H30)</f>
        <v>9.5451627951464779E-2</v>
      </c>
      <c r="I136" s="345">
        <f t="shared" si="60"/>
        <v>9.5874524157389771E-2</v>
      </c>
      <c r="J136" s="345">
        <f t="shared" si="60"/>
        <v>9.7713144292155704E-2</v>
      </c>
      <c r="K136" s="345">
        <f t="shared" si="60"/>
        <v>9.9892958837600937E-2</v>
      </c>
      <c r="L136" s="345">
        <f t="shared" si="60"/>
        <v>0.10231314934505023</v>
      </c>
      <c r="M136" s="345">
        <f t="shared" si="60"/>
        <v>0.10497778354435651</v>
      </c>
      <c r="N136" s="345">
        <f t="shared" si="60"/>
        <v>0.10773501595537539</v>
      </c>
      <c r="O136" s="345">
        <f t="shared" si="60"/>
        <v>0.11070104983631894</v>
      </c>
    </row>
    <row r="137" spans="2:50" x14ac:dyDescent="0.6">
      <c r="B137" s="43"/>
    </row>
    <row r="138" spans="2:50" s="54" customFormat="1" ht="14.7" thickBot="1" x14ac:dyDescent="0.6">
      <c r="B138" s="65" t="s">
        <v>36</v>
      </c>
      <c r="C138" s="54">
        <f>(C130+C131)+C129-C132</f>
        <v>-9.9999999998772182E-3</v>
      </c>
      <c r="D138" s="54">
        <f t="shared" ref="D138:O138" si="61">(D130+D131)+D129-D132</f>
        <v>-9.9999999999909051E-3</v>
      </c>
      <c r="E138" s="54">
        <f t="shared" si="61"/>
        <v>4.9999999991996447E-3</v>
      </c>
      <c r="F138" s="54">
        <f>(F130+F131)+F129-F132</f>
        <v>0</v>
      </c>
      <c r="G138" s="54">
        <f t="shared" si="61"/>
        <v>0</v>
      </c>
      <c r="H138" s="54">
        <f t="shared" ca="1" si="61"/>
        <v>0</v>
      </c>
      <c r="I138" s="54">
        <f t="shared" ca="1" si="61"/>
        <v>0</v>
      </c>
      <c r="J138" s="54">
        <f t="shared" ca="1" si="61"/>
        <v>0</v>
      </c>
      <c r="K138" s="54">
        <f t="shared" ca="1" si="61"/>
        <v>0</v>
      </c>
      <c r="L138" s="54">
        <f t="shared" ca="1" si="61"/>
        <v>0</v>
      </c>
      <c r="M138" s="54">
        <f t="shared" ca="1" si="61"/>
        <v>0</v>
      </c>
      <c r="N138" s="54">
        <f t="shared" ca="1" si="61"/>
        <v>0</v>
      </c>
      <c r="O138" s="54">
        <f t="shared" ca="1" si="61"/>
        <v>0</v>
      </c>
    </row>
    <row r="141" spans="2:50" x14ac:dyDescent="0.6">
      <c r="B141" s="40" t="s">
        <v>37</v>
      </c>
      <c r="C141" s="1016"/>
      <c r="D141" s="1016"/>
      <c r="E141" s="1016"/>
      <c r="F141" s="1017"/>
      <c r="G141" s="1017"/>
      <c r="H141" s="1017"/>
      <c r="I141" s="1017"/>
      <c r="J141" s="1017"/>
      <c r="K141" s="1017"/>
      <c r="L141" s="1017"/>
      <c r="M141" s="1017"/>
      <c r="N141" s="1017"/>
      <c r="O141" s="1017"/>
    </row>
    <row r="142" spans="2:50" s="54" customFormat="1" ht="14.7" thickBot="1" x14ac:dyDescent="0.6">
      <c r="B142" s="52" t="s">
        <v>38</v>
      </c>
      <c r="C142" s="54">
        <f>C143+C161</f>
        <v>2785.7999999999997</v>
      </c>
      <c r="D142" s="54">
        <f>D143+D161</f>
        <v>6759.9999999999991</v>
      </c>
      <c r="E142" s="54">
        <f>E143+E161</f>
        <v>10182.02558139535</v>
      </c>
      <c r="F142" s="54">
        <f>F143+F161+F144</f>
        <v>19858.656999999996</v>
      </c>
      <c r="G142" s="54">
        <f>G143+G161+G144</f>
        <v>29913.1</v>
      </c>
      <c r="H142" s="54">
        <f t="shared" ref="H142:O142" ca="1" si="62">H143+H161+H144</f>
        <v>33174.976574438733</v>
      </c>
      <c r="I142" s="54">
        <f t="shared" ca="1" si="62"/>
        <v>39554.43333677089</v>
      </c>
      <c r="J142" s="54">
        <f t="shared" ca="1" si="62"/>
        <v>49422.201852844621</v>
      </c>
      <c r="K142" s="54">
        <f t="shared" ca="1" si="62"/>
        <v>60315.536918663063</v>
      </c>
      <c r="L142" s="54">
        <f t="shared" ca="1" si="62"/>
        <v>72012.956846606045</v>
      </c>
      <c r="M142" s="54">
        <f t="shared" ca="1" si="62"/>
        <v>84082.67515483711</v>
      </c>
      <c r="N142" s="54">
        <f t="shared" ca="1" si="62"/>
        <v>97348.207787428182</v>
      </c>
      <c r="O142" s="54">
        <f t="shared" ca="1" si="62"/>
        <v>111766.84965109407</v>
      </c>
    </row>
    <row r="143" spans="2:50" s="23" customFormat="1" ht="14.4" x14ac:dyDescent="0.55000000000000004">
      <c r="B143" s="55" t="s">
        <v>39</v>
      </c>
      <c r="C143" s="23">
        <f>C144+C145+C146+C150+C152+C159+C160</f>
        <v>2778.6</v>
      </c>
      <c r="D143" s="23">
        <f>D144+D145+D146+D150+D152+D159+D160</f>
        <v>6732.9999999999991</v>
      </c>
      <c r="E143" s="23">
        <f>E144+E145+E146+E150+E152+E159+E160</f>
        <v>10148.225581395351</v>
      </c>
      <c r="F143" s="23">
        <f>F145+F146+F150+F152+F159+F160</f>
        <v>19363.912999999997</v>
      </c>
      <c r="G143" s="23">
        <f t="shared" ref="G143:O143" si="63">G145+G146+G150+G152+G159+G160</f>
        <v>29289.1</v>
      </c>
      <c r="H143" s="23">
        <f t="shared" ca="1" si="63"/>
        <v>39983.065364652764</v>
      </c>
      <c r="I143" s="23">
        <f t="shared" ca="1" si="63"/>
        <v>52521.54900280213</v>
      </c>
      <c r="J143" s="23">
        <f t="shared" ca="1" si="63"/>
        <v>71134.634477457992</v>
      </c>
      <c r="K143" s="23">
        <f t="shared" ca="1" si="63"/>
        <v>91016.20954033747</v>
      </c>
      <c r="L143" s="23">
        <f t="shared" ca="1" si="63"/>
        <v>112117.97673202126</v>
      </c>
      <c r="M143" s="23">
        <f t="shared" ca="1" si="63"/>
        <v>133721.52610687495</v>
      </c>
      <c r="N143" s="23">
        <f t="shared" ca="1" si="63"/>
        <v>156973.0943014957</v>
      </c>
      <c r="O143" s="23">
        <f t="shared" ca="1" si="63"/>
        <v>181978.13528827036</v>
      </c>
    </row>
    <row r="144" spans="2:50" ht="14.4" x14ac:dyDescent="0.55000000000000004">
      <c r="B144" s="66" t="s">
        <v>40</v>
      </c>
      <c r="C144" s="1017">
        <v>0</v>
      </c>
      <c r="D144" s="1017">
        <v>0</v>
      </c>
      <c r="E144" s="1017">
        <v>0</v>
      </c>
      <c r="F144" s="1017">
        <v>0</v>
      </c>
      <c r="G144" s="1017">
        <v>0</v>
      </c>
      <c r="H144" s="1017">
        <f t="shared" ref="H144:O144" ca="1" si="64">-((H145+H146+H150+H152+H159+H160+H161)-H166)</f>
        <v>-7432.0887902140312</v>
      </c>
      <c r="I144" s="1017">
        <f t="shared" ca="1" si="64"/>
        <v>-13591.115666031241</v>
      </c>
      <c r="J144" s="1017">
        <f t="shared" ca="1" si="64"/>
        <v>-22336.432624613371</v>
      </c>
      <c r="K144" s="1017">
        <f t="shared" ca="1" si="64"/>
        <v>-31324.672621674406</v>
      </c>
      <c r="L144" s="1017">
        <f t="shared" ca="1" si="64"/>
        <v>-40729.019885415211</v>
      </c>
      <c r="M144" s="1017">
        <f t="shared" ca="1" si="64"/>
        <v>-50262.850952037843</v>
      </c>
      <c r="N144" s="1017">
        <f t="shared" ca="1" si="64"/>
        <v>-60248.886514067519</v>
      </c>
      <c r="O144" s="1017">
        <f t="shared" ca="1" si="64"/>
        <v>-70835.28563717629</v>
      </c>
      <c r="P144" s="166"/>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row>
    <row r="145" spans="2:17" x14ac:dyDescent="0.6">
      <c r="B145" s="66" t="s">
        <v>41</v>
      </c>
      <c r="C145" s="173">
        <v>379.2</v>
      </c>
      <c r="D145" s="173">
        <v>1246.5999999999999</v>
      </c>
      <c r="E145" s="173">
        <v>2343.8000000000002</v>
      </c>
      <c r="F145" s="173">
        <v>2705.6750000000002</v>
      </c>
      <c r="G145" s="173">
        <v>4172</v>
      </c>
      <c r="H145" s="1017">
        <f t="shared" ref="H145:O145" ca="1" si="65">H132</f>
        <v>5535.4563978398046</v>
      </c>
      <c r="I145" s="1017">
        <f t="shared" ca="1" si="65"/>
        <v>8342.1047582176725</v>
      </c>
      <c r="J145" s="1017">
        <f t="shared" ca="1" si="65"/>
        <v>15734.552010240523</v>
      </c>
      <c r="K145" s="1017">
        <f t="shared" ca="1" si="65"/>
        <v>24788.568837131974</v>
      </c>
      <c r="L145" s="1017">
        <f t="shared" ca="1" si="65"/>
        <v>35286.620289813472</v>
      </c>
      <c r="M145" s="1017">
        <f t="shared" ca="1" si="65"/>
        <v>46760.484051261614</v>
      </c>
      <c r="N145" s="1017">
        <f t="shared" ca="1" si="65"/>
        <v>60137.883171250025</v>
      </c>
      <c r="O145" s="1017">
        <f t="shared" ca="1" si="65"/>
        <v>74963.132115415079</v>
      </c>
    </row>
    <row r="146" spans="2:17" s="23" customFormat="1" ht="14.4" x14ac:dyDescent="0.55000000000000004">
      <c r="B146" s="57" t="s">
        <v>100</v>
      </c>
      <c r="C146" s="23">
        <f>C147+C148+C149</f>
        <v>655.5</v>
      </c>
      <c r="D146" s="23">
        <f t="shared" ref="D146:O146" si="66">D147+D148+D149</f>
        <v>2400.6999999999998</v>
      </c>
      <c r="E146" s="23">
        <f t="shared" si="66"/>
        <v>4378.2000000000007</v>
      </c>
      <c r="F146" s="23">
        <f>F147+F148+F149</f>
        <v>918.33199999999999</v>
      </c>
      <c r="G146" s="23">
        <f t="shared" si="66"/>
        <v>133.10000000000002</v>
      </c>
      <c r="H146" s="23">
        <f t="shared" si="66"/>
        <v>133.10000000000002</v>
      </c>
      <c r="I146" s="23">
        <f t="shared" si="66"/>
        <v>133.10000000000002</v>
      </c>
      <c r="J146" s="23">
        <f t="shared" si="66"/>
        <v>133.10000000000002</v>
      </c>
      <c r="K146" s="23">
        <f t="shared" si="66"/>
        <v>133.10000000000002</v>
      </c>
      <c r="L146" s="23">
        <f t="shared" si="66"/>
        <v>133.10000000000002</v>
      </c>
      <c r="M146" s="23">
        <f t="shared" si="66"/>
        <v>133.10000000000002</v>
      </c>
      <c r="N146" s="23">
        <f t="shared" si="66"/>
        <v>133.10000000000002</v>
      </c>
      <c r="O146" s="23">
        <f t="shared" si="66"/>
        <v>133.10000000000002</v>
      </c>
    </row>
    <row r="147" spans="2:17" s="23" customFormat="1" ht="14.4" x14ac:dyDescent="0.55000000000000004">
      <c r="B147" s="58" t="s">
        <v>101</v>
      </c>
      <c r="C147" s="173">
        <v>570.20000000000005</v>
      </c>
      <c r="D147" s="173">
        <v>2237.6999999999998</v>
      </c>
      <c r="E147" s="173">
        <v>4287.3</v>
      </c>
      <c r="F147" s="173">
        <v>815.96199999999999</v>
      </c>
      <c r="G147" s="173">
        <v>91.8</v>
      </c>
      <c r="H147" s="1017">
        <f t="shared" ref="H147:O147" si="67">G147</f>
        <v>91.8</v>
      </c>
      <c r="I147" s="1017">
        <f t="shared" si="67"/>
        <v>91.8</v>
      </c>
      <c r="J147" s="1017">
        <f t="shared" si="67"/>
        <v>91.8</v>
      </c>
      <c r="K147" s="1017">
        <f t="shared" si="67"/>
        <v>91.8</v>
      </c>
      <c r="L147" s="1017">
        <f t="shared" si="67"/>
        <v>91.8</v>
      </c>
      <c r="M147" s="1017">
        <f t="shared" si="67"/>
        <v>91.8</v>
      </c>
      <c r="N147" s="1017">
        <f t="shared" si="67"/>
        <v>91.8</v>
      </c>
      <c r="O147" s="1017">
        <f t="shared" si="67"/>
        <v>91.8</v>
      </c>
      <c r="P147" s="124"/>
      <c r="Q147" s="166"/>
    </row>
    <row r="148" spans="2:17" s="23" customFormat="1" ht="14.4" x14ac:dyDescent="0.55000000000000004">
      <c r="B148" s="58" t="s">
        <v>42</v>
      </c>
      <c r="C148" s="173">
        <v>0</v>
      </c>
      <c r="D148" s="173">
        <v>0.2</v>
      </c>
      <c r="E148" s="173">
        <v>0.1</v>
      </c>
      <c r="F148" s="173">
        <v>101.318</v>
      </c>
      <c r="G148" s="173">
        <v>41</v>
      </c>
      <c r="H148" s="1017">
        <f t="shared" ref="H148:O149" si="68">G148</f>
        <v>41</v>
      </c>
      <c r="I148" s="1017">
        <f t="shared" si="68"/>
        <v>41</v>
      </c>
      <c r="J148" s="1017">
        <f t="shared" si="68"/>
        <v>41</v>
      </c>
      <c r="K148" s="1017">
        <f t="shared" si="68"/>
        <v>41</v>
      </c>
      <c r="L148" s="1017">
        <f t="shared" si="68"/>
        <v>41</v>
      </c>
      <c r="M148" s="1017">
        <f t="shared" si="68"/>
        <v>41</v>
      </c>
      <c r="N148" s="1017">
        <f t="shared" si="68"/>
        <v>41</v>
      </c>
      <c r="O148" s="1017">
        <f t="shared" si="68"/>
        <v>41</v>
      </c>
    </row>
    <row r="149" spans="2:17" s="23" customFormat="1" ht="14.4" x14ac:dyDescent="0.55000000000000004">
      <c r="B149" s="58" t="s">
        <v>102</v>
      </c>
      <c r="C149" s="173">
        <v>85.3</v>
      </c>
      <c r="D149" s="173">
        <v>162.80000000000001</v>
      </c>
      <c r="E149" s="173">
        <v>90.8</v>
      </c>
      <c r="F149" s="173">
        <v>1.052</v>
      </c>
      <c r="G149" s="173">
        <v>0.3</v>
      </c>
      <c r="H149" s="1017">
        <f t="shared" si="68"/>
        <v>0.3</v>
      </c>
      <c r="I149" s="1017">
        <f t="shared" si="68"/>
        <v>0.3</v>
      </c>
      <c r="J149" s="1017">
        <f t="shared" si="68"/>
        <v>0.3</v>
      </c>
      <c r="K149" s="1017">
        <f t="shared" si="68"/>
        <v>0.3</v>
      </c>
      <c r="L149" s="1017">
        <f t="shared" si="68"/>
        <v>0.3</v>
      </c>
      <c r="M149" s="1017">
        <f t="shared" si="68"/>
        <v>0.3</v>
      </c>
      <c r="N149" s="1017">
        <f t="shared" si="68"/>
        <v>0.3</v>
      </c>
      <c r="O149" s="1017">
        <f t="shared" si="68"/>
        <v>0.3</v>
      </c>
    </row>
    <row r="150" spans="2:17" x14ac:dyDescent="0.6">
      <c r="B150" s="57" t="s">
        <v>103</v>
      </c>
      <c r="C150" s="23">
        <f>C151</f>
        <v>0</v>
      </c>
      <c r="D150" s="23">
        <f t="shared" ref="D150:O150" si="69">D151</f>
        <v>0</v>
      </c>
      <c r="E150" s="23">
        <f t="shared" si="69"/>
        <v>0</v>
      </c>
      <c r="F150" s="23">
        <f>F151</f>
        <v>8163.4279999999999</v>
      </c>
      <c r="G150" s="23">
        <f t="shared" si="69"/>
        <v>9947</v>
      </c>
      <c r="H150" s="23">
        <f t="shared" si="69"/>
        <v>12706.833777777778</v>
      </c>
      <c r="I150" s="23">
        <f t="shared" si="69"/>
        <v>15287.072303749386</v>
      </c>
      <c r="J150" s="23">
        <f t="shared" si="69"/>
        <v>18816.273083754699</v>
      </c>
      <c r="K150" s="23">
        <f t="shared" si="69"/>
        <v>22784.382286498134</v>
      </c>
      <c r="L150" s="23">
        <f t="shared" si="69"/>
        <v>26898.924582191754</v>
      </c>
      <c r="M150" s="23">
        <f t="shared" si="69"/>
        <v>30977.370741112813</v>
      </c>
      <c r="N150" s="23">
        <f t="shared" si="69"/>
        <v>35324.806145855793</v>
      </c>
      <c r="O150" s="23">
        <f t="shared" si="69"/>
        <v>39926.473109981824</v>
      </c>
    </row>
    <row r="151" spans="2:17" x14ac:dyDescent="0.6">
      <c r="B151" s="58" t="s">
        <v>101</v>
      </c>
      <c r="C151" s="173">
        <v>0</v>
      </c>
      <c r="D151" s="173">
        <v>0</v>
      </c>
      <c r="E151" s="173">
        <v>0</v>
      </c>
      <c r="F151" s="173">
        <v>8163.4279999999999</v>
      </c>
      <c r="G151" s="173">
        <v>9947</v>
      </c>
      <c r="H151" s="1017">
        <f>'BS Estimates'!H7</f>
        <v>12706.833777777778</v>
      </c>
      <c r="I151" s="1017">
        <f>'BS Estimates'!I7</f>
        <v>15287.072303749386</v>
      </c>
      <c r="J151" s="1017">
        <f>'BS Estimates'!J7</f>
        <v>18816.273083754699</v>
      </c>
      <c r="K151" s="1017">
        <f>'BS Estimates'!K7</f>
        <v>22784.382286498134</v>
      </c>
      <c r="L151" s="1017">
        <f>'BS Estimates'!L7</f>
        <v>26898.924582191754</v>
      </c>
      <c r="M151" s="1017">
        <f>'BS Estimates'!M7</f>
        <v>30977.370741112813</v>
      </c>
      <c r="N151" s="1017">
        <f>'BS Estimates'!N7</f>
        <v>35324.806145855793</v>
      </c>
      <c r="O151" s="1017">
        <f>'BS Estimates'!O7</f>
        <v>39926.473109981824</v>
      </c>
      <c r="P151" s="124"/>
      <c r="Q151" s="166"/>
    </row>
    <row r="152" spans="2:17" s="23" customFormat="1" ht="14.4" x14ac:dyDescent="0.55000000000000004">
      <c r="B152" s="57" t="s">
        <v>104</v>
      </c>
      <c r="C152" s="23">
        <f>C153+C154+C155+C157+C158</f>
        <v>1652.7</v>
      </c>
      <c r="D152" s="23">
        <f>D153+D154+D155+D157+D158</f>
        <v>2923.6</v>
      </c>
      <c r="E152" s="23">
        <f>E153+E154+E155+E157+E158</f>
        <v>3177.6255813953489</v>
      </c>
      <c r="F152" s="23">
        <f>F153+F154+F155+F157+F158</f>
        <v>6932.4619999999995</v>
      </c>
      <c r="G152" s="23">
        <f>G153+G154+G155+G157+G158</f>
        <v>13684</v>
      </c>
      <c r="H152" s="23">
        <f>H153+H154+H155+H156+H157+H158</f>
        <v>20254.675189035177</v>
      </c>
      <c r="I152" s="23">
        <f t="shared" ref="I152:O152" si="70">I153+I154+I155+I156+I157+I158</f>
        <v>27406.271940835075</v>
      </c>
      <c r="J152" s="23">
        <f t="shared" si="70"/>
        <v>35097.709383462774</v>
      </c>
      <c r="K152" s="23">
        <f t="shared" si="70"/>
        <v>41957.158416707352</v>
      </c>
      <c r="L152" s="23">
        <f t="shared" si="70"/>
        <v>48446.33186001602</v>
      </c>
      <c r="M152" s="23">
        <f t="shared" si="70"/>
        <v>54497.571314500536</v>
      </c>
      <c r="N152" s="23">
        <f t="shared" si="70"/>
        <v>60024.304984389877</v>
      </c>
      <c r="O152" s="23">
        <f t="shared" si="70"/>
        <v>65602.430062873464</v>
      </c>
    </row>
    <row r="153" spans="2:17" x14ac:dyDescent="0.6">
      <c r="B153" s="58" t="s">
        <v>105</v>
      </c>
      <c r="C153" s="173">
        <v>0</v>
      </c>
      <c r="D153" s="173">
        <v>0</v>
      </c>
      <c r="E153" s="173">
        <v>43.5</v>
      </c>
      <c r="F153" s="173">
        <v>938.65899999999999</v>
      </c>
      <c r="G153" s="173">
        <v>2778</v>
      </c>
      <c r="H153" s="1017">
        <f>'BS Estimates'!H11</f>
        <v>3665.265359477125</v>
      </c>
      <c r="I153" s="1017">
        <f>'BS Estimates'!I11</f>
        <v>4404.0252351803401</v>
      </c>
      <c r="J153" s="1017">
        <f>'BS Estimates'!J11</f>
        <v>5511.0921291614532</v>
      </c>
      <c r="K153" s="1017">
        <f>'BS Estimates'!K11</f>
        <v>6673.3103483354225</v>
      </c>
      <c r="L153" s="1017">
        <f>'BS Estimates'!L11</f>
        <v>7878.4173086758483</v>
      </c>
      <c r="M153" s="1017">
        <f>'BS Estimates'!M11</f>
        <v>9072.9520832080161</v>
      </c>
      <c r="N153" s="1017">
        <f>'BS Estimates'!N11</f>
        <v>10346.271030826942</v>
      </c>
      <c r="O153" s="1017">
        <f>'BS Estimates'!O11</f>
        <v>11694.051777531366</v>
      </c>
      <c r="P153" s="124"/>
      <c r="Q153" s="166"/>
    </row>
    <row r="154" spans="2:17" s="23" customFormat="1" ht="14.4" x14ac:dyDescent="0.55000000000000004">
      <c r="B154" s="58" t="s">
        <v>106</v>
      </c>
      <c r="C154" s="173">
        <v>1623.8</v>
      </c>
      <c r="D154" s="173">
        <v>2786.5</v>
      </c>
      <c r="E154" s="97">
        <f>Drivers!E37</f>
        <v>2908.9</v>
      </c>
      <c r="F154" s="97">
        <f>Drivers!F37</f>
        <v>4780.5</v>
      </c>
      <c r="G154" s="97">
        <f>Drivers!G37</f>
        <v>8233</v>
      </c>
      <c r="H154" s="1017">
        <f>Drivers!H37</f>
        <v>12218.016153236456</v>
      </c>
      <c r="I154" s="1017">
        <f>Drivers!I37</f>
        <v>16387.137596849418</v>
      </c>
      <c r="J154" s="1017">
        <f>Drivers!J37</f>
        <v>19903.781491858783</v>
      </c>
      <c r="K154" s="1017">
        <f>Drivers!K37</f>
        <v>22911.326359461033</v>
      </c>
      <c r="L154" s="1017">
        <f>Drivers!L37</f>
        <v>25701.276827598027</v>
      </c>
      <c r="M154" s="1017">
        <f>Drivers!M37</f>
        <v>28220.553063946394</v>
      </c>
      <c r="N154" s="1017">
        <f>Drivers!N37</f>
        <v>30665.84751852004</v>
      </c>
      <c r="O154" s="1017">
        <f>Drivers!O37</f>
        <v>33010.26982695995</v>
      </c>
      <c r="P154" s="124"/>
    </row>
    <row r="155" spans="2:17" s="23" customFormat="1" ht="14.4" x14ac:dyDescent="0.55000000000000004">
      <c r="B155" s="58" t="s">
        <v>107</v>
      </c>
      <c r="C155" s="173">
        <v>0</v>
      </c>
      <c r="D155" s="173">
        <v>58</v>
      </c>
      <c r="E155" s="1017">
        <f>Drivers!E35</f>
        <v>202.32558139534882</v>
      </c>
      <c r="F155" s="1017">
        <f>Drivers!F35</f>
        <v>1194.81</v>
      </c>
      <c r="G155" s="1017">
        <f>Drivers!G35</f>
        <v>1673</v>
      </c>
      <c r="H155" s="1017">
        <f>Drivers!H35</f>
        <v>3073.7838046249276</v>
      </c>
      <c r="I155" s="1017">
        <f>Drivers!I35</f>
        <v>4345.3200144218608</v>
      </c>
      <c r="J155" s="1017">
        <f>Drivers!J35</f>
        <v>6029.4757547159606</v>
      </c>
      <c r="K155" s="1017">
        <f>Drivers!K35</f>
        <v>7933.6431269120003</v>
      </c>
      <c r="L155" s="1017">
        <f>Drivers!L35</f>
        <v>9737.6918370352851</v>
      </c>
      <c r="M155" s="1017">
        <f>Drivers!M35</f>
        <v>11546.22763565226</v>
      </c>
      <c r="N155" s="1017">
        <f>Drivers!N35</f>
        <v>13005.924106116374</v>
      </c>
      <c r="O155" s="1017">
        <f>Drivers!O35</f>
        <v>14520.224548828932</v>
      </c>
      <c r="P155" s="124"/>
    </row>
    <row r="156" spans="2:17" s="23" customFormat="1" ht="14.4" x14ac:dyDescent="0.55000000000000004">
      <c r="B156" s="58" t="s">
        <v>420</v>
      </c>
      <c r="C156" s="173"/>
      <c r="D156" s="173"/>
      <c r="E156" s="1017"/>
      <c r="F156" s="1017"/>
      <c r="G156" s="1017"/>
      <c r="H156" s="1017">
        <f>Drivers!H39</f>
        <v>297.60987169666799</v>
      </c>
      <c r="I156" s="1017">
        <f>Drivers!I39</f>
        <v>1269.7890943834561</v>
      </c>
      <c r="J156" s="1017">
        <f>Drivers!J39</f>
        <v>2653.3600077265728</v>
      </c>
      <c r="K156" s="1017">
        <f>Drivers!K39</f>
        <v>3438.8785819989016</v>
      </c>
      <c r="L156" s="1017">
        <f>Drivers!L39</f>
        <v>4128.9458867068606</v>
      </c>
      <c r="M156" s="1017">
        <f>Drivers!M39</f>
        <v>4657.8385316938584</v>
      </c>
      <c r="N156" s="1017">
        <f>Drivers!N39</f>
        <v>5006.2623289265202</v>
      </c>
      <c r="O156" s="1017">
        <f>Drivers!O39</f>
        <v>5377.8839095532148</v>
      </c>
      <c r="P156" s="124"/>
    </row>
    <row r="157" spans="2:17" x14ac:dyDescent="0.6">
      <c r="B157" s="58" t="s">
        <v>108</v>
      </c>
      <c r="C157" s="173">
        <v>0</v>
      </c>
      <c r="D157" s="173">
        <v>0.1</v>
      </c>
      <c r="E157" s="173">
        <v>0</v>
      </c>
      <c r="F157" s="173">
        <f t="shared" ref="F157:O157" si="71">E157</f>
        <v>0</v>
      </c>
      <c r="G157" s="173">
        <v>0</v>
      </c>
      <c r="H157" s="1017">
        <f t="shared" si="71"/>
        <v>0</v>
      </c>
      <c r="I157" s="1017">
        <f t="shared" si="71"/>
        <v>0</v>
      </c>
      <c r="J157" s="1017">
        <f t="shared" si="71"/>
        <v>0</v>
      </c>
      <c r="K157" s="1017">
        <f t="shared" si="71"/>
        <v>0</v>
      </c>
      <c r="L157" s="1017">
        <f t="shared" si="71"/>
        <v>0</v>
      </c>
      <c r="M157" s="1017">
        <f t="shared" si="71"/>
        <v>0</v>
      </c>
      <c r="N157" s="1017">
        <f t="shared" si="71"/>
        <v>0</v>
      </c>
      <c r="O157" s="1017">
        <f t="shared" si="71"/>
        <v>0</v>
      </c>
      <c r="P157" s="124"/>
      <c r="Q157" s="166"/>
    </row>
    <row r="158" spans="2:17" x14ac:dyDescent="0.6">
      <c r="B158" s="58" t="s">
        <v>109</v>
      </c>
      <c r="C158" s="173">
        <v>28.9</v>
      </c>
      <c r="D158" s="173">
        <v>79</v>
      </c>
      <c r="E158" s="173">
        <v>22.9</v>
      </c>
      <c r="F158" s="173">
        <v>18.492999999999999</v>
      </c>
      <c r="G158" s="173">
        <f>478+522</f>
        <v>1000</v>
      </c>
      <c r="H158" s="1017">
        <f t="shared" ref="H158:O158" si="72">G158</f>
        <v>1000</v>
      </c>
      <c r="I158" s="1017">
        <f t="shared" si="72"/>
        <v>1000</v>
      </c>
      <c r="J158" s="1017">
        <f t="shared" si="72"/>
        <v>1000</v>
      </c>
      <c r="K158" s="1017">
        <f t="shared" si="72"/>
        <v>1000</v>
      </c>
      <c r="L158" s="1017">
        <f t="shared" si="72"/>
        <v>1000</v>
      </c>
      <c r="M158" s="1017">
        <f t="shared" si="72"/>
        <v>1000</v>
      </c>
      <c r="N158" s="1017">
        <f t="shared" si="72"/>
        <v>1000</v>
      </c>
      <c r="O158" s="1017">
        <f t="shared" si="72"/>
        <v>1000</v>
      </c>
    </row>
    <row r="159" spans="2:17" x14ac:dyDescent="0.6">
      <c r="B159" s="69" t="s">
        <v>44</v>
      </c>
      <c r="C159" s="173">
        <v>36</v>
      </c>
      <c r="D159" s="173">
        <v>67.900000000000006</v>
      </c>
      <c r="E159" s="173">
        <v>123.5</v>
      </c>
      <c r="F159" s="173">
        <v>283.26400000000001</v>
      </c>
      <c r="G159" s="173">
        <v>542</v>
      </c>
      <c r="H159" s="1017">
        <f t="shared" ref="H159:O159" si="73">G159</f>
        <v>542</v>
      </c>
      <c r="I159" s="1017">
        <f t="shared" si="73"/>
        <v>542</v>
      </c>
      <c r="J159" s="1017">
        <f t="shared" si="73"/>
        <v>542</v>
      </c>
      <c r="K159" s="1017">
        <f t="shared" si="73"/>
        <v>542</v>
      </c>
      <c r="L159" s="1017">
        <f t="shared" si="73"/>
        <v>542</v>
      </c>
      <c r="M159" s="1017">
        <f t="shared" si="73"/>
        <v>542</v>
      </c>
      <c r="N159" s="1017">
        <f t="shared" si="73"/>
        <v>542</v>
      </c>
      <c r="O159" s="1017">
        <f t="shared" si="73"/>
        <v>542</v>
      </c>
    </row>
    <row r="160" spans="2:17" x14ac:dyDescent="0.6">
      <c r="B160" s="69" t="s">
        <v>110</v>
      </c>
      <c r="C160" s="173">
        <v>55.2</v>
      </c>
      <c r="D160" s="173">
        <v>94.2</v>
      </c>
      <c r="E160" s="173">
        <v>125.1</v>
      </c>
      <c r="F160" s="173">
        <v>360.75200000000001</v>
      </c>
      <c r="G160" s="173">
        <v>811</v>
      </c>
      <c r="H160" s="1017">
        <f t="shared" ref="H160:O160" si="74">G160</f>
        <v>811</v>
      </c>
      <c r="I160" s="1017">
        <f t="shared" si="74"/>
        <v>811</v>
      </c>
      <c r="J160" s="1017">
        <f t="shared" si="74"/>
        <v>811</v>
      </c>
      <c r="K160" s="1017">
        <f t="shared" si="74"/>
        <v>811</v>
      </c>
      <c r="L160" s="1017">
        <f t="shared" si="74"/>
        <v>811</v>
      </c>
      <c r="M160" s="1017">
        <f t="shared" si="74"/>
        <v>811</v>
      </c>
      <c r="N160" s="1017">
        <f t="shared" si="74"/>
        <v>811</v>
      </c>
      <c r="O160" s="1017">
        <f t="shared" si="74"/>
        <v>811</v>
      </c>
    </row>
    <row r="161" spans="2:51" x14ac:dyDescent="0.6">
      <c r="B161" s="55" t="s">
        <v>134</v>
      </c>
      <c r="C161" s="23">
        <f>C162+C163+C164+C165</f>
        <v>7.2</v>
      </c>
      <c r="D161" s="23">
        <f t="shared" ref="D161:O161" si="75">D162+D163+D164+D165</f>
        <v>27</v>
      </c>
      <c r="E161" s="23">
        <f t="shared" si="75"/>
        <v>33.799999999999997</v>
      </c>
      <c r="F161" s="23">
        <f t="shared" si="75"/>
        <v>494.74400000000003</v>
      </c>
      <c r="G161" s="23">
        <f t="shared" si="75"/>
        <v>624</v>
      </c>
      <c r="H161" s="23">
        <f t="shared" si="75"/>
        <v>624</v>
      </c>
      <c r="I161" s="23">
        <f t="shared" si="75"/>
        <v>624</v>
      </c>
      <c r="J161" s="23">
        <f t="shared" si="75"/>
        <v>624</v>
      </c>
      <c r="K161" s="23">
        <f t="shared" si="75"/>
        <v>624</v>
      </c>
      <c r="L161" s="23">
        <f t="shared" si="75"/>
        <v>624</v>
      </c>
      <c r="M161" s="23">
        <f t="shared" si="75"/>
        <v>624</v>
      </c>
      <c r="N161" s="23">
        <f t="shared" si="75"/>
        <v>624</v>
      </c>
      <c r="O161" s="23">
        <f t="shared" si="75"/>
        <v>624</v>
      </c>
    </row>
    <row r="162" spans="2:51" x14ac:dyDescent="0.6">
      <c r="B162" s="69" t="s">
        <v>111</v>
      </c>
      <c r="C162" s="173">
        <v>0</v>
      </c>
      <c r="D162" s="173">
        <v>17.2</v>
      </c>
      <c r="E162" s="173">
        <v>10.7</v>
      </c>
      <c r="F162" s="173">
        <v>6.4260000000000002</v>
      </c>
      <c r="G162" s="173">
        <v>18</v>
      </c>
      <c r="H162" s="1017">
        <f t="shared" ref="H162:O162" si="76">G162</f>
        <v>18</v>
      </c>
      <c r="I162" s="1017">
        <f t="shared" si="76"/>
        <v>18</v>
      </c>
      <c r="J162" s="1017">
        <f t="shared" si="76"/>
        <v>18</v>
      </c>
      <c r="K162" s="1017">
        <f t="shared" si="76"/>
        <v>18</v>
      </c>
      <c r="L162" s="1017">
        <f t="shared" si="76"/>
        <v>18</v>
      </c>
      <c r="M162" s="1017">
        <f t="shared" si="76"/>
        <v>18</v>
      </c>
      <c r="N162" s="1017">
        <f t="shared" si="76"/>
        <v>18</v>
      </c>
      <c r="O162" s="1017">
        <f t="shared" si="76"/>
        <v>18</v>
      </c>
    </row>
    <row r="163" spans="2:51" x14ac:dyDescent="0.6">
      <c r="B163" s="69" t="s">
        <v>112</v>
      </c>
      <c r="C163" s="173">
        <v>6.7</v>
      </c>
      <c r="D163" s="173">
        <v>8.6999999999999993</v>
      </c>
      <c r="E163" s="173">
        <v>9.9</v>
      </c>
      <c r="F163" s="173">
        <v>14.109</v>
      </c>
      <c r="G163" s="173">
        <v>27</v>
      </c>
      <c r="H163" s="1017">
        <f t="shared" ref="H163:O165" si="77">G163</f>
        <v>27</v>
      </c>
      <c r="I163" s="1017">
        <f t="shared" si="77"/>
        <v>27</v>
      </c>
      <c r="J163" s="1017">
        <f t="shared" si="77"/>
        <v>27</v>
      </c>
      <c r="K163" s="1017">
        <f t="shared" si="77"/>
        <v>27</v>
      </c>
      <c r="L163" s="1017">
        <f t="shared" si="77"/>
        <v>27</v>
      </c>
      <c r="M163" s="1017">
        <f t="shared" si="77"/>
        <v>27</v>
      </c>
      <c r="N163" s="1017">
        <f t="shared" si="77"/>
        <v>27</v>
      </c>
      <c r="O163" s="1017">
        <f t="shared" si="77"/>
        <v>27</v>
      </c>
    </row>
    <row r="164" spans="2:51" s="23" customFormat="1" ht="14.4" x14ac:dyDescent="0.55000000000000004">
      <c r="B164" s="69" t="s">
        <v>43</v>
      </c>
      <c r="C164" s="173">
        <v>0.5</v>
      </c>
      <c r="D164" s="173">
        <v>1.1000000000000001</v>
      </c>
      <c r="E164" s="173">
        <v>12.4</v>
      </c>
      <c r="F164" s="173">
        <v>72.337000000000003</v>
      </c>
      <c r="G164" s="173">
        <v>182</v>
      </c>
      <c r="H164" s="1017">
        <f t="shared" si="77"/>
        <v>182</v>
      </c>
      <c r="I164" s="1017">
        <f t="shared" si="77"/>
        <v>182</v>
      </c>
      <c r="J164" s="1017">
        <f t="shared" si="77"/>
        <v>182</v>
      </c>
      <c r="K164" s="1017">
        <f t="shared" si="77"/>
        <v>182</v>
      </c>
      <c r="L164" s="1017">
        <f t="shared" si="77"/>
        <v>182</v>
      </c>
      <c r="M164" s="1017">
        <f t="shared" si="77"/>
        <v>182</v>
      </c>
      <c r="N164" s="1017">
        <f t="shared" si="77"/>
        <v>182</v>
      </c>
      <c r="O164" s="1017">
        <f t="shared" si="77"/>
        <v>182</v>
      </c>
    </row>
    <row r="165" spans="2:51" x14ac:dyDescent="0.6">
      <c r="B165" s="69" t="s">
        <v>113</v>
      </c>
      <c r="C165" s="173">
        <v>0</v>
      </c>
      <c r="D165" s="173">
        <v>0</v>
      </c>
      <c r="E165" s="173">
        <v>0.8</v>
      </c>
      <c r="F165" s="173">
        <v>401.87200000000001</v>
      </c>
      <c r="G165" s="173">
        <v>397</v>
      </c>
      <c r="H165" s="1017">
        <f t="shared" si="77"/>
        <v>397</v>
      </c>
      <c r="I165" s="1017">
        <f t="shared" si="77"/>
        <v>397</v>
      </c>
      <c r="J165" s="1017">
        <f t="shared" si="77"/>
        <v>397</v>
      </c>
      <c r="K165" s="1017">
        <f t="shared" si="77"/>
        <v>397</v>
      </c>
      <c r="L165" s="1017">
        <f t="shared" si="77"/>
        <v>397</v>
      </c>
      <c r="M165" s="1017">
        <f t="shared" si="77"/>
        <v>397</v>
      </c>
      <c r="N165" s="1017">
        <f t="shared" si="77"/>
        <v>397</v>
      </c>
      <c r="O165" s="1017">
        <f t="shared" si="77"/>
        <v>397</v>
      </c>
    </row>
    <row r="166" spans="2:51" s="54" customFormat="1" ht="14.7" thickBot="1" x14ac:dyDescent="0.6">
      <c r="B166" s="52" t="s">
        <v>45</v>
      </c>
      <c r="C166" s="54">
        <f>C167+C185</f>
        <v>2785.8</v>
      </c>
      <c r="D166" s="54">
        <f t="shared" ref="D166:O166" si="78">D167+D185</f>
        <v>6760.0999999999985</v>
      </c>
      <c r="E166" s="54">
        <f t="shared" si="78"/>
        <v>10154.299999999999</v>
      </c>
      <c r="F166" s="54">
        <f>F167+F185</f>
        <v>19858.680999999997</v>
      </c>
      <c r="G166" s="54">
        <f t="shared" si="78"/>
        <v>29914.082999999999</v>
      </c>
      <c r="H166" s="54">
        <f t="shared" ca="1" si="78"/>
        <v>33174.976574438733</v>
      </c>
      <c r="I166" s="54">
        <f t="shared" ca="1" si="78"/>
        <v>39554.43333677089</v>
      </c>
      <c r="J166" s="54">
        <f t="shared" ca="1" si="78"/>
        <v>49422.201852844621</v>
      </c>
      <c r="K166" s="54">
        <f t="shared" ca="1" si="78"/>
        <v>60315.536918663063</v>
      </c>
      <c r="L166" s="54">
        <f t="shared" ca="1" si="78"/>
        <v>72012.956846606045</v>
      </c>
      <c r="M166" s="54">
        <f t="shared" ca="1" si="78"/>
        <v>84082.67515483711</v>
      </c>
      <c r="N166" s="54">
        <f t="shared" ca="1" si="78"/>
        <v>97348.207787428182</v>
      </c>
      <c r="O166" s="54">
        <f t="shared" ca="1" si="78"/>
        <v>111766.84965109407</v>
      </c>
    </row>
    <row r="167" spans="2:51" s="23" customFormat="1" ht="14.4" x14ac:dyDescent="0.55000000000000004">
      <c r="B167" s="55" t="s">
        <v>46</v>
      </c>
      <c r="C167" s="23">
        <f>C168+C172+C178+C179+C180+C181+C182+C183+C184</f>
        <v>2489.1000000000004</v>
      </c>
      <c r="D167" s="23">
        <f t="shared" ref="D167:O167" si="79">D168+D172+D178+D179+D180+D181+D182+D183+D184</f>
        <v>6147.8999999999987</v>
      </c>
      <c r="E167" s="23">
        <f t="shared" si="79"/>
        <v>9716.1999999999989</v>
      </c>
      <c r="F167" s="23">
        <f t="shared" si="79"/>
        <v>15416.139999999998</v>
      </c>
      <c r="G167" s="23">
        <f t="shared" si="79"/>
        <v>25024</v>
      </c>
      <c r="H167" s="23">
        <f t="shared" ca="1" si="79"/>
        <v>27410.608866005845</v>
      </c>
      <c r="I167" s="23">
        <f t="shared" ca="1" si="79"/>
        <v>32317.175397838917</v>
      </c>
      <c r="J167" s="23">
        <f t="shared" ca="1" si="79"/>
        <v>39868.255466723713</v>
      </c>
      <c r="K167" s="23">
        <f t="shared" ca="1" si="79"/>
        <v>47795.511604733605</v>
      </c>
      <c r="L167" s="23">
        <f t="shared" ca="1" si="79"/>
        <v>56015.303198696813</v>
      </c>
      <c r="M167" s="23">
        <f t="shared" ca="1" si="79"/>
        <v>64162.984044903671</v>
      </c>
      <c r="N167" s="23">
        <f t="shared" ca="1" si="79"/>
        <v>72848.035850691522</v>
      </c>
      <c r="O167" s="23">
        <f t="shared" ca="1" si="79"/>
        <v>82040.976574506582</v>
      </c>
    </row>
    <row r="168" spans="2:51" s="23" customFormat="1" ht="14.4" x14ac:dyDescent="0.55000000000000004">
      <c r="B168" s="60" t="s">
        <v>114</v>
      </c>
      <c r="C168" s="23">
        <f>C169+C170</f>
        <v>0</v>
      </c>
      <c r="D168" s="23">
        <f>D169+D170</f>
        <v>24.1</v>
      </c>
      <c r="E168" s="23">
        <f>E169+E170</f>
        <v>90.8</v>
      </c>
      <c r="F168" s="23">
        <f>F169+F170+F171</f>
        <v>102.38000000000001</v>
      </c>
      <c r="G168" s="23">
        <f t="shared" ref="G168:O168" si="80">G169+G170+G171</f>
        <v>218</v>
      </c>
      <c r="H168" s="23">
        <f t="shared" si="80"/>
        <v>218</v>
      </c>
      <c r="I168" s="23">
        <f t="shared" si="80"/>
        <v>218</v>
      </c>
      <c r="J168" s="23">
        <f t="shared" si="80"/>
        <v>218</v>
      </c>
      <c r="K168" s="23">
        <f t="shared" si="80"/>
        <v>218</v>
      </c>
      <c r="L168" s="23">
        <f t="shared" si="80"/>
        <v>218</v>
      </c>
      <c r="M168" s="23">
        <f t="shared" si="80"/>
        <v>218</v>
      </c>
      <c r="N168" s="23">
        <f t="shared" si="80"/>
        <v>218</v>
      </c>
      <c r="O168" s="23">
        <f t="shared" si="80"/>
        <v>218</v>
      </c>
    </row>
    <row r="169" spans="2:51" customFormat="1" x14ac:dyDescent="0.6">
      <c r="B169" s="61" t="s">
        <v>42</v>
      </c>
      <c r="C169" s="173">
        <v>0</v>
      </c>
      <c r="D169" s="173">
        <v>2</v>
      </c>
      <c r="E169" s="173">
        <v>75.3</v>
      </c>
      <c r="F169" s="173">
        <v>87.278000000000006</v>
      </c>
      <c r="G169" s="173">
        <v>9</v>
      </c>
      <c r="H169" s="1017">
        <f t="shared" ref="H169:O169" si="81">G169</f>
        <v>9</v>
      </c>
      <c r="I169" s="1017">
        <f t="shared" si="81"/>
        <v>9</v>
      </c>
      <c r="J169" s="1017">
        <f t="shared" si="81"/>
        <v>9</v>
      </c>
      <c r="K169" s="1017">
        <f t="shared" si="81"/>
        <v>9</v>
      </c>
      <c r="L169" s="1017">
        <f t="shared" si="81"/>
        <v>9</v>
      </c>
      <c r="M169" s="1017">
        <f t="shared" si="81"/>
        <v>9</v>
      </c>
      <c r="N169" s="1017">
        <f t="shared" si="81"/>
        <v>9</v>
      </c>
      <c r="O169" s="1017">
        <f t="shared" si="81"/>
        <v>9</v>
      </c>
      <c r="P169" s="43"/>
      <c r="Q169" s="43"/>
      <c r="R169" s="43"/>
      <c r="S169" s="43"/>
      <c r="AY169" s="43"/>
    </row>
    <row r="170" spans="2:51" customFormat="1" x14ac:dyDescent="0.6">
      <c r="B170" s="61" t="s">
        <v>115</v>
      </c>
      <c r="C170" s="173">
        <v>0</v>
      </c>
      <c r="D170" s="173">
        <v>22.1</v>
      </c>
      <c r="E170" s="173">
        <v>15.5</v>
      </c>
      <c r="F170" s="173">
        <v>12.055999999999999</v>
      </c>
      <c r="G170" s="173">
        <v>12</v>
      </c>
      <c r="H170" s="1017">
        <f t="shared" ref="H170:O170" si="82">G170</f>
        <v>12</v>
      </c>
      <c r="I170" s="1017">
        <f t="shared" si="82"/>
        <v>12</v>
      </c>
      <c r="J170" s="1017">
        <f t="shared" si="82"/>
        <v>12</v>
      </c>
      <c r="K170" s="1017">
        <f t="shared" si="82"/>
        <v>12</v>
      </c>
      <c r="L170" s="1017">
        <f t="shared" si="82"/>
        <v>12</v>
      </c>
      <c r="M170" s="1017">
        <f t="shared" si="82"/>
        <v>12</v>
      </c>
      <c r="N170" s="1017">
        <f t="shared" si="82"/>
        <v>12</v>
      </c>
      <c r="O170" s="1017">
        <f t="shared" si="82"/>
        <v>12</v>
      </c>
      <c r="P170" s="43"/>
      <c r="Q170" s="43"/>
      <c r="R170" s="43"/>
      <c r="S170" s="43"/>
      <c r="AY170" s="43"/>
    </row>
    <row r="171" spans="2:51" customFormat="1" x14ac:dyDescent="0.6">
      <c r="B171" s="61" t="s">
        <v>718</v>
      </c>
      <c r="C171" s="173">
        <v>0</v>
      </c>
      <c r="D171" s="173">
        <v>0</v>
      </c>
      <c r="E171" s="173">
        <v>0</v>
      </c>
      <c r="F171" s="173">
        <v>3.0459999999999998</v>
      </c>
      <c r="G171" s="173">
        <v>197</v>
      </c>
      <c r="H171" s="1017">
        <f t="shared" ref="H171:O171" si="83">G171</f>
        <v>197</v>
      </c>
      <c r="I171" s="1017">
        <f t="shared" si="83"/>
        <v>197</v>
      </c>
      <c r="J171" s="1017">
        <f t="shared" si="83"/>
        <v>197</v>
      </c>
      <c r="K171" s="1017">
        <f t="shared" si="83"/>
        <v>197</v>
      </c>
      <c r="L171" s="1017">
        <f t="shared" si="83"/>
        <v>197</v>
      </c>
      <c r="M171" s="1017">
        <f t="shared" si="83"/>
        <v>197</v>
      </c>
      <c r="N171" s="1017">
        <f t="shared" si="83"/>
        <v>197</v>
      </c>
      <c r="O171" s="1017">
        <f t="shared" si="83"/>
        <v>197</v>
      </c>
      <c r="P171" s="43"/>
      <c r="Q171" s="43"/>
      <c r="R171" s="43"/>
      <c r="S171" s="43"/>
      <c r="AY171" s="43"/>
    </row>
    <row r="172" spans="2:51" customFormat="1" x14ac:dyDescent="0.6">
      <c r="B172" s="60" t="s">
        <v>116</v>
      </c>
      <c r="C172" s="23">
        <f>C173+C174+C175+C176+C177</f>
        <v>2420</v>
      </c>
      <c r="D172" s="23">
        <f t="shared" ref="D172:O172" si="84">D173+D174+D175+D176+D177</f>
        <v>5972.9999999999991</v>
      </c>
      <c r="E172" s="23">
        <f>E173+E174+E175+E176+E177</f>
        <v>9421.8000000000011</v>
      </c>
      <c r="F172" s="23">
        <f t="shared" si="84"/>
        <v>14706.713</v>
      </c>
      <c r="G172" s="23">
        <f t="shared" si="84"/>
        <v>23447</v>
      </c>
      <c r="H172" s="23">
        <f t="shared" ca="1" si="84"/>
        <v>25833.608866005845</v>
      </c>
      <c r="I172" s="23">
        <f t="shared" ca="1" si="84"/>
        <v>30740.175397838917</v>
      </c>
      <c r="J172" s="23">
        <f t="shared" ca="1" si="84"/>
        <v>38291.255466723713</v>
      </c>
      <c r="K172" s="23">
        <f t="shared" ca="1" si="84"/>
        <v>46218.511604733605</v>
      </c>
      <c r="L172" s="23">
        <f t="shared" ca="1" si="84"/>
        <v>54438.303198696813</v>
      </c>
      <c r="M172" s="23">
        <f t="shared" ca="1" si="84"/>
        <v>62585.984044903671</v>
      </c>
      <c r="N172" s="23">
        <f t="shared" ca="1" si="84"/>
        <v>71271.035850691522</v>
      </c>
      <c r="O172" s="23">
        <f t="shared" ca="1" si="84"/>
        <v>80463.976574506582</v>
      </c>
      <c r="P172" s="43"/>
      <c r="Q172" s="43"/>
      <c r="R172" s="43"/>
      <c r="S172" s="43"/>
      <c r="AY172" s="43"/>
    </row>
    <row r="173" spans="2:51" customFormat="1" x14ac:dyDescent="0.6">
      <c r="B173" s="61" t="s">
        <v>47</v>
      </c>
      <c r="C173" s="173">
        <v>628.70000000000005</v>
      </c>
      <c r="D173" s="173">
        <v>2693.2</v>
      </c>
      <c r="E173" s="173">
        <v>5584.9</v>
      </c>
      <c r="F173" s="173">
        <v>9667.2999999999993</v>
      </c>
      <c r="G173" s="173">
        <v>15808</v>
      </c>
      <c r="H173" s="1017">
        <f>'BS Estimates'!H3</f>
        <v>20856.916775599129</v>
      </c>
      <c r="I173" s="1017">
        <f>'BS Estimates'!I3</f>
        <v>25060.774268441615</v>
      </c>
      <c r="J173" s="1017">
        <f>'BS Estimates'!J3</f>
        <v>31360.455139591166</v>
      </c>
      <c r="K173" s="1017">
        <f>'BS Estimates'!K3</f>
        <v>37973.970477496892</v>
      </c>
      <c r="L173" s="1017">
        <f>'BS Estimates'!L3</f>
        <v>44831.540970319591</v>
      </c>
      <c r="M173" s="1017">
        <f>'BS Estimates'!M3</f>
        <v>51628.951235188026</v>
      </c>
      <c r="N173" s="1017">
        <f>'BS Estimates'!N3</f>
        <v>58874.676909759648</v>
      </c>
      <c r="O173" s="1017">
        <f>'BS Estimates'!O3</f>
        <v>66544.121849969699</v>
      </c>
      <c r="P173" s="43"/>
      <c r="Q173" s="43"/>
      <c r="R173" s="43"/>
      <c r="S173" s="43"/>
      <c r="AY173" s="43"/>
    </row>
    <row r="174" spans="2:51" customFormat="1" x14ac:dyDescent="0.6">
      <c r="B174" s="61" t="s">
        <v>117</v>
      </c>
      <c r="C174" s="173">
        <v>1675.9</v>
      </c>
      <c r="D174" s="173">
        <v>2976.5</v>
      </c>
      <c r="E174" s="173">
        <v>3331.3</v>
      </c>
      <c r="F174" s="173">
        <v>4882.1589999999997</v>
      </c>
      <c r="G174" s="173">
        <v>7054</v>
      </c>
      <c r="H174" s="1017">
        <f ca="1">'BS Estimates'!H14</f>
        <v>4391.6920904067174</v>
      </c>
      <c r="I174" s="1017">
        <f ca="1">'BS Estimates'!I14</f>
        <v>5094.4011293973026</v>
      </c>
      <c r="J174" s="1017">
        <f ca="1">'BS Estimates'!J14</f>
        <v>6345.8003271325433</v>
      </c>
      <c r="K174" s="1017">
        <f ca="1">'BS Estimates'!K14</f>
        <v>7659.5411272367091</v>
      </c>
      <c r="L174" s="1017">
        <f ca="1">'BS Estimates'!L14</f>
        <v>9021.7622283772216</v>
      </c>
      <c r="M174" s="1017">
        <f ca="1">'BS Estimates'!M14</f>
        <v>10372.032809715642</v>
      </c>
      <c r="N174" s="1017">
        <f ca="1">'BS Estimates'!N14</f>
        <v>11811.358940931868</v>
      </c>
      <c r="O174" s="1017">
        <f ca="1">'BS Estimates'!O14</f>
        <v>13334.854724536875</v>
      </c>
      <c r="P174" s="124"/>
      <c r="Q174" s="166"/>
      <c r="R174" s="43"/>
      <c r="S174" s="43"/>
      <c r="AY174" s="43"/>
    </row>
    <row r="175" spans="2:51" customFormat="1" x14ac:dyDescent="0.6">
      <c r="B175" s="61" t="s">
        <v>118</v>
      </c>
      <c r="C175" s="173">
        <v>50.7</v>
      </c>
      <c r="D175" s="173">
        <v>133.4</v>
      </c>
      <c r="E175" s="173">
        <v>97.5</v>
      </c>
      <c r="F175" s="173">
        <v>147.24299999999999</v>
      </c>
      <c r="G175" s="173">
        <v>585</v>
      </c>
      <c r="H175" s="1017">
        <f t="shared" ref="H175:O175" si="85">G175</f>
        <v>585</v>
      </c>
      <c r="I175" s="1017">
        <f t="shared" si="85"/>
        <v>585</v>
      </c>
      <c r="J175" s="1017">
        <f t="shared" si="85"/>
        <v>585</v>
      </c>
      <c r="K175" s="1017">
        <f t="shared" si="85"/>
        <v>585</v>
      </c>
      <c r="L175" s="1017">
        <f t="shared" si="85"/>
        <v>585</v>
      </c>
      <c r="M175" s="1017">
        <f t="shared" si="85"/>
        <v>585</v>
      </c>
      <c r="N175" s="1017">
        <f t="shared" si="85"/>
        <v>585</v>
      </c>
      <c r="O175" s="1017">
        <f t="shared" si="85"/>
        <v>585</v>
      </c>
      <c r="P175" s="43"/>
      <c r="Q175" s="43"/>
      <c r="R175" s="43"/>
      <c r="S175" s="43"/>
      <c r="AY175" s="43"/>
    </row>
    <row r="176" spans="2:51" ht="14.4" x14ac:dyDescent="0.55000000000000004">
      <c r="B176" s="61" t="s">
        <v>119</v>
      </c>
      <c r="C176" s="173">
        <v>64.7</v>
      </c>
      <c r="D176" s="173">
        <v>169.9</v>
      </c>
      <c r="E176" s="173">
        <v>79.7</v>
      </c>
      <c r="F176" s="173">
        <v>10.010999999999999</v>
      </c>
      <c r="G176" s="173">
        <v>0</v>
      </c>
      <c r="H176" s="1017">
        <f t="shared" ref="H176:O177" si="86">G176</f>
        <v>0</v>
      </c>
      <c r="I176" s="1017">
        <f t="shared" si="86"/>
        <v>0</v>
      </c>
      <c r="J176" s="1017">
        <f t="shared" si="86"/>
        <v>0</v>
      </c>
      <c r="K176" s="1017">
        <f t="shared" si="86"/>
        <v>0</v>
      </c>
      <c r="L176" s="1017">
        <f t="shared" si="86"/>
        <v>0</v>
      </c>
      <c r="M176" s="1017">
        <f t="shared" si="86"/>
        <v>0</v>
      </c>
      <c r="N176" s="1017">
        <f t="shared" si="86"/>
        <v>0</v>
      </c>
      <c r="O176" s="1017">
        <f t="shared" si="86"/>
        <v>0</v>
      </c>
      <c r="T176" s="43"/>
      <c r="U176" s="43"/>
      <c r="V176" s="43"/>
      <c r="W176" s="43"/>
      <c r="X176" s="43"/>
      <c r="Y176" s="43"/>
      <c r="Z176" s="43"/>
      <c r="AA176" s="43"/>
      <c r="AB176" s="43"/>
      <c r="AC176" s="43"/>
      <c r="AD176" s="43"/>
      <c r="AE176" s="43"/>
      <c r="AF176" s="43"/>
      <c r="AG176" s="43"/>
      <c r="AH176" s="43"/>
      <c r="AI176" s="43"/>
      <c r="AJ176" s="43"/>
      <c r="AK176" s="43"/>
      <c r="AL176" s="43"/>
      <c r="AM176" s="43"/>
      <c r="AN176" s="43"/>
      <c r="AO176" s="43"/>
      <c r="AP176" s="43"/>
      <c r="AQ176" s="43"/>
      <c r="AR176" s="43"/>
      <c r="AS176" s="43"/>
      <c r="AT176" s="43"/>
      <c r="AU176" s="43"/>
      <c r="AV176" s="43"/>
      <c r="AW176" s="43"/>
      <c r="AX176" s="43"/>
    </row>
    <row r="177" spans="2:51" customFormat="1" x14ac:dyDescent="0.6">
      <c r="B177" s="61" t="s">
        <v>120</v>
      </c>
      <c r="C177" s="173">
        <v>0</v>
      </c>
      <c r="D177" s="173">
        <v>0</v>
      </c>
      <c r="E177" s="173">
        <v>328.4</v>
      </c>
      <c r="F177" s="173">
        <v>0</v>
      </c>
      <c r="G177" s="173">
        <v>0</v>
      </c>
      <c r="H177" s="1017">
        <f t="shared" si="86"/>
        <v>0</v>
      </c>
      <c r="I177" s="1017">
        <f t="shared" si="86"/>
        <v>0</v>
      </c>
      <c r="J177" s="1017">
        <f t="shared" si="86"/>
        <v>0</v>
      </c>
      <c r="K177" s="1017">
        <f t="shared" si="86"/>
        <v>0</v>
      </c>
      <c r="L177" s="1017">
        <f t="shared" si="86"/>
        <v>0</v>
      </c>
      <c r="M177" s="1017">
        <f t="shared" si="86"/>
        <v>0</v>
      </c>
      <c r="N177" s="1017">
        <f t="shared" si="86"/>
        <v>0</v>
      </c>
      <c r="O177" s="1017">
        <f t="shared" si="86"/>
        <v>0</v>
      </c>
      <c r="P177" s="43"/>
      <c r="Q177" s="43"/>
      <c r="R177" s="43"/>
      <c r="S177" s="43"/>
      <c r="AY177" s="43"/>
    </row>
    <row r="178" spans="2:51" ht="14.4" x14ac:dyDescent="0.55000000000000004">
      <c r="B178" s="67" t="s">
        <v>121</v>
      </c>
      <c r="C178" s="173">
        <v>5.5</v>
      </c>
      <c r="D178" s="173">
        <v>11.2</v>
      </c>
      <c r="E178" s="173">
        <v>25.8</v>
      </c>
      <c r="F178" s="173">
        <v>97.909000000000006</v>
      </c>
      <c r="G178" s="173">
        <v>91</v>
      </c>
      <c r="H178" s="1017">
        <f t="shared" ref="H178:O178" si="87">G178</f>
        <v>91</v>
      </c>
      <c r="I178" s="1017">
        <f t="shared" si="87"/>
        <v>91</v>
      </c>
      <c r="J178" s="1017">
        <f t="shared" si="87"/>
        <v>91</v>
      </c>
      <c r="K178" s="1017">
        <f t="shared" si="87"/>
        <v>91</v>
      </c>
      <c r="L178" s="1017">
        <f t="shared" si="87"/>
        <v>91</v>
      </c>
      <c r="M178" s="1017">
        <f t="shared" si="87"/>
        <v>91</v>
      </c>
      <c r="N178" s="1017">
        <f t="shared" si="87"/>
        <v>91</v>
      </c>
      <c r="O178" s="1017">
        <f t="shared" si="87"/>
        <v>91</v>
      </c>
      <c r="T178" s="43"/>
      <c r="U178" s="43"/>
      <c r="V178" s="43"/>
      <c r="W178" s="43"/>
      <c r="X178" s="43"/>
      <c r="Y178" s="43"/>
      <c r="Z178" s="43"/>
      <c r="AA178" s="43"/>
      <c r="AB178" s="43"/>
      <c r="AC178" s="43"/>
      <c r="AD178" s="43"/>
      <c r="AE178" s="43"/>
      <c r="AF178" s="43"/>
      <c r="AG178" s="43"/>
      <c r="AH178" s="43"/>
      <c r="AI178" s="43"/>
      <c r="AJ178" s="43"/>
      <c r="AK178" s="43"/>
      <c r="AL178" s="43"/>
      <c r="AM178" s="43"/>
      <c r="AN178" s="43"/>
      <c r="AO178" s="43"/>
      <c r="AP178" s="43"/>
      <c r="AQ178" s="43"/>
      <c r="AR178" s="43"/>
      <c r="AS178" s="43"/>
      <c r="AT178" s="43"/>
      <c r="AU178" s="43"/>
      <c r="AV178" s="43"/>
      <c r="AW178" s="43"/>
      <c r="AX178" s="43"/>
    </row>
    <row r="179" spans="2:51" s="23" customFormat="1" ht="14.4" x14ac:dyDescent="0.55000000000000004">
      <c r="B179" s="67" t="s">
        <v>122</v>
      </c>
      <c r="C179" s="173">
        <v>17.100000000000001</v>
      </c>
      <c r="D179" s="173">
        <v>12.4</v>
      </c>
      <c r="E179" s="173">
        <v>30.8</v>
      </c>
      <c r="F179" s="173">
        <v>241.197</v>
      </c>
      <c r="G179" s="173">
        <v>511</v>
      </c>
      <c r="H179" s="1017">
        <f t="shared" ref="H179:O184" si="88">G179</f>
        <v>511</v>
      </c>
      <c r="I179" s="1017">
        <f t="shared" si="88"/>
        <v>511</v>
      </c>
      <c r="J179" s="1017">
        <f t="shared" si="88"/>
        <v>511</v>
      </c>
      <c r="K179" s="1017">
        <f t="shared" si="88"/>
        <v>511</v>
      </c>
      <c r="L179" s="1017">
        <f t="shared" si="88"/>
        <v>511</v>
      </c>
      <c r="M179" s="1017">
        <f t="shared" si="88"/>
        <v>511</v>
      </c>
      <c r="N179" s="1017">
        <f t="shared" si="88"/>
        <v>511</v>
      </c>
      <c r="O179" s="1017">
        <f t="shared" si="88"/>
        <v>511</v>
      </c>
    </row>
    <row r="180" spans="2:51" customFormat="1" x14ac:dyDescent="0.6">
      <c r="B180" s="67" t="s">
        <v>123</v>
      </c>
      <c r="C180" s="173">
        <v>0</v>
      </c>
      <c r="D180" s="173">
        <v>18.7</v>
      </c>
      <c r="E180" s="173">
        <v>12</v>
      </c>
      <c r="F180" s="173">
        <v>7.6210000000000004</v>
      </c>
      <c r="G180" s="173">
        <v>20</v>
      </c>
      <c r="H180" s="1017">
        <f t="shared" si="88"/>
        <v>20</v>
      </c>
      <c r="I180" s="1017">
        <f t="shared" si="88"/>
        <v>20</v>
      </c>
      <c r="J180" s="1017">
        <f t="shared" si="88"/>
        <v>20</v>
      </c>
      <c r="K180" s="1017">
        <f t="shared" si="88"/>
        <v>20</v>
      </c>
      <c r="L180" s="1017">
        <f t="shared" si="88"/>
        <v>20</v>
      </c>
      <c r="M180" s="1017">
        <f t="shared" si="88"/>
        <v>20</v>
      </c>
      <c r="N180" s="1017">
        <f t="shared" si="88"/>
        <v>20</v>
      </c>
      <c r="O180" s="1017">
        <f t="shared" si="88"/>
        <v>20</v>
      </c>
      <c r="P180" s="43"/>
      <c r="Q180" s="43"/>
      <c r="R180" s="43"/>
      <c r="S180" s="43"/>
      <c r="AY180" s="43"/>
    </row>
    <row r="181" spans="2:51" customFormat="1" x14ac:dyDescent="0.6">
      <c r="B181" s="67" t="s">
        <v>124</v>
      </c>
      <c r="C181" s="173">
        <v>14.3</v>
      </c>
      <c r="D181" s="173">
        <v>21</v>
      </c>
      <c r="E181" s="173">
        <v>16.5</v>
      </c>
      <c r="F181" s="173">
        <v>18.082000000000001</v>
      </c>
      <c r="G181" s="173">
        <v>18</v>
      </c>
      <c r="H181" s="1017">
        <f t="shared" si="88"/>
        <v>18</v>
      </c>
      <c r="I181" s="1017">
        <f t="shared" si="88"/>
        <v>18</v>
      </c>
      <c r="J181" s="1017">
        <f t="shared" si="88"/>
        <v>18</v>
      </c>
      <c r="K181" s="1017">
        <f t="shared" si="88"/>
        <v>18</v>
      </c>
      <c r="L181" s="1017">
        <f t="shared" si="88"/>
        <v>18</v>
      </c>
      <c r="M181" s="1017">
        <f t="shared" si="88"/>
        <v>18</v>
      </c>
      <c r="N181" s="1017">
        <f t="shared" si="88"/>
        <v>18</v>
      </c>
      <c r="O181" s="1017">
        <f t="shared" si="88"/>
        <v>18</v>
      </c>
      <c r="P181" s="43"/>
      <c r="Q181" s="43"/>
      <c r="R181" s="43"/>
      <c r="S181" s="43"/>
      <c r="AY181" s="43"/>
    </row>
    <row r="182" spans="2:51" ht="14.4" x14ac:dyDescent="0.55000000000000004">
      <c r="B182" s="67" t="s">
        <v>125</v>
      </c>
      <c r="C182" s="173">
        <v>10.8</v>
      </c>
      <c r="D182" s="173">
        <v>21.2</v>
      </c>
      <c r="E182" s="173">
        <v>26</v>
      </c>
      <c r="F182" s="173">
        <v>30.657</v>
      </c>
      <c r="G182" s="173">
        <v>42</v>
      </c>
      <c r="H182" s="1017">
        <f t="shared" si="88"/>
        <v>42</v>
      </c>
      <c r="I182" s="1017">
        <f t="shared" si="88"/>
        <v>42</v>
      </c>
      <c r="J182" s="1017">
        <f t="shared" si="88"/>
        <v>42</v>
      </c>
      <c r="K182" s="1017">
        <f t="shared" si="88"/>
        <v>42</v>
      </c>
      <c r="L182" s="1017">
        <f t="shared" si="88"/>
        <v>42</v>
      </c>
      <c r="M182" s="1017">
        <f t="shared" si="88"/>
        <v>42</v>
      </c>
      <c r="N182" s="1017">
        <f t="shared" si="88"/>
        <v>42</v>
      </c>
      <c r="O182" s="1017">
        <f t="shared" si="88"/>
        <v>42</v>
      </c>
      <c r="T182" s="43"/>
      <c r="U182" s="43"/>
      <c r="V182" s="43"/>
      <c r="W182" s="43"/>
      <c r="X182" s="43"/>
      <c r="Y182" s="43"/>
      <c r="Z182" s="43"/>
      <c r="AA182" s="43"/>
      <c r="AB182" s="43"/>
      <c r="AC182" s="43"/>
      <c r="AD182" s="43"/>
      <c r="AE182" s="43"/>
      <c r="AF182" s="43"/>
      <c r="AG182" s="43"/>
      <c r="AH182" s="43"/>
      <c r="AI182" s="43"/>
      <c r="AJ182" s="43"/>
      <c r="AK182" s="43"/>
      <c r="AL182" s="43"/>
      <c r="AM182" s="43"/>
      <c r="AN182" s="43"/>
      <c r="AO182" s="43"/>
      <c r="AP182" s="43"/>
      <c r="AQ182" s="43"/>
      <c r="AR182" s="43"/>
      <c r="AS182" s="43"/>
      <c r="AT182" s="43"/>
      <c r="AU182" s="43"/>
      <c r="AV182" s="43"/>
      <c r="AW182" s="43"/>
      <c r="AX182" s="43"/>
    </row>
    <row r="183" spans="2:51" s="23" customFormat="1" ht="14.4" x14ac:dyDescent="0.55000000000000004">
      <c r="B183" s="67" t="s">
        <v>126</v>
      </c>
      <c r="C183" s="173">
        <v>0</v>
      </c>
      <c r="D183" s="173">
        <v>0.7</v>
      </c>
      <c r="E183" s="173">
        <v>8.6999999999999993</v>
      </c>
      <c r="F183" s="173">
        <v>29.334</v>
      </c>
      <c r="G183" s="173">
        <v>41</v>
      </c>
      <c r="H183" s="1017">
        <f t="shared" si="88"/>
        <v>41</v>
      </c>
      <c r="I183" s="1017">
        <f t="shared" si="88"/>
        <v>41</v>
      </c>
      <c r="J183" s="1017">
        <f t="shared" si="88"/>
        <v>41</v>
      </c>
      <c r="K183" s="1017">
        <f t="shared" si="88"/>
        <v>41</v>
      </c>
      <c r="L183" s="1017">
        <f t="shared" si="88"/>
        <v>41</v>
      </c>
      <c r="M183" s="1017">
        <f t="shared" si="88"/>
        <v>41</v>
      </c>
      <c r="N183" s="1017">
        <f t="shared" si="88"/>
        <v>41</v>
      </c>
      <c r="O183" s="1017">
        <f t="shared" si="88"/>
        <v>41</v>
      </c>
    </row>
    <row r="184" spans="2:51" customFormat="1" x14ac:dyDescent="0.6">
      <c r="B184" s="67" t="s">
        <v>48</v>
      </c>
      <c r="C184" s="173">
        <v>21.4</v>
      </c>
      <c r="D184" s="173">
        <v>65.599999999999994</v>
      </c>
      <c r="E184" s="173">
        <v>83.8</v>
      </c>
      <c r="F184" s="173">
        <v>182.24700000000001</v>
      </c>
      <c r="G184" s="173">
        <v>636</v>
      </c>
      <c r="H184" s="1017">
        <f t="shared" si="88"/>
        <v>636</v>
      </c>
      <c r="I184" s="1017">
        <f t="shared" si="88"/>
        <v>636</v>
      </c>
      <c r="J184" s="1017">
        <f t="shared" si="88"/>
        <v>636</v>
      </c>
      <c r="K184" s="1017">
        <f t="shared" si="88"/>
        <v>636</v>
      </c>
      <c r="L184" s="1017">
        <f t="shared" si="88"/>
        <v>636</v>
      </c>
      <c r="M184" s="1017">
        <f t="shared" si="88"/>
        <v>636</v>
      </c>
      <c r="N184" s="1017">
        <f t="shared" si="88"/>
        <v>636</v>
      </c>
      <c r="O184" s="1017">
        <f t="shared" si="88"/>
        <v>636</v>
      </c>
      <c r="P184" s="43"/>
      <c r="Q184" s="43"/>
      <c r="R184" s="43"/>
      <c r="S184" s="43"/>
      <c r="AY184" s="43"/>
    </row>
    <row r="185" spans="2:51" s="54" customFormat="1" ht="14.7" thickBot="1" x14ac:dyDescent="0.6">
      <c r="B185" s="68" t="s">
        <v>49</v>
      </c>
      <c r="C185" s="54">
        <f>C190+C191</f>
        <v>296.7</v>
      </c>
      <c r="D185" s="54">
        <f t="shared" ref="D185:O185" si="89">D190+D191</f>
        <v>612.20000000000005</v>
      </c>
      <c r="E185" s="54">
        <f>E190+E191</f>
        <v>438.1</v>
      </c>
      <c r="F185" s="54">
        <f>F190+F191</f>
        <v>4442.5409999999993</v>
      </c>
      <c r="G185" s="54">
        <f t="shared" si="89"/>
        <v>4890.0829999999996</v>
      </c>
      <c r="H185" s="54">
        <f t="shared" si="89"/>
        <v>5764.3677084328892</v>
      </c>
      <c r="I185" s="54">
        <f t="shared" si="89"/>
        <v>7237.2579389319735</v>
      </c>
      <c r="J185" s="54">
        <f t="shared" si="89"/>
        <v>9553.9463861209097</v>
      </c>
      <c r="K185" s="54">
        <f t="shared" si="89"/>
        <v>12520.025313929458</v>
      </c>
      <c r="L185" s="54">
        <f t="shared" si="89"/>
        <v>15997.653647909236</v>
      </c>
      <c r="M185" s="54">
        <f t="shared" si="89"/>
        <v>19919.691109933432</v>
      </c>
      <c r="N185" s="54">
        <f t="shared" si="89"/>
        <v>24500.171936736664</v>
      </c>
      <c r="O185" s="54">
        <f t="shared" si="89"/>
        <v>29725.873076587493</v>
      </c>
    </row>
    <row r="186" spans="2:51" s="23" customFormat="1" ht="14.4" x14ac:dyDescent="0.55000000000000004">
      <c r="B186" s="58" t="s">
        <v>50</v>
      </c>
      <c r="C186" s="173">
        <v>0</v>
      </c>
      <c r="D186" s="173">
        <v>0</v>
      </c>
      <c r="E186" s="173">
        <v>0</v>
      </c>
      <c r="F186" s="173">
        <v>8.3000000000000004E-2</v>
      </c>
      <c r="G186" s="173">
        <v>8.3000000000000004E-2</v>
      </c>
      <c r="H186" s="1017">
        <f t="shared" ref="H186:O186" si="90">G186</f>
        <v>8.3000000000000004E-2</v>
      </c>
      <c r="I186" s="1017">
        <f t="shared" si="90"/>
        <v>8.3000000000000004E-2</v>
      </c>
      <c r="J186" s="1017">
        <f t="shared" si="90"/>
        <v>8.3000000000000004E-2</v>
      </c>
      <c r="K186" s="1017">
        <f t="shared" si="90"/>
        <v>8.3000000000000004E-2</v>
      </c>
      <c r="L186" s="1017">
        <f t="shared" si="90"/>
        <v>8.3000000000000004E-2</v>
      </c>
      <c r="M186" s="1017">
        <f t="shared" si="90"/>
        <v>8.3000000000000004E-2</v>
      </c>
      <c r="N186" s="1017">
        <f t="shared" si="90"/>
        <v>8.3000000000000004E-2</v>
      </c>
      <c r="O186" s="1017">
        <f t="shared" si="90"/>
        <v>8.3000000000000004E-2</v>
      </c>
    </row>
    <row r="187" spans="2:51" customFormat="1" x14ac:dyDescent="0.6">
      <c r="B187" s="58" t="s">
        <v>127</v>
      </c>
      <c r="C187" s="173">
        <v>389.4</v>
      </c>
      <c r="D187" s="173">
        <v>631.20000000000005</v>
      </c>
      <c r="E187" s="173">
        <v>638</v>
      </c>
      <c r="F187" s="173">
        <v>4678.585</v>
      </c>
      <c r="G187" s="173">
        <v>4963</v>
      </c>
      <c r="H187" s="1017">
        <f t="shared" ref="H187:O187" si="91">G187+H71+H56</f>
        <v>5837.2847084328896</v>
      </c>
      <c r="I187" s="1017">
        <f t="shared" si="91"/>
        <v>7310.1749389319739</v>
      </c>
      <c r="J187" s="1017">
        <f t="shared" si="91"/>
        <v>9626.8633861209091</v>
      </c>
      <c r="K187" s="1017">
        <f t="shared" si="91"/>
        <v>12592.942313929458</v>
      </c>
      <c r="L187" s="1017">
        <f t="shared" si="91"/>
        <v>16070.570647909235</v>
      </c>
      <c r="M187" s="1017">
        <f t="shared" si="91"/>
        <v>19992.608109933433</v>
      </c>
      <c r="N187" s="1017">
        <f t="shared" si="91"/>
        <v>24573.088936736665</v>
      </c>
      <c r="O187" s="1017">
        <f t="shared" si="91"/>
        <v>29798.790076587495</v>
      </c>
      <c r="P187" s="43"/>
      <c r="Q187" s="43"/>
      <c r="R187" s="43"/>
      <c r="S187" s="43"/>
      <c r="AY187" s="43"/>
    </row>
    <row r="188" spans="2:51" x14ac:dyDescent="0.6">
      <c r="B188" s="58" t="s">
        <v>128</v>
      </c>
      <c r="C188" s="173">
        <v>-58</v>
      </c>
      <c r="D188" s="173">
        <v>28.2</v>
      </c>
      <c r="E188" s="173">
        <v>-102.4</v>
      </c>
      <c r="F188" s="173">
        <v>-128.40899999999999</v>
      </c>
      <c r="G188" s="173">
        <v>65</v>
      </c>
      <c r="H188" s="1017">
        <f t="shared" ref="H188:O188" si="92">G188</f>
        <v>65</v>
      </c>
      <c r="I188" s="1017">
        <f t="shared" si="92"/>
        <v>65</v>
      </c>
      <c r="J188" s="1017">
        <f t="shared" si="92"/>
        <v>65</v>
      </c>
      <c r="K188" s="1017">
        <f t="shared" si="92"/>
        <v>65</v>
      </c>
      <c r="L188" s="1017">
        <f t="shared" si="92"/>
        <v>65</v>
      </c>
      <c r="M188" s="1017">
        <f t="shared" si="92"/>
        <v>65</v>
      </c>
      <c r="N188" s="1017">
        <f t="shared" si="92"/>
        <v>65</v>
      </c>
      <c r="O188" s="1017">
        <f t="shared" si="92"/>
        <v>65</v>
      </c>
    </row>
    <row r="189" spans="2:51" ht="14.4" x14ac:dyDescent="0.55000000000000004">
      <c r="B189" s="58" t="s">
        <v>129</v>
      </c>
      <c r="C189" s="173">
        <v>-34.700000000000003</v>
      </c>
      <c r="D189" s="173">
        <v>-47.2</v>
      </c>
      <c r="E189" s="173">
        <v>-97.5</v>
      </c>
      <c r="F189" s="173">
        <v>-109.227</v>
      </c>
      <c r="G189" s="173">
        <v>-138</v>
      </c>
      <c r="H189" s="1017">
        <f>G189</f>
        <v>-138</v>
      </c>
      <c r="I189" s="1017">
        <f t="shared" ref="I189:O189" si="93">H189</f>
        <v>-138</v>
      </c>
      <c r="J189" s="1017">
        <f t="shared" si="93"/>
        <v>-138</v>
      </c>
      <c r="K189" s="1017">
        <f t="shared" si="93"/>
        <v>-138</v>
      </c>
      <c r="L189" s="1017">
        <f t="shared" si="93"/>
        <v>-138</v>
      </c>
      <c r="M189" s="1017">
        <f t="shared" si="93"/>
        <v>-138</v>
      </c>
      <c r="N189" s="1017">
        <f t="shared" si="93"/>
        <v>-138</v>
      </c>
      <c r="O189" s="1017">
        <f t="shared" si="93"/>
        <v>-138</v>
      </c>
      <c r="T189" s="43"/>
      <c r="U189" s="43"/>
      <c r="V189" s="43"/>
      <c r="W189" s="43"/>
      <c r="X189" s="43"/>
      <c r="Y189" s="43"/>
      <c r="Z189" s="43"/>
      <c r="AA189" s="43"/>
      <c r="AB189" s="43"/>
      <c r="AC189" s="43"/>
      <c r="AD189" s="43"/>
      <c r="AE189" s="43"/>
      <c r="AF189" s="43"/>
      <c r="AG189" s="43"/>
      <c r="AH189" s="43"/>
      <c r="AI189" s="43"/>
      <c r="AJ189" s="43"/>
      <c r="AK189" s="43"/>
      <c r="AL189" s="43"/>
      <c r="AM189" s="43"/>
      <c r="AN189" s="43"/>
      <c r="AO189" s="43"/>
      <c r="AP189" s="43"/>
      <c r="AQ189" s="43"/>
      <c r="AR189" s="43"/>
      <c r="AS189" s="43"/>
      <c r="AT189" s="43"/>
      <c r="AU189" s="43"/>
      <c r="AV189" s="43"/>
      <c r="AW189" s="43"/>
      <c r="AX189" s="43"/>
    </row>
    <row r="190" spans="2:51" x14ac:dyDescent="0.6">
      <c r="B190" s="57" t="s">
        <v>130</v>
      </c>
      <c r="C190" s="23">
        <f>C189+C188+C187+C186</f>
        <v>296.7</v>
      </c>
      <c r="D190" s="23">
        <f t="shared" ref="D190:O190" si="94">D189+D188+D187+D186</f>
        <v>612.20000000000005</v>
      </c>
      <c r="E190" s="23">
        <f>E189+E188+E187+E186</f>
        <v>438.1</v>
      </c>
      <c r="F190" s="23">
        <f t="shared" si="94"/>
        <v>4441.0319999999992</v>
      </c>
      <c r="G190" s="23">
        <f t="shared" si="94"/>
        <v>4890.0829999999996</v>
      </c>
      <c r="H190" s="23">
        <f t="shared" si="94"/>
        <v>5764.3677084328892</v>
      </c>
      <c r="I190" s="23">
        <f t="shared" si="94"/>
        <v>7237.2579389319735</v>
      </c>
      <c r="J190" s="23">
        <f t="shared" si="94"/>
        <v>9553.9463861209097</v>
      </c>
      <c r="K190" s="23">
        <f t="shared" si="94"/>
        <v>12520.025313929458</v>
      </c>
      <c r="L190" s="23">
        <f t="shared" si="94"/>
        <v>15997.653647909236</v>
      </c>
      <c r="M190" s="23">
        <f t="shared" si="94"/>
        <v>19919.691109933432</v>
      </c>
      <c r="N190" s="23">
        <f t="shared" si="94"/>
        <v>24500.171936736664</v>
      </c>
      <c r="O190" s="23">
        <f t="shared" si="94"/>
        <v>29725.873076587493</v>
      </c>
    </row>
    <row r="191" spans="2:51" x14ac:dyDescent="0.6">
      <c r="B191" s="58" t="s">
        <v>131</v>
      </c>
      <c r="C191" s="173">
        <v>0</v>
      </c>
      <c r="D191" s="173">
        <v>0</v>
      </c>
      <c r="E191" s="173">
        <v>0</v>
      </c>
      <c r="F191" s="173">
        <v>1.5089999999999999</v>
      </c>
      <c r="G191" s="173">
        <v>0</v>
      </c>
      <c r="H191" s="1017">
        <f t="shared" ref="H191:O191" si="95">G191</f>
        <v>0</v>
      </c>
      <c r="I191" s="1017">
        <f t="shared" si="95"/>
        <v>0</v>
      </c>
      <c r="J191" s="1017">
        <f t="shared" si="95"/>
        <v>0</v>
      </c>
      <c r="K191" s="1017">
        <f t="shared" si="95"/>
        <v>0</v>
      </c>
      <c r="L191" s="1017">
        <f t="shared" si="95"/>
        <v>0</v>
      </c>
      <c r="M191" s="1017">
        <f t="shared" si="95"/>
        <v>0</v>
      </c>
      <c r="N191" s="1017">
        <f t="shared" si="95"/>
        <v>0</v>
      </c>
      <c r="O191" s="1017">
        <f t="shared" si="95"/>
        <v>0</v>
      </c>
    </row>
    <row r="192" spans="2:51" s="54" customFormat="1" ht="14.7" thickBot="1" x14ac:dyDescent="0.6">
      <c r="B192" s="65" t="s">
        <v>36</v>
      </c>
      <c r="C192" s="54">
        <f t="shared" ref="C192:O192" si="96">C142-C166</f>
        <v>0</v>
      </c>
      <c r="D192" s="54">
        <f t="shared" si="96"/>
        <v>-9.9999999999454303E-2</v>
      </c>
      <c r="E192" s="54">
        <f t="shared" si="96"/>
        <v>27.725581395350673</v>
      </c>
      <c r="F192" s="54">
        <f>F142-F166</f>
        <v>-2.4000000001251465E-2</v>
      </c>
      <c r="G192" s="54">
        <f t="shared" si="96"/>
        <v>-0.98300000000017462</v>
      </c>
      <c r="H192" s="54">
        <f t="shared" ca="1" si="96"/>
        <v>0</v>
      </c>
      <c r="I192" s="54">
        <f t="shared" ca="1" si="96"/>
        <v>0</v>
      </c>
      <c r="J192" s="54">
        <f t="shared" ca="1" si="96"/>
        <v>0</v>
      </c>
      <c r="K192" s="54">
        <f t="shared" ca="1" si="96"/>
        <v>0</v>
      </c>
      <c r="L192" s="54">
        <f t="shared" ca="1" si="96"/>
        <v>0</v>
      </c>
      <c r="M192" s="54">
        <f t="shared" ca="1" si="96"/>
        <v>0</v>
      </c>
      <c r="N192" s="54">
        <f t="shared" ca="1" si="96"/>
        <v>0</v>
      </c>
      <c r="O192" s="54">
        <f t="shared" ca="1" si="96"/>
        <v>0</v>
      </c>
    </row>
  </sheetData>
  <conditionalFormatting sqref="C138:O138 C192:O192">
    <cfRule type="cellIs" dxfId="1" priority="1" operator="greaterThan">
      <formula>0.5</formula>
    </cfRule>
    <cfRule type="cellIs" dxfId="0" priority="2" operator="lessThan">
      <formula>0.5</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A6706-CF29-440E-8F14-9CBE3ADBCD7F}">
  <dimension ref="B2:Z40"/>
  <sheetViews>
    <sheetView topLeftCell="A2" zoomScale="117" zoomScaleNormal="70" workbookViewId="0">
      <selection activeCell="H32" sqref="H32"/>
    </sheetView>
  </sheetViews>
  <sheetFormatPr defaultRowHeight="15.6" outlineLevelCol="1" x14ac:dyDescent="0.6"/>
  <cols>
    <col min="2" max="2" width="37" customWidth="1"/>
    <col min="3" max="3" width="8.69921875" hidden="1" customWidth="1" outlineLevel="1"/>
    <col min="4" max="4" width="9" hidden="1" customWidth="1" outlineLevel="1"/>
    <col min="5" max="5" width="8.69921875" collapsed="1"/>
    <col min="11" max="11" width="10.5" bestFit="1" customWidth="1"/>
    <col min="21" max="21" width="11.5" customWidth="1"/>
  </cols>
  <sheetData>
    <row r="2" spans="2:26" x14ac:dyDescent="0.6">
      <c r="K2" s="741">
        <v>45194</v>
      </c>
      <c r="U2" s="741">
        <v>45017</v>
      </c>
    </row>
    <row r="3" spans="2:26" x14ac:dyDescent="0.6">
      <c r="B3" s="20"/>
      <c r="C3" s="745" t="s">
        <v>736</v>
      </c>
      <c r="D3" s="745" t="s">
        <v>736</v>
      </c>
      <c r="E3" s="334" t="s">
        <v>554</v>
      </c>
      <c r="F3" s="334" t="s">
        <v>554</v>
      </c>
      <c r="G3" s="334" t="s">
        <v>554</v>
      </c>
      <c r="H3" s="334" t="s">
        <v>554</v>
      </c>
      <c r="I3" s="334" t="s">
        <v>554</v>
      </c>
      <c r="J3" s="334"/>
      <c r="K3" s="334" t="s">
        <v>671</v>
      </c>
      <c r="L3" s="334" t="s">
        <v>671</v>
      </c>
      <c r="M3" s="334" t="s">
        <v>671</v>
      </c>
      <c r="N3" s="334" t="s">
        <v>671</v>
      </c>
      <c r="O3" s="334"/>
      <c r="P3" s="334" t="s">
        <v>673</v>
      </c>
      <c r="Q3" s="334" t="s">
        <v>673</v>
      </c>
      <c r="R3" s="334" t="s">
        <v>673</v>
      </c>
      <c r="S3" s="334" t="s">
        <v>673</v>
      </c>
      <c r="T3" s="334"/>
      <c r="U3" s="334" t="s">
        <v>671</v>
      </c>
      <c r="V3" s="334" t="s">
        <v>671</v>
      </c>
      <c r="W3" s="334" t="s">
        <v>671</v>
      </c>
      <c r="X3" s="20"/>
      <c r="Y3" s="334" t="s">
        <v>673</v>
      </c>
      <c r="Z3" s="334" t="s">
        <v>673</v>
      </c>
    </row>
    <row r="4" spans="2:26" x14ac:dyDescent="0.6">
      <c r="B4" s="235" t="s">
        <v>156</v>
      </c>
      <c r="C4" s="746">
        <v>2020</v>
      </c>
      <c r="D4" s="746">
        <v>2021</v>
      </c>
      <c r="E4" s="235">
        <v>2022</v>
      </c>
      <c r="F4" s="235">
        <f>E4+1</f>
        <v>2023</v>
      </c>
      <c r="G4" s="235">
        <f>F4+1</f>
        <v>2024</v>
      </c>
      <c r="H4" s="235">
        <f>G4+1</f>
        <v>2025</v>
      </c>
      <c r="I4" s="235">
        <f>H4+1</f>
        <v>2026</v>
      </c>
      <c r="J4" s="235"/>
      <c r="K4" s="235">
        <f>F4</f>
        <v>2023</v>
      </c>
      <c r="L4" s="235">
        <f>G4</f>
        <v>2024</v>
      </c>
      <c r="M4" s="235">
        <f>H4</f>
        <v>2025</v>
      </c>
      <c r="N4" s="235">
        <f>I4</f>
        <v>2026</v>
      </c>
      <c r="O4" s="235"/>
      <c r="P4" s="235">
        <f>K4</f>
        <v>2023</v>
      </c>
      <c r="Q4" s="235">
        <f>L4</f>
        <v>2024</v>
      </c>
      <c r="R4" s="235">
        <f>M4</f>
        <v>2025</v>
      </c>
      <c r="S4" s="235">
        <f>N4</f>
        <v>2026</v>
      </c>
      <c r="T4" s="235"/>
      <c r="U4" s="235">
        <f>E4</f>
        <v>2022</v>
      </c>
      <c r="V4" s="235">
        <f>F4</f>
        <v>2023</v>
      </c>
      <c r="W4" s="235">
        <f>G4</f>
        <v>2024</v>
      </c>
      <c r="X4" s="20"/>
      <c r="Y4" s="235">
        <f>V4</f>
        <v>2023</v>
      </c>
      <c r="Z4" s="235">
        <f>W4</f>
        <v>2024</v>
      </c>
    </row>
    <row r="5" spans="2:26" x14ac:dyDescent="0.6">
      <c r="B5" t="s">
        <v>415</v>
      </c>
      <c r="C5" s="747">
        <f>'Revenue and Expenses breakdown'!D7</f>
        <v>382.9</v>
      </c>
      <c r="D5" s="747">
        <f>'Revenue and Expenses breakdown'!E7</f>
        <v>1045.6791700000001</v>
      </c>
      <c r="E5" s="83">
        <f>'Revenue and Expenses breakdown'!F7</f>
        <v>3555.1709999999998</v>
      </c>
      <c r="F5" s="83">
        <f>'Revenue and Expenses breakdown'!G7</f>
        <v>6136.3464197242847</v>
      </c>
      <c r="G5" s="83">
        <f>'Revenue and Expenses breakdown'!H7</f>
        <v>8015.8005110030226</v>
      </c>
      <c r="H5" s="83">
        <f>'Revenue and Expenses breakdown'!I7</f>
        <v>9840.4789014433009</v>
      </c>
      <c r="I5" s="83">
        <f>'Revenue and Expenses breakdown'!J7</f>
        <v>11591.160163987488</v>
      </c>
      <c r="J5" s="83"/>
      <c r="K5" s="83">
        <v>5765.9567726781752</v>
      </c>
      <c r="L5" s="356">
        <v>8021</v>
      </c>
      <c r="M5" s="356">
        <v>10073</v>
      </c>
      <c r="N5" s="356">
        <v>11708</v>
      </c>
      <c r="O5" s="83"/>
      <c r="P5" s="234">
        <f t="shared" ref="P5:S6" si="0">F5/K5-1</f>
        <v>6.4237326370740533E-2</v>
      </c>
      <c r="Q5" s="234">
        <f t="shared" si="0"/>
        <v>-6.4823450903594981E-4</v>
      </c>
      <c r="R5" s="234">
        <f t="shared" si="0"/>
        <v>-2.3083599578745062E-2</v>
      </c>
      <c r="S5" s="234">
        <f t="shared" si="0"/>
        <v>-9.9794871893160719E-3</v>
      </c>
      <c r="T5" s="83"/>
      <c r="U5" s="83">
        <v>3555.3</v>
      </c>
      <c r="V5" s="83">
        <v>5324</v>
      </c>
      <c r="W5" s="83">
        <v>6719</v>
      </c>
      <c r="X5" s="83"/>
      <c r="Y5" s="234">
        <f>K5/V5-1</f>
        <v>8.3012166167951706E-2</v>
      </c>
      <c r="Z5" s="234">
        <f>L5/W5-1</f>
        <v>0.19377883613632974</v>
      </c>
    </row>
    <row r="6" spans="2:26" x14ac:dyDescent="0.6">
      <c r="B6" t="s">
        <v>726</v>
      </c>
      <c r="C6" s="747">
        <f>'Revenue and Expenses breakdown'!D26</f>
        <v>354.20000000000005</v>
      </c>
      <c r="D6" s="747">
        <f>'Revenue and Expenses breakdown'!E26</f>
        <v>651.27700000000004</v>
      </c>
      <c r="E6" s="83">
        <f>'Revenue and Expenses breakdown'!F26</f>
        <v>1235</v>
      </c>
      <c r="F6" s="83">
        <f>'Revenue and Expenses breakdown'!G26</f>
        <v>1596.4608172181649</v>
      </c>
      <c r="G6" s="83">
        <f>'Revenue and Expenses breakdown'!H26</f>
        <v>2007.5004990196635</v>
      </c>
      <c r="H6" s="83">
        <f>'Revenue and Expenses breakdown'!I26</f>
        <v>2712.2761464609107</v>
      </c>
      <c r="I6" s="83">
        <f>'Revenue and Expenses breakdown'!J26</f>
        <v>3236.423897163741</v>
      </c>
      <c r="J6" s="83"/>
      <c r="K6" s="83">
        <v>1633.4138287585442</v>
      </c>
      <c r="L6" s="356">
        <v>2204</v>
      </c>
      <c r="M6" s="356">
        <v>2934</v>
      </c>
      <c r="N6" s="356">
        <v>3650</v>
      </c>
      <c r="O6" s="83"/>
      <c r="P6" s="234">
        <f t="shared" si="0"/>
        <v>-2.2623177843709708E-2</v>
      </c>
      <c r="Q6" s="234">
        <f t="shared" si="0"/>
        <v>-8.9155853439354171E-2</v>
      </c>
      <c r="R6" s="234">
        <f t="shared" si="0"/>
        <v>-7.5570502228728409E-2</v>
      </c>
      <c r="S6" s="234">
        <f t="shared" si="0"/>
        <v>-0.11330852132500246</v>
      </c>
      <c r="T6" s="83"/>
      <c r="U6" s="83">
        <v>1237</v>
      </c>
      <c r="V6" s="83">
        <v>1777</v>
      </c>
      <c r="W6" s="83">
        <v>2560</v>
      </c>
      <c r="X6" s="83"/>
      <c r="Y6" s="234">
        <f>K6/V6-1</f>
        <v>-8.0802572448765209E-2</v>
      </c>
      <c r="Z6" s="234">
        <f>L6/W6-1</f>
        <v>-0.13906249999999998</v>
      </c>
    </row>
    <row r="7" spans="2:26" x14ac:dyDescent="0.6">
      <c r="B7" s="84"/>
      <c r="C7" s="748"/>
      <c r="D7" s="748"/>
      <c r="E7" s="411"/>
      <c r="F7" s="411"/>
      <c r="G7" s="411"/>
      <c r="H7" s="411"/>
      <c r="I7" s="411"/>
      <c r="J7" s="411"/>
      <c r="K7" s="84"/>
      <c r="L7" s="84"/>
      <c r="M7" s="84"/>
      <c r="N7" s="84"/>
      <c r="O7" s="411"/>
      <c r="P7" s="411"/>
      <c r="Q7" s="411"/>
      <c r="R7" s="411"/>
      <c r="S7" s="411"/>
      <c r="T7" s="411"/>
      <c r="U7" s="84"/>
      <c r="V7" s="84"/>
      <c r="W7" s="84"/>
      <c r="X7" s="83"/>
      <c r="Y7" s="84"/>
      <c r="Z7" s="84"/>
    </row>
    <row r="8" spans="2:26" x14ac:dyDescent="0.6">
      <c r="B8" s="20" t="s">
        <v>340</v>
      </c>
      <c r="C8" s="749">
        <f t="shared" ref="C8:H8" si="1">C5+C6+C7</f>
        <v>737.1</v>
      </c>
      <c r="D8" s="749">
        <f t="shared" si="1"/>
        <v>1696.9561700000002</v>
      </c>
      <c r="E8" s="739">
        <f t="shared" si="1"/>
        <v>4790.1710000000003</v>
      </c>
      <c r="F8" s="739">
        <f t="shared" si="1"/>
        <v>7732.8072369424499</v>
      </c>
      <c r="G8" s="739">
        <f t="shared" si="1"/>
        <v>10023.301010022686</v>
      </c>
      <c r="H8" s="739">
        <f t="shared" si="1"/>
        <v>12552.755047904211</v>
      </c>
      <c r="I8" s="739">
        <f t="shared" ref="I8" si="2">I5+I6+I7</f>
        <v>14827.584061151229</v>
      </c>
      <c r="J8" s="739"/>
      <c r="K8" s="739">
        <f>K5+K6+K7</f>
        <v>7399.3706014367199</v>
      </c>
      <c r="L8" s="739">
        <f>L5+L6+L7</f>
        <v>10225</v>
      </c>
      <c r="M8" s="739">
        <f>M5+M6+M7</f>
        <v>13007</v>
      </c>
      <c r="N8" s="739">
        <f>N5+N6+N7</f>
        <v>15358</v>
      </c>
      <c r="O8" s="739"/>
      <c r="P8" s="740">
        <f>F8/K8-1</f>
        <v>4.5062837566344882E-2</v>
      </c>
      <c r="Q8" s="740">
        <f>G8/L8-1</f>
        <v>-1.9726062589468407E-2</v>
      </c>
      <c r="R8" s="740">
        <f>H8/M8-1</f>
        <v>-3.492311463794795E-2</v>
      </c>
      <c r="S8" s="740">
        <f>I8/N8-1</f>
        <v>-3.4536784662636544E-2</v>
      </c>
      <c r="T8" s="739"/>
      <c r="U8" s="739">
        <f>U5+U6+U7</f>
        <v>4792.3</v>
      </c>
      <c r="V8" s="739">
        <f>V5+V6+V7</f>
        <v>7101</v>
      </c>
      <c r="W8" s="739">
        <f>W5+W6+W7</f>
        <v>9279</v>
      </c>
      <c r="X8" s="83"/>
      <c r="Y8" s="740">
        <f>K8/V8-1</f>
        <v>4.2018110327660896E-2</v>
      </c>
      <c r="Z8" s="740">
        <f>L8/W8-1</f>
        <v>0.10195064123289144</v>
      </c>
    </row>
    <row r="9" spans="2:26" x14ac:dyDescent="0.6">
      <c r="C9" s="747"/>
      <c r="D9" s="747"/>
      <c r="E9" s="83"/>
      <c r="F9" s="83"/>
      <c r="G9" s="83"/>
      <c r="H9" s="83"/>
      <c r="I9" s="83"/>
      <c r="J9" s="83"/>
      <c r="K9" s="83"/>
      <c r="L9" s="83"/>
      <c r="M9" s="83"/>
      <c r="N9" s="83"/>
      <c r="O9" s="83"/>
      <c r="P9" s="83"/>
      <c r="Q9" s="83"/>
      <c r="R9" s="83"/>
      <c r="S9" s="83"/>
      <c r="T9" s="83"/>
      <c r="U9" s="413"/>
      <c r="V9" s="83"/>
      <c r="W9" s="83"/>
      <c r="Y9" s="234"/>
      <c r="Z9" s="234"/>
    </row>
    <row r="10" spans="2:26" x14ac:dyDescent="0.6">
      <c r="B10" t="s">
        <v>426</v>
      </c>
      <c r="C10" s="750"/>
      <c r="D10" s="750"/>
      <c r="E10" s="362">
        <f>-E12/AVERAGE(D38:E38)</f>
        <v>0.1215294814977645</v>
      </c>
      <c r="F10" s="362">
        <f>-F12/AVERAGE(E38:F38)</f>
        <v>0.10198150248168758</v>
      </c>
      <c r="G10" s="362">
        <f>-G12/AVERAGE(F38:G38)</f>
        <v>8.137146114808326E-2</v>
      </c>
      <c r="H10" s="362">
        <f>-H12/AVERAGE(G38:H38)</f>
        <v>6.8110753891867326E-2</v>
      </c>
      <c r="I10" s="362">
        <f>-I12/AVERAGE(H38:I38)</f>
        <v>6.3709240533310244E-2</v>
      </c>
      <c r="K10" s="362">
        <f>-K12/AVERAGE(K38:K38)</f>
        <v>9.0596777059257935E-2</v>
      </c>
      <c r="L10" s="362">
        <f>-L12/AVERAGE(K38:L38)</f>
        <v>8.3421108068253633E-2</v>
      </c>
      <c r="M10" s="362">
        <f>-M12/AVERAGE(L38:M38)</f>
        <v>7.5296648626844598E-2</v>
      </c>
      <c r="N10" s="362">
        <f>-N12/AVERAGE(M38:N38)</f>
        <v>7.4877930997478137E-2</v>
      </c>
      <c r="U10" s="362">
        <f>-U12/AVERAGE(D38,U38)</f>
        <v>0.12144620686677422</v>
      </c>
      <c r="V10" s="362">
        <f>-V12/AVERAGE(U38:V38)</f>
        <v>0.1082240369545492</v>
      </c>
      <c r="W10" s="362">
        <f>-W12/AVERAGE(V38:W38)</f>
        <v>9.1302217583026229E-2</v>
      </c>
    </row>
    <row r="11" spans="2:26" x14ac:dyDescent="0.6">
      <c r="C11" s="750"/>
      <c r="D11" s="750"/>
      <c r="E11" s="362"/>
      <c r="F11" s="362"/>
      <c r="G11" s="362"/>
      <c r="H11" s="362"/>
      <c r="I11" s="362"/>
      <c r="K11" s="362"/>
      <c r="L11" s="362"/>
      <c r="M11" s="362"/>
      <c r="N11" s="362"/>
      <c r="U11" s="362"/>
      <c r="V11" s="362"/>
      <c r="W11" s="362"/>
    </row>
    <row r="12" spans="2:26" x14ac:dyDescent="0.6">
      <c r="B12" t="s">
        <v>727</v>
      </c>
      <c r="C12" s="747">
        <f>Master!E8</f>
        <v>-113.9</v>
      </c>
      <c r="D12" s="747">
        <f>Master!F8</f>
        <v>-367.34399999999999</v>
      </c>
      <c r="E12" s="83">
        <f>Master!G8</f>
        <v>-1548</v>
      </c>
      <c r="F12" s="83">
        <f>Master!H8</f>
        <v>-1869.5716505708156</v>
      </c>
      <c r="G12" s="83">
        <f>Master!I8</f>
        <v>-1868.1948063999262</v>
      </c>
      <c r="H12" s="83">
        <f>Master!J8</f>
        <v>-1921.4462352435539</v>
      </c>
      <c r="I12" s="83">
        <f>Master!K8</f>
        <v>-2208.6217994389854</v>
      </c>
      <c r="J12" s="83"/>
      <c r="K12" s="83">
        <v>-1895.7375599649724</v>
      </c>
      <c r="L12" s="356">
        <v>-1980</v>
      </c>
      <c r="M12" s="356">
        <v>-2240</v>
      </c>
      <c r="N12" s="356">
        <v>-2791</v>
      </c>
      <c r="O12" s="83"/>
      <c r="P12" s="234">
        <f t="shared" ref="P12:S15" si="3">F12/K12-1</f>
        <v>-1.3802495633752354E-2</v>
      </c>
      <c r="Q12" s="234">
        <f t="shared" si="3"/>
        <v>-5.6467269494986816E-2</v>
      </c>
      <c r="R12" s="234">
        <f t="shared" si="3"/>
        <v>-0.14221150212341338</v>
      </c>
      <c r="S12" s="234">
        <f t="shared" si="3"/>
        <v>-0.20866291671838577</v>
      </c>
      <c r="T12" s="83"/>
      <c r="U12" s="83">
        <v>-1547</v>
      </c>
      <c r="V12" s="83">
        <v>-1968</v>
      </c>
      <c r="W12" s="83">
        <v>-2143</v>
      </c>
      <c r="Y12" s="234">
        <f t="shared" ref="Y12:Z15" si="4">K12/V12-1</f>
        <v>-3.6718719529993726E-2</v>
      </c>
      <c r="Z12" s="234">
        <f t="shared" si="4"/>
        <v>-7.6061595893607059E-2</v>
      </c>
    </row>
    <row r="13" spans="2:26" x14ac:dyDescent="0.6">
      <c r="B13" t="s">
        <v>728</v>
      </c>
      <c r="C13" s="747">
        <f>Master!E10</f>
        <v>-126.8</v>
      </c>
      <c r="D13" s="747">
        <f>Master!F10</f>
        <v>-117.11899999999999</v>
      </c>
      <c r="E13" s="83">
        <f>Master!G10</f>
        <v>-174</v>
      </c>
      <c r="F13" s="83">
        <f>Master!H10</f>
        <v>-217.5</v>
      </c>
      <c r="G13" s="83">
        <f>Master!I10</f>
        <v>-282.75</v>
      </c>
      <c r="H13" s="83">
        <f>Master!J10</f>
        <v>-325.16249999999997</v>
      </c>
      <c r="I13" s="83">
        <f>Master!K10</f>
        <v>-487.74374999999998</v>
      </c>
      <c r="J13" s="83"/>
      <c r="K13" s="83">
        <v>-245.38256349746209</v>
      </c>
      <c r="L13" s="356">
        <v>-279</v>
      </c>
      <c r="M13" s="356">
        <v>-342</v>
      </c>
      <c r="N13" s="356">
        <v>-380</v>
      </c>
      <c r="O13" s="83"/>
      <c r="P13" s="234">
        <f t="shared" si="3"/>
        <v>-0.11362895187029243</v>
      </c>
      <c r="Q13" s="234">
        <f t="shared" si="3"/>
        <v>1.3440860215053752E-2</v>
      </c>
      <c r="R13" s="234">
        <f t="shared" si="3"/>
        <v>-4.9232456140350989E-2</v>
      </c>
      <c r="S13" s="234">
        <f t="shared" si="3"/>
        <v>0.28353618421052618</v>
      </c>
      <c r="T13" s="83"/>
      <c r="U13" s="83">
        <v>-176</v>
      </c>
      <c r="V13" s="83">
        <v>-228</v>
      </c>
      <c r="W13" s="83">
        <v>-270</v>
      </c>
      <c r="Y13" s="234">
        <f t="shared" si="4"/>
        <v>7.6239313585360069E-2</v>
      </c>
      <c r="Z13" s="234">
        <f t="shared" si="4"/>
        <v>3.3333333333333437E-2</v>
      </c>
    </row>
    <row r="14" spans="2:26" x14ac:dyDescent="0.6">
      <c r="B14" s="84" t="s">
        <v>729</v>
      </c>
      <c r="C14" s="748">
        <f>Master!E12</f>
        <v>-169.5</v>
      </c>
      <c r="D14" s="748">
        <f>Master!F12</f>
        <v>-480.64299999999997</v>
      </c>
      <c r="E14" s="411">
        <f>Master!G12</f>
        <v>-1405</v>
      </c>
      <c r="F14" s="411">
        <f>Master!H12</f>
        <v>-2462.84</v>
      </c>
      <c r="G14" s="411">
        <f>Master!I12</f>
        <v>-3307.16</v>
      </c>
      <c r="H14" s="411">
        <f>Master!J12</f>
        <v>-3957.8399999999997</v>
      </c>
      <c r="I14" s="411">
        <f>Master!K12</f>
        <v>-4382.16</v>
      </c>
      <c r="J14" s="411"/>
      <c r="K14" s="411">
        <v>-2224.046563199156</v>
      </c>
      <c r="L14" s="1202">
        <v>-3238</v>
      </c>
      <c r="M14" s="1202">
        <v>-3921</v>
      </c>
      <c r="N14" s="1202">
        <v>-4513</v>
      </c>
      <c r="O14" s="411"/>
      <c r="P14" s="236">
        <f t="shared" si="3"/>
        <v>0.10736890169122826</v>
      </c>
      <c r="Q14" s="236">
        <f t="shared" si="3"/>
        <v>2.1358863495985148E-2</v>
      </c>
      <c r="R14" s="236">
        <f t="shared" si="3"/>
        <v>9.395562356541598E-3</v>
      </c>
      <c r="S14" s="236">
        <f t="shared" si="3"/>
        <v>-2.8991801462441846E-2</v>
      </c>
      <c r="T14" s="411"/>
      <c r="U14" s="411">
        <v>-1405</v>
      </c>
      <c r="V14" s="411">
        <v>-2055</v>
      </c>
      <c r="W14" s="411">
        <v>-2662</v>
      </c>
      <c r="X14" s="84"/>
      <c r="Y14" s="236">
        <f t="shared" si="4"/>
        <v>8.2261101313457985E-2</v>
      </c>
      <c r="Z14" s="236">
        <f t="shared" si="4"/>
        <v>0.21637866265965444</v>
      </c>
    </row>
    <row r="15" spans="2:26" x14ac:dyDescent="0.6">
      <c r="B15" s="20" t="s">
        <v>354</v>
      </c>
      <c r="C15" s="749"/>
      <c r="D15" s="749"/>
      <c r="E15" s="739">
        <f>SUM(E12:E14)</f>
        <v>-3127</v>
      </c>
      <c r="F15" s="739">
        <f>SUM(F12:F14)</f>
        <v>-4549.9116505708153</v>
      </c>
      <c r="G15" s="739">
        <f>SUM(G12:G14)</f>
        <v>-5458.104806399926</v>
      </c>
      <c r="H15" s="739">
        <f>SUM(H12:H14)</f>
        <v>-6204.4487352435535</v>
      </c>
      <c r="I15" s="739">
        <f>SUM(I12:I14)</f>
        <v>-7078.5255494389858</v>
      </c>
      <c r="J15" s="739"/>
      <c r="K15" s="739">
        <f>SUM(K12:K14)</f>
        <v>-4365.1666866615906</v>
      </c>
      <c r="L15" s="739">
        <f>SUM(L12:L14)</f>
        <v>-5497</v>
      </c>
      <c r="M15" s="739">
        <f>SUM(M12:M14)</f>
        <v>-6503</v>
      </c>
      <c r="N15" s="739">
        <f>SUM(N12:N14)</f>
        <v>-7684</v>
      </c>
      <c r="O15" s="739"/>
      <c r="P15" s="740">
        <f t="shared" si="3"/>
        <v>4.2322545087164709E-2</v>
      </c>
      <c r="Q15" s="740">
        <f t="shared" si="3"/>
        <v>-7.0757128615742682E-3</v>
      </c>
      <c r="R15" s="740">
        <f t="shared" si="3"/>
        <v>-4.5909774681907822E-2</v>
      </c>
      <c r="S15" s="740">
        <f t="shared" si="3"/>
        <v>-7.8796779094353786E-2</v>
      </c>
      <c r="T15" s="739"/>
      <c r="U15" s="739">
        <f>SUM(U12:U14)</f>
        <v>-3128</v>
      </c>
      <c r="V15" s="739">
        <f>SUM(V12:V14)</f>
        <v>-4251</v>
      </c>
      <c r="W15" s="739">
        <f>SUM(W12:W14)</f>
        <v>-5075</v>
      </c>
      <c r="X15" s="20"/>
      <c r="Y15" s="740">
        <f t="shared" si="4"/>
        <v>2.6856430642576035E-2</v>
      </c>
      <c r="Z15" s="740">
        <f t="shared" si="4"/>
        <v>8.3152709359605836E-2</v>
      </c>
    </row>
    <row r="16" spans="2:26" x14ac:dyDescent="0.6">
      <c r="C16" s="750"/>
      <c r="D16" s="750"/>
      <c r="P16" s="20"/>
      <c r="Q16" s="20"/>
      <c r="R16" s="20"/>
      <c r="S16" s="20"/>
    </row>
    <row r="17" spans="2:26" x14ac:dyDescent="0.6">
      <c r="B17" s="20" t="s">
        <v>409</v>
      </c>
      <c r="C17" s="749">
        <f>Master!E15</f>
        <v>326.90000000000003</v>
      </c>
      <c r="D17" s="749">
        <f>Master!F15</f>
        <v>731.85017000000016</v>
      </c>
      <c r="E17" s="739">
        <f>Master!G15</f>
        <v>1663.1710000000003</v>
      </c>
      <c r="F17" s="739">
        <f>Master!H15</f>
        <v>3182.8955863716346</v>
      </c>
      <c r="G17" s="739">
        <f>Master!I15</f>
        <v>4565.1962036227596</v>
      </c>
      <c r="H17" s="739">
        <f>Master!J15</f>
        <v>6348.3063126606576</v>
      </c>
      <c r="I17" s="739">
        <f>Master!K15</f>
        <v>7749.0585117122428</v>
      </c>
      <c r="J17" s="739"/>
      <c r="K17" s="739">
        <f>K8+SUM(K12:K14)</f>
        <v>3034.2039147751293</v>
      </c>
      <c r="L17" s="739">
        <f>L8+SUM(L12:L14)</f>
        <v>4728</v>
      </c>
      <c r="M17" s="739">
        <f>M8+SUM(M12:M14)</f>
        <v>6504</v>
      </c>
      <c r="N17" s="739">
        <f>N8+SUM(N12:N14)</f>
        <v>7674</v>
      </c>
      <c r="O17" s="739"/>
      <c r="P17" s="740">
        <f>F17/K17-1</f>
        <v>4.9005167672629968E-2</v>
      </c>
      <c r="Q17" s="740">
        <f>G17/L17-1</f>
        <v>-3.4433967084864681E-2</v>
      </c>
      <c r="R17" s="740">
        <f>H17/M17-1</f>
        <v>-2.3938143809862034E-2</v>
      </c>
      <c r="S17" s="740">
        <f>I17/N17-1</f>
        <v>9.7808850289604621E-3</v>
      </c>
      <c r="T17" s="739"/>
      <c r="U17" s="739">
        <f>U8+SUM(U12:U14)</f>
        <v>1664.3000000000002</v>
      </c>
      <c r="V17" s="739">
        <f>V8+SUM(V12:V14)</f>
        <v>2850</v>
      </c>
      <c r="W17" s="739">
        <f>W8+SUM(W12:W14)</f>
        <v>4204</v>
      </c>
      <c r="X17" s="20"/>
      <c r="Y17" s="740">
        <f>K17/V17-1</f>
        <v>6.4632952552676981E-2</v>
      </c>
      <c r="Z17" s="740">
        <f>L17/W17-1</f>
        <v>0.12464319695528059</v>
      </c>
    </row>
    <row r="18" spans="2:26" x14ac:dyDescent="0.6">
      <c r="B18" s="20" t="s">
        <v>372</v>
      </c>
      <c r="C18" s="749"/>
      <c r="D18" s="749"/>
      <c r="E18" s="368">
        <f>E17/E8</f>
        <v>0.34720493276753589</v>
      </c>
      <c r="F18" s="368">
        <f t="shared" ref="F18:I18" si="5">F17/F8</f>
        <v>0.41160932748533774</v>
      </c>
      <c r="G18" s="368">
        <f t="shared" si="5"/>
        <v>0.45545835638956106</v>
      </c>
      <c r="H18" s="368">
        <f t="shared" si="5"/>
        <v>0.50573011967763692</v>
      </c>
      <c r="I18" s="368">
        <f t="shared" si="5"/>
        <v>0.52261099851155379</v>
      </c>
      <c r="J18" s="739"/>
      <c r="K18" s="368">
        <f t="shared" ref="K18" si="6">K17/K8</f>
        <v>0.41006243344345861</v>
      </c>
      <c r="L18" s="368">
        <f t="shared" ref="L18" si="7">L17/L8</f>
        <v>0.46239608801955989</v>
      </c>
      <c r="M18" s="368">
        <f t="shared" ref="M18" si="8">M17/M8</f>
        <v>0.50003844083954796</v>
      </c>
      <c r="N18" s="368">
        <f t="shared" ref="N18" si="9">N17/N8</f>
        <v>0.49967443677562184</v>
      </c>
      <c r="O18" s="739"/>
      <c r="P18" s="740"/>
      <c r="Q18" s="740"/>
      <c r="R18" s="740"/>
      <c r="S18" s="740"/>
      <c r="T18" s="739"/>
      <c r="U18" s="739"/>
      <c r="V18" s="739"/>
      <c r="W18" s="739"/>
      <c r="X18" s="20"/>
      <c r="Y18" s="740"/>
      <c r="Z18" s="740"/>
    </row>
    <row r="19" spans="2:26" x14ac:dyDescent="0.6">
      <c r="C19" s="750"/>
      <c r="D19" s="750"/>
    </row>
    <row r="20" spans="2:26" x14ac:dyDescent="0.6">
      <c r="B20" s="742" t="s">
        <v>705</v>
      </c>
      <c r="C20" s="751">
        <f>Master!E18</f>
        <v>269</v>
      </c>
      <c r="D20" s="751">
        <f>Master!F18</f>
        <v>678.33517000000006</v>
      </c>
      <c r="E20" s="743">
        <f>Master!G18</f>
        <v>2007.1709999999998</v>
      </c>
      <c r="F20" s="743">
        <f>Master!H18</f>
        <v>4266.7747691534696</v>
      </c>
      <c r="G20" s="743">
        <f>Master!I18</f>
        <v>6147.6057046030965</v>
      </c>
      <c r="H20" s="743">
        <f>Master!J18</f>
        <v>7919.0326661997469</v>
      </c>
      <c r="I20" s="743">
        <f>Master!K18</f>
        <v>9382.5383645485017</v>
      </c>
      <c r="J20" s="743"/>
      <c r="K20" s="743">
        <f>K5+K12</f>
        <v>3870.219212713203</v>
      </c>
      <c r="L20" s="743">
        <f>L5+L12</f>
        <v>6041</v>
      </c>
      <c r="M20" s="743">
        <f>M5+M12</f>
        <v>7833</v>
      </c>
      <c r="N20" s="743"/>
      <c r="O20" s="743"/>
      <c r="P20" s="234">
        <f>F20/K20-1</f>
        <v>0.10246333208662439</v>
      </c>
      <c r="Q20" s="234">
        <f>G20/L20-1</f>
        <v>1.7647029399618708E-2</v>
      </c>
      <c r="R20" s="234">
        <f>H20/M20-1</f>
        <v>1.0983360934475606E-2</v>
      </c>
      <c r="S20" s="234" t="e">
        <f>I20/N20-1</f>
        <v>#DIV/0!</v>
      </c>
      <c r="T20" s="743"/>
      <c r="U20" s="743">
        <f>U5+U12</f>
        <v>2008.3000000000002</v>
      </c>
      <c r="V20" s="743">
        <f>V5+V12</f>
        <v>3356</v>
      </c>
      <c r="W20" s="743">
        <f>W5+W12</f>
        <v>4576</v>
      </c>
      <c r="X20" s="742"/>
      <c r="Y20" s="234">
        <f>K20/V20-1</f>
        <v>0.15322384169046566</v>
      </c>
      <c r="Z20" s="234">
        <f>L20/W20-1</f>
        <v>0.32014860139860146</v>
      </c>
    </row>
    <row r="21" spans="2:26" x14ac:dyDescent="0.6">
      <c r="C21" s="750"/>
      <c r="D21" s="750"/>
    </row>
    <row r="22" spans="2:26" x14ac:dyDescent="0.6">
      <c r="B22" t="s">
        <v>1338</v>
      </c>
      <c r="C22" s="750"/>
      <c r="D22" s="750"/>
      <c r="E22" s="83">
        <f>E24-E17</f>
        <v>-1971</v>
      </c>
      <c r="F22" s="83">
        <f>F24-F17</f>
        <v>-1885.7567526400758</v>
      </c>
      <c r="G22" s="83">
        <f>G24-G17</f>
        <v>-2382.9706273750494</v>
      </c>
      <c r="H22" s="83">
        <f>H24-H17</f>
        <v>-2890.5623616323965</v>
      </c>
      <c r="I22" s="83">
        <f>I24-I17</f>
        <v>-3322.0750373711253</v>
      </c>
      <c r="K22" s="83">
        <f>K24-K17</f>
        <v>-1972.7897206786372</v>
      </c>
      <c r="L22" s="83">
        <f>L24-L17</f>
        <v>-2375</v>
      </c>
      <c r="M22" s="83">
        <f>M24-M17</f>
        <v>-2973</v>
      </c>
      <c r="N22" s="83"/>
      <c r="P22" s="234">
        <f>F22/K22-1</f>
        <v>-4.4116697854965636E-2</v>
      </c>
      <c r="Q22" s="234">
        <f>G22/L22-1</f>
        <v>3.3560536315997425E-3</v>
      </c>
      <c r="R22" s="234">
        <f>H22/M22-1</f>
        <v>-2.7728771734814472E-2</v>
      </c>
      <c r="S22" s="234" t="e">
        <f>I22/N22-1</f>
        <v>#DIV/0!</v>
      </c>
      <c r="U22" s="83">
        <f>U24-U17</f>
        <v>-1973.3000000000002</v>
      </c>
      <c r="V22" s="83">
        <f>V24-V17</f>
        <v>-2270</v>
      </c>
      <c r="W22" s="83">
        <f>W24-W17</f>
        <v>-2881</v>
      </c>
      <c r="Y22" s="234">
        <f>K22/V22-1</f>
        <v>-0.13092963846756067</v>
      </c>
      <c r="Z22" s="234">
        <f>L22/W22-1</f>
        <v>-0.17563346060395701</v>
      </c>
    </row>
    <row r="23" spans="2:26" x14ac:dyDescent="0.6">
      <c r="C23" s="750"/>
      <c r="D23" s="750"/>
    </row>
    <row r="24" spans="2:26" x14ac:dyDescent="0.6">
      <c r="B24" t="s">
        <v>477</v>
      </c>
      <c r="C24" s="747">
        <f>Master!E47</f>
        <v>-193.19999999999993</v>
      </c>
      <c r="D24" s="747">
        <f>Master!F47</f>
        <v>-171.23082999999974</v>
      </c>
      <c r="E24" s="83">
        <f>Master!G47</f>
        <v>-307.82899999999972</v>
      </c>
      <c r="F24" s="83">
        <f>Master!H47</f>
        <v>1297.1388337315589</v>
      </c>
      <c r="G24" s="83">
        <f>Master!I47</f>
        <v>2182.2255762477103</v>
      </c>
      <c r="H24" s="83">
        <f>Master!J47</f>
        <v>3457.7439510282611</v>
      </c>
      <c r="I24" s="83">
        <f>Master!K47</f>
        <v>4426.9834743411175</v>
      </c>
      <c r="J24" s="83"/>
      <c r="K24" s="83">
        <v>1061.4141940964921</v>
      </c>
      <c r="L24" s="356">
        <v>2353</v>
      </c>
      <c r="M24" s="356">
        <v>3531</v>
      </c>
      <c r="N24" s="356"/>
      <c r="O24" s="83"/>
      <c r="P24" s="234">
        <f>F24/K24-1</f>
        <v>0.22208544124070495</v>
      </c>
      <c r="Q24" s="234">
        <f>G24/L24-1</f>
        <v>-7.2577315661831565E-2</v>
      </c>
      <c r="R24" s="234">
        <f>H24/M24-1</f>
        <v>-2.0746544596924044E-2</v>
      </c>
      <c r="S24" s="234" t="e">
        <f>I24/N24-1</f>
        <v>#DIV/0!</v>
      </c>
      <c r="T24" s="83"/>
      <c r="U24" s="83">
        <v>-309</v>
      </c>
      <c r="V24" s="83">
        <v>580</v>
      </c>
      <c r="W24" s="83">
        <v>1323</v>
      </c>
      <c r="Y24" s="234">
        <f>K24/V24-1</f>
        <v>0.83002447258015888</v>
      </c>
      <c r="Z24" s="234">
        <f>L24/W24-1</f>
        <v>0.77853363567649292</v>
      </c>
    </row>
    <row r="25" spans="2:26" x14ac:dyDescent="0.6">
      <c r="C25" s="750"/>
      <c r="D25" s="750"/>
      <c r="K25" s="83"/>
      <c r="L25" s="83"/>
      <c r="M25" s="83"/>
      <c r="N25" s="83"/>
      <c r="U25" s="83"/>
      <c r="V25" s="83"/>
      <c r="W25" s="83"/>
    </row>
    <row r="26" spans="2:26" x14ac:dyDescent="0.6">
      <c r="B26" s="20" t="s">
        <v>1450</v>
      </c>
      <c r="C26" s="749">
        <f>Master!E56</f>
        <v>-171.49999999999994</v>
      </c>
      <c r="D26" s="749">
        <f>Master!F56</f>
        <v>-166.40082999999976</v>
      </c>
      <c r="E26" s="739">
        <f>Master!G56</f>
        <v>-363.82899999999972</v>
      </c>
      <c r="F26" s="739">
        <f>Master!H56</f>
        <v>874.28470843288972</v>
      </c>
      <c r="G26" s="739">
        <f>Master!I56</f>
        <v>1472.8902304990841</v>
      </c>
      <c r="H26" s="739">
        <f>Master!J56</f>
        <v>2316.6884471889348</v>
      </c>
      <c r="I26" s="739">
        <f>Master!K56</f>
        <v>2966.0789278085485</v>
      </c>
      <c r="J26" s="739"/>
      <c r="K26" s="1201">
        <v>873</v>
      </c>
      <c r="L26" s="1201">
        <v>1592</v>
      </c>
      <c r="M26" s="1201">
        <v>2349</v>
      </c>
      <c r="N26" s="1201">
        <v>3082</v>
      </c>
      <c r="O26" s="739"/>
      <c r="P26" s="740">
        <f>F26/K26-1</f>
        <v>1.4716018704350464E-3</v>
      </c>
      <c r="Q26" s="740">
        <f>G26/L26-1</f>
        <v>-7.4817694410123092E-2</v>
      </c>
      <c r="R26" s="740">
        <f>H26/M26-1</f>
        <v>-1.3755450323995388E-2</v>
      </c>
      <c r="S26" s="740">
        <f>I26/N26-1</f>
        <v>-3.7612288186713694E-2</v>
      </c>
      <c r="T26" s="739"/>
      <c r="U26" s="739">
        <v>-365</v>
      </c>
      <c r="V26" s="739">
        <v>372</v>
      </c>
      <c r="W26" s="739">
        <v>878</v>
      </c>
      <c r="Y26" s="740">
        <f>K26/V26-1</f>
        <v>1.346774193548387</v>
      </c>
      <c r="Z26" s="740">
        <f>L26/W26-1</f>
        <v>0.81321184510250566</v>
      </c>
    </row>
    <row r="27" spans="2:26" x14ac:dyDescent="0.6">
      <c r="B27" s="20" t="s">
        <v>372</v>
      </c>
      <c r="C27" s="749"/>
      <c r="D27" s="749"/>
      <c r="E27" s="368">
        <f>E26/E8</f>
        <v>-7.5953238412574356E-2</v>
      </c>
      <c r="F27" s="368">
        <f>F26/F8</f>
        <v>0.11306174868243343</v>
      </c>
      <c r="G27" s="368">
        <f>G26/G8</f>
        <v>0.14694662257736091</v>
      </c>
      <c r="H27" s="368">
        <f>H26/H8</f>
        <v>0.1845561741902807</v>
      </c>
      <c r="I27" s="368">
        <f>I26/I8</f>
        <v>0.20003791012588326</v>
      </c>
      <c r="J27" s="739"/>
      <c r="K27" s="368">
        <f>K26/K8</f>
        <v>0.11798300788319638</v>
      </c>
      <c r="L27" s="368">
        <f>L26/L8</f>
        <v>0.15569682151589243</v>
      </c>
      <c r="M27" s="368">
        <f>M26/M8</f>
        <v>0.18059506419620205</v>
      </c>
      <c r="N27" s="368">
        <f>N26/N8</f>
        <v>0.20067717150670661</v>
      </c>
      <c r="O27" s="739"/>
      <c r="P27" s="739"/>
      <c r="Q27" s="739"/>
      <c r="R27" s="739"/>
      <c r="S27" s="739"/>
      <c r="T27" s="739"/>
      <c r="U27" s="368">
        <f>U26/U8</f>
        <v>-7.6163846169897548E-2</v>
      </c>
      <c r="V27" s="368">
        <f>V26/V8</f>
        <v>5.238698774820448E-2</v>
      </c>
      <c r="W27" s="368">
        <f>W26/W8</f>
        <v>9.4622265330315772E-2</v>
      </c>
      <c r="Y27" s="740"/>
      <c r="Z27" s="740"/>
    </row>
    <row r="28" spans="2:26" x14ac:dyDescent="0.6">
      <c r="B28" s="20" t="s">
        <v>1451</v>
      </c>
      <c r="C28" s="749"/>
      <c r="D28" s="749"/>
      <c r="E28" s="739">
        <f>Master!G60</f>
        <v>214</v>
      </c>
      <c r="F28" s="739">
        <f>Master!H60</f>
        <v>1074.2847084328896</v>
      </c>
      <c r="G28" s="739">
        <f>Master!I60</f>
        <v>1682.8902304990841</v>
      </c>
      <c r="H28" s="739">
        <f>Master!J60</f>
        <v>2537.1884471889348</v>
      </c>
      <c r="I28" s="739">
        <f>Master!K60</f>
        <v>3197.6039278085486</v>
      </c>
      <c r="J28" s="739"/>
      <c r="K28" s="739">
        <v>902.11309919519363</v>
      </c>
      <c r="L28" s="739">
        <v>1543.5963382107859</v>
      </c>
      <c r="M28" s="739">
        <v>2371.3860317144531</v>
      </c>
      <c r="N28" s="739"/>
      <c r="O28" s="739"/>
      <c r="P28" s="740">
        <f>F28/K28-1</f>
        <v>0.19085368496621569</v>
      </c>
      <c r="Q28" s="740">
        <f>G28/L28-1</f>
        <v>9.0239843694988719E-2</v>
      </c>
      <c r="R28" s="740">
        <f>H28/M28-1</f>
        <v>6.9917935442425971E-2</v>
      </c>
      <c r="S28" s="740" t="e">
        <f>I28/N28-1</f>
        <v>#DIV/0!</v>
      </c>
      <c r="T28" s="739"/>
      <c r="U28" s="739">
        <v>205</v>
      </c>
      <c r="V28" s="739">
        <v>670</v>
      </c>
      <c r="W28" s="739">
        <v>1247</v>
      </c>
      <c r="Y28" s="740">
        <f>K28/V28-1</f>
        <v>0.34643746148536358</v>
      </c>
      <c r="Z28" s="740">
        <f>L28/W28-1</f>
        <v>0.23784790554192936</v>
      </c>
    </row>
    <row r="29" spans="2:26" x14ac:dyDescent="0.6">
      <c r="C29" s="750"/>
      <c r="D29" s="750"/>
    </row>
    <row r="30" spans="2:26" x14ac:dyDescent="0.6">
      <c r="B30" s="412" t="s">
        <v>731</v>
      </c>
      <c r="C30" s="750"/>
      <c r="D30" s="750"/>
    </row>
    <row r="31" spans="2:26" x14ac:dyDescent="0.6">
      <c r="B31" t="s">
        <v>730</v>
      </c>
      <c r="C31" s="747">
        <f>Master!E154</f>
        <v>2908.9</v>
      </c>
      <c r="D31" s="747">
        <f>Master!F154</f>
        <v>4780.5</v>
      </c>
      <c r="E31" s="83">
        <f>Master!G154</f>
        <v>8233</v>
      </c>
      <c r="F31" s="83">
        <f>Master!H154</f>
        <v>12218.016153236456</v>
      </c>
      <c r="G31" s="83">
        <f>Master!I154</f>
        <v>16387.137596849418</v>
      </c>
      <c r="H31" s="83">
        <f>Master!J154</f>
        <v>19903.781491858783</v>
      </c>
      <c r="I31" s="83">
        <f>Master!K154</f>
        <v>22911.326359461033</v>
      </c>
      <c r="J31" s="83"/>
      <c r="K31" s="356">
        <v>12889</v>
      </c>
      <c r="L31" s="356">
        <v>17715</v>
      </c>
      <c r="M31" s="356">
        <v>22386</v>
      </c>
      <c r="N31" s="356">
        <v>25746</v>
      </c>
      <c r="O31" s="83"/>
      <c r="P31" s="83"/>
      <c r="Q31" s="83"/>
      <c r="R31" s="83"/>
      <c r="S31" s="83"/>
      <c r="T31" s="83"/>
      <c r="U31" s="83">
        <v>8233</v>
      </c>
      <c r="V31" s="83">
        <v>12292</v>
      </c>
      <c r="W31" s="83">
        <v>16550</v>
      </c>
      <c r="Y31" s="234">
        <f>K31/V31-1</f>
        <v>4.8568174422388477E-2</v>
      </c>
      <c r="Z31" s="234">
        <f>L31/W31-1</f>
        <v>7.0392749244712949E-2</v>
      </c>
    </row>
    <row r="32" spans="2:26" x14ac:dyDescent="0.6">
      <c r="B32" t="s">
        <v>796</v>
      </c>
      <c r="C32" s="747">
        <f>Master!E155</f>
        <v>202.32558139534882</v>
      </c>
      <c r="D32" s="747">
        <f>Master!F155</f>
        <v>1194.81</v>
      </c>
      <c r="E32" s="83">
        <f>Master!G155</f>
        <v>1673</v>
      </c>
      <c r="F32" s="83">
        <f>Master!H155</f>
        <v>3073.7838046249276</v>
      </c>
      <c r="G32" s="83">
        <f>Master!I155</f>
        <v>4345.3200144218608</v>
      </c>
      <c r="H32" s="83">
        <f>Master!J155</f>
        <v>6029.4757547159606</v>
      </c>
      <c r="I32" s="83">
        <f>Master!K155</f>
        <v>7933.6431269120003</v>
      </c>
      <c r="J32" s="83"/>
      <c r="K32" s="356">
        <v>3331</v>
      </c>
      <c r="L32" s="356">
        <v>5310</v>
      </c>
      <c r="M32" s="356">
        <v>7599</v>
      </c>
      <c r="N32" s="356">
        <v>10856</v>
      </c>
      <c r="O32" s="83"/>
      <c r="P32" s="83"/>
      <c r="Q32" s="83"/>
      <c r="R32" s="83"/>
      <c r="S32" s="83"/>
      <c r="T32" s="83"/>
      <c r="U32" s="83">
        <v>1673</v>
      </c>
      <c r="V32" s="83">
        <f>V34-V31-V33</f>
        <v>2694</v>
      </c>
      <c r="W32" s="83">
        <f>W34-W31-W33</f>
        <v>4739</v>
      </c>
      <c r="Y32" s="234">
        <f>K32/V32-1</f>
        <v>0.23645137342242029</v>
      </c>
      <c r="Z32" s="234">
        <f>L32/W32-1</f>
        <v>0.12048955475838774</v>
      </c>
    </row>
    <row r="33" spans="2:26" x14ac:dyDescent="0.6">
      <c r="B33" t="s">
        <v>1337</v>
      </c>
      <c r="C33" s="747"/>
      <c r="D33" s="747"/>
      <c r="E33" s="83"/>
      <c r="F33" s="83">
        <f>Master!H156</f>
        <v>297.60987169666799</v>
      </c>
      <c r="G33" s="83">
        <f>Master!I156</f>
        <v>1269.7890943834561</v>
      </c>
      <c r="H33" s="83">
        <f>Master!J156</f>
        <v>2653.3600077265728</v>
      </c>
      <c r="I33" s="83">
        <f>Master!K156</f>
        <v>3438.8785819989016</v>
      </c>
      <c r="J33" s="83"/>
      <c r="K33" s="83">
        <f>K34-K31-K32</f>
        <v>12</v>
      </c>
      <c r="L33" s="83">
        <f>L34-L31-L32</f>
        <v>446</v>
      </c>
      <c r="M33" s="83">
        <f>M34-M31-M32</f>
        <v>1346</v>
      </c>
      <c r="N33" s="83">
        <f>N34-N31-N32</f>
        <v>1865</v>
      </c>
      <c r="O33" s="83"/>
      <c r="P33" s="83"/>
      <c r="Q33" s="83"/>
      <c r="R33" s="83"/>
      <c r="S33" s="83"/>
      <c r="T33" s="83"/>
      <c r="U33" s="83"/>
      <c r="V33" s="83"/>
      <c r="W33" s="83"/>
      <c r="Y33" s="234"/>
      <c r="Z33" s="234"/>
    </row>
    <row r="34" spans="2:26" x14ac:dyDescent="0.6">
      <c r="B34" s="20" t="s">
        <v>732</v>
      </c>
      <c r="C34" s="749">
        <f>SUM(C31:C32)</f>
        <v>3111.2255813953489</v>
      </c>
      <c r="D34" s="749">
        <f>SUM(D31:D32)</f>
        <v>5975.3099999999995</v>
      </c>
      <c r="E34" s="739">
        <f>SUM(E31:E33)</f>
        <v>9906</v>
      </c>
      <c r="F34" s="739">
        <f>SUM(F31:F33)</f>
        <v>15589.409829558052</v>
      </c>
      <c r="G34" s="739">
        <f>SUM(G31:G33)</f>
        <v>22002.246705654736</v>
      </c>
      <c r="H34" s="739">
        <f>SUM(H31:H33)</f>
        <v>28586.617254301316</v>
      </c>
      <c r="I34" s="739">
        <f>SUM(I31:I33)</f>
        <v>34283.848068371932</v>
      </c>
      <c r="J34" s="739"/>
      <c r="K34" s="1201">
        <v>16232</v>
      </c>
      <c r="L34" s="1201">
        <v>23471</v>
      </c>
      <c r="M34" s="1201">
        <v>31331</v>
      </c>
      <c r="N34" s="1201">
        <v>38467</v>
      </c>
      <c r="O34" s="739"/>
      <c r="P34" s="740">
        <f>F34/K34-1</f>
        <v>-3.9587861658572421E-2</v>
      </c>
      <c r="Q34" s="740">
        <f>G34/L34-1</f>
        <v>-6.257736331410102E-2</v>
      </c>
      <c r="R34" s="740">
        <f>H34/M34-1</f>
        <v>-8.759320627170164E-2</v>
      </c>
      <c r="S34" s="740">
        <f>I34/N34-1</f>
        <v>-0.10874650821816279</v>
      </c>
      <c r="T34" s="739"/>
      <c r="U34" s="739">
        <f>SUM(U31:U33)</f>
        <v>9906</v>
      </c>
      <c r="V34" s="739">
        <v>14986</v>
      </c>
      <c r="W34" s="739">
        <v>21289</v>
      </c>
      <c r="X34" s="20"/>
      <c r="Y34" s="740">
        <f>K34/V34-1</f>
        <v>8.3144267983451314E-2</v>
      </c>
      <c r="Z34" s="740">
        <f>L34/W34-1</f>
        <v>0.10249424585466671</v>
      </c>
    </row>
    <row r="35" spans="2:26" x14ac:dyDescent="0.6">
      <c r="B35" t="s">
        <v>733</v>
      </c>
      <c r="C35" s="747"/>
      <c r="D35" s="747"/>
      <c r="E35" s="234">
        <f>E34/D34-1</f>
        <v>0.65782193727187388</v>
      </c>
      <c r="F35" s="234">
        <f>F34/E34-1</f>
        <v>0.57373408333919351</v>
      </c>
      <c r="G35" s="234">
        <f>G34/F34-1</f>
        <v>0.41135854058681098</v>
      </c>
      <c r="H35" s="234">
        <f>H34/G34-1</f>
        <v>0.29925900916992942</v>
      </c>
      <c r="I35" s="234">
        <f>I34/H34-1</f>
        <v>0.19929713136007288</v>
      </c>
      <c r="J35" s="234"/>
      <c r="K35" s="234"/>
      <c r="L35" s="234">
        <f>L34/K34-1</f>
        <v>0.44597092163627394</v>
      </c>
      <c r="M35" s="234">
        <f>M34/L34-1</f>
        <v>0.33488134293383331</v>
      </c>
      <c r="N35" s="234"/>
      <c r="O35" s="234"/>
      <c r="P35" s="234"/>
      <c r="Q35" s="234"/>
      <c r="R35" s="234"/>
      <c r="S35" s="234"/>
      <c r="T35" s="234"/>
      <c r="U35" s="234"/>
      <c r="V35" s="234">
        <f>V34/U34-1</f>
        <v>0.51282051282051277</v>
      </c>
      <c r="W35" s="234">
        <f>W34/V34-1</f>
        <v>0.42059255304951293</v>
      </c>
      <c r="Y35" s="234"/>
      <c r="Z35" s="234"/>
    </row>
    <row r="36" spans="2:26" x14ac:dyDescent="0.6">
      <c r="C36" s="747"/>
      <c r="D36" s="747"/>
      <c r="E36" s="234"/>
      <c r="F36" s="234"/>
      <c r="G36" s="234"/>
      <c r="H36" s="234"/>
      <c r="I36" s="234"/>
      <c r="J36" s="234"/>
      <c r="K36" s="234"/>
      <c r="L36" s="234">
        <f>L32/K32-1</f>
        <v>0.59411588111678171</v>
      </c>
      <c r="M36" s="234">
        <f>M32/L32-1</f>
        <v>0.43107344632768352</v>
      </c>
      <c r="N36" s="234"/>
      <c r="O36" s="234"/>
      <c r="P36" s="234"/>
      <c r="Q36" s="234"/>
      <c r="R36" s="234"/>
      <c r="S36" s="234"/>
      <c r="T36" s="234"/>
      <c r="U36" s="234"/>
      <c r="V36" s="234">
        <f>V32/U32-1</f>
        <v>0.6102809324566647</v>
      </c>
      <c r="W36" s="234">
        <f>W32/V32-1</f>
        <v>0.75909428359316999</v>
      </c>
      <c r="Y36" s="234"/>
      <c r="Z36" s="234"/>
    </row>
    <row r="37" spans="2:26" x14ac:dyDescent="0.6">
      <c r="C37" s="747"/>
      <c r="D37" s="747"/>
      <c r="E37" s="234"/>
      <c r="F37" s="234"/>
      <c r="G37" s="234"/>
      <c r="H37" s="234"/>
      <c r="I37" s="234"/>
      <c r="J37" s="234"/>
      <c r="K37" s="234"/>
      <c r="L37" s="234"/>
      <c r="M37" s="234"/>
      <c r="N37" s="234"/>
      <c r="O37" s="234"/>
      <c r="P37" s="234"/>
      <c r="Q37" s="234"/>
      <c r="R37" s="234"/>
      <c r="S37" s="234"/>
      <c r="T37" s="234"/>
      <c r="U37" s="234"/>
      <c r="V37" s="234"/>
      <c r="W37" s="234"/>
      <c r="Y37" s="234"/>
      <c r="Z37" s="234"/>
    </row>
    <row r="38" spans="2:26" x14ac:dyDescent="0.6">
      <c r="B38" s="20" t="s">
        <v>47</v>
      </c>
      <c r="C38" s="749">
        <f>Master!E173</f>
        <v>5584.9</v>
      </c>
      <c r="D38" s="749">
        <f>Master!F173</f>
        <v>9667.2999999999993</v>
      </c>
      <c r="E38" s="739">
        <f>Master!G173</f>
        <v>15808</v>
      </c>
      <c r="F38" s="739">
        <f>Master!H173</f>
        <v>20856.916775599129</v>
      </c>
      <c r="G38" s="739">
        <f>Master!I173</f>
        <v>25060.774268441615</v>
      </c>
      <c r="H38" s="739">
        <f>Master!J173</f>
        <v>31360.455139591166</v>
      </c>
      <c r="I38" s="739">
        <f>Master!K173</f>
        <v>37973.970477496892</v>
      </c>
      <c r="J38" s="739"/>
      <c r="K38" s="360">
        <v>20925</v>
      </c>
      <c r="L38" s="360">
        <v>26545</v>
      </c>
      <c r="M38" s="360">
        <v>32953</v>
      </c>
      <c r="N38" s="360">
        <v>41595</v>
      </c>
      <c r="O38" s="739"/>
      <c r="P38" s="740">
        <f>F38/K38-1</f>
        <v>-3.253678585465769E-3</v>
      </c>
      <c r="Q38" s="740">
        <f>G38/L38-1</f>
        <v>-5.591357059929869E-2</v>
      </c>
      <c r="R38" s="740">
        <f>H38/M38-1</f>
        <v>-4.8327765617966034E-2</v>
      </c>
      <c r="S38" s="740">
        <f>I38/N38-1</f>
        <v>-8.7054442180625302E-2</v>
      </c>
      <c r="T38" s="739"/>
      <c r="U38" s="20">
        <v>15809</v>
      </c>
      <c r="V38" s="20">
        <v>20560</v>
      </c>
      <c r="W38" s="20">
        <v>26383</v>
      </c>
      <c r="X38" s="20"/>
      <c r="Y38" s="740">
        <f>K38/V38-1</f>
        <v>1.775291828793768E-2</v>
      </c>
      <c r="Z38" s="740">
        <f>L38/W38-1</f>
        <v>6.140317628776204E-3</v>
      </c>
    </row>
    <row r="39" spans="2:26" x14ac:dyDescent="0.6">
      <c r="B39" t="s">
        <v>1085</v>
      </c>
      <c r="C39" s="750"/>
      <c r="D39" s="750"/>
      <c r="E39" s="234">
        <f>E38/E34</f>
        <v>1.5958005249343832</v>
      </c>
      <c r="F39" s="234">
        <f>F38/F34</f>
        <v>1.3378900807427427</v>
      </c>
      <c r="G39" s="234">
        <f>G38/G34</f>
        <v>1.1390097840326832</v>
      </c>
      <c r="H39" s="234">
        <f>H38/H34</f>
        <v>1.0970327430004849</v>
      </c>
      <c r="I39" s="234">
        <f>I38/I34</f>
        <v>1.1076344289522515</v>
      </c>
      <c r="K39" s="234">
        <f>K38/K34</f>
        <v>1.2891202562838837</v>
      </c>
      <c r="L39" s="234">
        <f>L38/L34</f>
        <v>1.1309701333560565</v>
      </c>
      <c r="M39" s="234">
        <f>M38/M34</f>
        <v>1.0517698126456225</v>
      </c>
      <c r="N39" s="234">
        <f>N38/N34</f>
        <v>1.081316453063665</v>
      </c>
      <c r="U39" s="234">
        <f>U38/U34</f>
        <v>1.5959014738542299</v>
      </c>
      <c r="V39" s="234">
        <f>V38/V34</f>
        <v>1.3719471506739624</v>
      </c>
      <c r="W39" s="234">
        <f>W38/W34</f>
        <v>1.2392785006341303</v>
      </c>
    </row>
    <row r="40" spans="2:26" x14ac:dyDescent="0.6">
      <c r="B40" s="20" t="s">
        <v>426</v>
      </c>
      <c r="C40" s="752"/>
      <c r="D40" s="753">
        <f t="shared" ref="D40:I40" si="10">D5/AVERAGE(C34,D34)</f>
        <v>0.23016014423385406</v>
      </c>
      <c r="E40" s="368">
        <f t="shared" si="10"/>
        <v>0.44771760012240802</v>
      </c>
      <c r="F40" s="368">
        <f t="shared" si="10"/>
        <v>0.48136872172261563</v>
      </c>
      <c r="G40" s="368">
        <f t="shared" si="10"/>
        <v>0.42646700091518852</v>
      </c>
      <c r="H40" s="368">
        <f t="shared" si="10"/>
        <v>0.38903735451472465</v>
      </c>
      <c r="I40" s="368">
        <f t="shared" si="10"/>
        <v>0.36873148956342516</v>
      </c>
      <c r="J40" s="20"/>
      <c r="K40" s="368">
        <f>K5/AVERAGE(E34,K34)</f>
        <v>0.44119341745184598</v>
      </c>
      <c r="L40" s="368">
        <f>L5/AVERAGE(K34,L34)</f>
        <v>0.40405007178298868</v>
      </c>
      <c r="M40" s="368">
        <f>M5/AVERAGE(L34,M34)</f>
        <v>0.36761432064523192</v>
      </c>
      <c r="N40" s="368">
        <f>N5/AVERAGE(M34,N34)</f>
        <v>0.33548239204561736</v>
      </c>
      <c r="O40" s="20"/>
      <c r="P40" s="20"/>
      <c r="Q40" s="20"/>
      <c r="R40" s="20"/>
      <c r="S40" s="20"/>
      <c r="T40" s="20"/>
      <c r="U40" s="368">
        <f>U5/AVERAGE(D34,U34)</f>
        <v>0.4477338456336411</v>
      </c>
      <c r="V40" s="368">
        <f>V5/AVERAGE(E34,V34)</f>
        <v>0.42776795757673147</v>
      </c>
      <c r="W40" s="368">
        <f>W5/AVERAGE(F34,W34)</f>
        <v>0.36438664416678407</v>
      </c>
      <c r="X40" s="20"/>
      <c r="Y40" s="20"/>
      <c r="Z40" s="20"/>
    </row>
  </sheetData>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41FDF-0B69-461A-B89F-FFD7CFAFF000}">
  <dimension ref="B1:AY1210"/>
  <sheetViews>
    <sheetView showGridLines="0" topLeftCell="A1177" zoomScale="74" zoomScaleNormal="75" workbookViewId="0">
      <selection activeCell="B1184" sqref="B1184"/>
    </sheetView>
  </sheetViews>
  <sheetFormatPr defaultColWidth="8.69921875" defaultRowHeight="15.3" x14ac:dyDescent="0.55000000000000004"/>
  <cols>
    <col min="1" max="1" width="8.69921875" style="572"/>
    <col min="2" max="2" width="39.296875" style="557" customWidth="1"/>
    <col min="3" max="6" width="8.69921875" style="557" customWidth="1"/>
    <col min="7" max="7" width="8.19921875" style="572" customWidth="1"/>
    <col min="8" max="11" width="8.69921875" style="572" customWidth="1"/>
    <col min="12" max="12" width="8.6484375" style="572" customWidth="1"/>
    <col min="13" max="17" width="8.69921875" style="572" customWidth="1"/>
    <col min="18" max="19" width="8.19921875" style="572" customWidth="1"/>
    <col min="20" max="20" width="7.69921875" style="559" customWidth="1"/>
    <col min="21" max="25" width="8.19921875" style="559" customWidth="1"/>
    <col min="26" max="26" width="8.69921875" style="559"/>
    <col min="27" max="31" width="8.19921875" style="559" customWidth="1"/>
    <col min="32" max="32" width="8.5" style="559" bestFit="1" customWidth="1"/>
    <col min="33" max="50" width="8.69921875" style="559"/>
    <col min="51" max="16384" width="8.69921875" style="572"/>
  </cols>
  <sheetData>
    <row r="1" spans="2:19" s="560" customFormat="1" x14ac:dyDescent="0.55000000000000004">
      <c r="B1" s="557" t="s">
        <v>135</v>
      </c>
      <c r="C1" s="557">
        <v>2018</v>
      </c>
      <c r="D1" s="557">
        <v>2019</v>
      </c>
      <c r="E1" s="557">
        <v>2020</v>
      </c>
      <c r="F1" s="558" t="s">
        <v>251</v>
      </c>
      <c r="G1" s="558">
        <v>2022</v>
      </c>
      <c r="H1" s="558">
        <v>2023</v>
      </c>
      <c r="I1" s="558">
        <v>2024</v>
      </c>
      <c r="J1" s="558">
        <v>2025</v>
      </c>
      <c r="K1" s="558">
        <v>2026</v>
      </c>
      <c r="L1" s="558">
        <v>2027</v>
      </c>
      <c r="M1" s="558">
        <v>2028</v>
      </c>
      <c r="N1" s="558">
        <v>2029</v>
      </c>
      <c r="O1" s="558">
        <v>2030</v>
      </c>
      <c r="P1" s="559"/>
      <c r="Q1" s="559"/>
      <c r="R1" s="559"/>
      <c r="S1" s="559"/>
    </row>
    <row r="2" spans="2:19" s="559" customFormat="1" x14ac:dyDescent="0.55000000000000004">
      <c r="B2" s="561" t="s">
        <v>136</v>
      </c>
      <c r="C2" s="562" t="s">
        <v>7</v>
      </c>
      <c r="D2" s="562" t="s">
        <v>7</v>
      </c>
      <c r="E2" s="562" t="s">
        <v>7</v>
      </c>
      <c r="F2" s="562" t="s">
        <v>7</v>
      </c>
      <c r="G2" s="562" t="s">
        <v>8</v>
      </c>
      <c r="H2" s="562" t="s">
        <v>8</v>
      </c>
      <c r="I2" s="562" t="s">
        <v>8</v>
      </c>
      <c r="J2" s="562" t="s">
        <v>8</v>
      </c>
      <c r="K2" s="562" t="s">
        <v>8</v>
      </c>
      <c r="L2" s="562" t="s">
        <v>8</v>
      </c>
      <c r="M2" s="562" t="s">
        <v>8</v>
      </c>
      <c r="N2" s="562" t="s">
        <v>8</v>
      </c>
      <c r="O2" s="562" t="s">
        <v>8</v>
      </c>
    </row>
    <row r="3" spans="2:19" s="559" customFormat="1" x14ac:dyDescent="0.55000000000000004">
      <c r="B3" s="561" t="s">
        <v>9</v>
      </c>
    </row>
    <row r="4" spans="2:19" s="565" customFormat="1" ht="15.6" thickBot="1" x14ac:dyDescent="0.6">
      <c r="B4" s="563" t="s">
        <v>133</v>
      </c>
      <c r="C4" s="564">
        <f t="shared" ref="C4:O4" si="0">SUM(C5:C9)</f>
        <v>318.90000000000003</v>
      </c>
      <c r="D4" s="564">
        <f t="shared" si="0"/>
        <v>620.70000000000005</v>
      </c>
      <c r="E4" s="564">
        <f t="shared" si="0"/>
        <v>775.99999999999989</v>
      </c>
      <c r="F4" s="564">
        <f t="shared" si="0"/>
        <v>1062.0999999999999</v>
      </c>
      <c r="G4" s="564">
        <f t="shared" si="0"/>
        <v>0</v>
      </c>
      <c r="H4" s="564">
        <f t="shared" si="0"/>
        <v>0.53356557762922519</v>
      </c>
      <c r="I4" s="564">
        <f t="shared" si="0"/>
        <v>0</v>
      </c>
      <c r="J4" s="564">
        <f t="shared" si="0"/>
        <v>0</v>
      </c>
      <c r="K4" s="564">
        <f t="shared" si="0"/>
        <v>0</v>
      </c>
      <c r="L4" s="564">
        <f t="shared" si="0"/>
        <v>0</v>
      </c>
      <c r="M4" s="564">
        <f t="shared" si="0"/>
        <v>0</v>
      </c>
      <c r="N4" s="564">
        <f t="shared" si="0"/>
        <v>0</v>
      </c>
      <c r="O4" s="564">
        <f t="shared" si="0"/>
        <v>0</v>
      </c>
    </row>
    <row r="5" spans="2:19" s="568" customFormat="1" ht="14.1" x14ac:dyDescent="0.5">
      <c r="B5" s="566" t="s">
        <v>158</v>
      </c>
      <c r="C5" s="567">
        <v>128.5</v>
      </c>
      <c r="D5" s="567">
        <v>214.6</v>
      </c>
      <c r="E5" s="567">
        <v>217.5</v>
      </c>
      <c r="F5" s="567">
        <v>245.2</v>
      </c>
      <c r="H5" s="568">
        <f>(F5+F8)/F4</f>
        <v>0.53356557762922519</v>
      </c>
    </row>
    <row r="6" spans="2:19" s="568" customFormat="1" ht="14.1" x14ac:dyDescent="0.5">
      <c r="B6" s="566" t="s">
        <v>159</v>
      </c>
      <c r="C6" s="567">
        <v>0</v>
      </c>
      <c r="D6" s="567">
        <v>8.6</v>
      </c>
      <c r="E6" s="567">
        <v>38.9</v>
      </c>
      <c r="F6" s="567">
        <v>161.19999999999999</v>
      </c>
    </row>
    <row r="7" spans="2:19" s="568" customFormat="1" ht="14.1" x14ac:dyDescent="0.5">
      <c r="B7" s="566" t="s">
        <v>334</v>
      </c>
      <c r="C7" s="567">
        <v>33.099999999999994</v>
      </c>
      <c r="D7" s="567">
        <v>123.29999999999998</v>
      </c>
      <c r="E7" s="567">
        <v>165.39999999999998</v>
      </c>
      <c r="F7" s="567">
        <f>607.2-F5-F6</f>
        <v>200.80000000000007</v>
      </c>
    </row>
    <row r="8" spans="2:19" s="568" customFormat="1" ht="14.1" x14ac:dyDescent="0.5">
      <c r="B8" s="566" t="s">
        <v>162</v>
      </c>
      <c r="C8" s="567">
        <v>116.5</v>
      </c>
      <c r="D8" s="567">
        <v>203.9</v>
      </c>
      <c r="E8" s="567">
        <v>254.3</v>
      </c>
      <c r="F8" s="567">
        <v>321.5</v>
      </c>
      <c r="Q8" s="569"/>
    </row>
    <row r="9" spans="2:19" s="568" customFormat="1" ht="14.1" x14ac:dyDescent="0.5">
      <c r="B9" s="566" t="s">
        <v>232</v>
      </c>
      <c r="C9" s="567">
        <v>40.800000000000004</v>
      </c>
      <c r="D9" s="567">
        <v>70.300000000000011</v>
      </c>
      <c r="E9" s="567">
        <v>99.9</v>
      </c>
      <c r="F9" s="567">
        <f>454.9-F8</f>
        <v>133.39999999999998</v>
      </c>
      <c r="Q9" s="569"/>
    </row>
    <row r="10" spans="2:19" s="568" customFormat="1" ht="14.1" x14ac:dyDescent="0.5">
      <c r="B10" s="566"/>
      <c r="C10" s="567"/>
      <c r="D10" s="567"/>
      <c r="E10" s="567"/>
      <c r="F10" s="567"/>
      <c r="Q10" s="569"/>
    </row>
    <row r="11" spans="2:19" s="568" customFormat="1" ht="14.1" x14ac:dyDescent="0.5">
      <c r="B11" s="566" t="s">
        <v>159</v>
      </c>
      <c r="C11" s="567">
        <v>0</v>
      </c>
      <c r="D11" s="567">
        <v>8.6</v>
      </c>
      <c r="E11" s="567">
        <v>38.9</v>
      </c>
      <c r="F11" s="567">
        <v>161.19999999999999</v>
      </c>
      <c r="Q11" s="569"/>
    </row>
    <row r="12" spans="2:19" x14ac:dyDescent="0.55000000000000004">
      <c r="B12" s="570" t="s">
        <v>10</v>
      </c>
      <c r="C12" s="571">
        <f>C11/C4</f>
        <v>0</v>
      </c>
      <c r="D12" s="571">
        <f>D11/D4</f>
        <v>1.3855324633478329E-2</v>
      </c>
      <c r="E12" s="571">
        <f>E11/E4</f>
        <v>5.0128865979381446E-2</v>
      </c>
      <c r="F12" s="571">
        <f>F11/F4</f>
        <v>0.15177478580171358</v>
      </c>
    </row>
    <row r="14" spans="2:19" s="565" customFormat="1" ht="15.6" thickBot="1" x14ac:dyDescent="0.6">
      <c r="B14" s="563" t="s">
        <v>91</v>
      </c>
      <c r="C14" s="564">
        <f t="shared" ref="C14:O14" si="1">C15+C18+C23</f>
        <v>-207.2</v>
      </c>
      <c r="D14" s="564">
        <f t="shared" si="1"/>
        <v>-364.2</v>
      </c>
      <c r="E14" s="564">
        <f t="shared" si="1"/>
        <v>-410.2</v>
      </c>
      <c r="F14" s="564">
        <f t="shared" si="1"/>
        <v>0</v>
      </c>
      <c r="G14" s="564">
        <f t="shared" si="1"/>
        <v>0</v>
      </c>
      <c r="H14" s="564">
        <f t="shared" si="1"/>
        <v>0</v>
      </c>
      <c r="I14" s="564">
        <f t="shared" si="1"/>
        <v>0</v>
      </c>
      <c r="J14" s="564">
        <f t="shared" si="1"/>
        <v>0</v>
      </c>
      <c r="K14" s="564">
        <f t="shared" si="1"/>
        <v>0</v>
      </c>
      <c r="L14" s="564">
        <f t="shared" si="1"/>
        <v>0</v>
      </c>
      <c r="M14" s="564">
        <f t="shared" si="1"/>
        <v>0</v>
      </c>
      <c r="N14" s="564">
        <f t="shared" si="1"/>
        <v>0</v>
      </c>
      <c r="O14" s="564">
        <f t="shared" si="1"/>
        <v>0</v>
      </c>
    </row>
    <row r="15" spans="2:19" s="574" customFormat="1" ht="14.1" x14ac:dyDescent="0.5">
      <c r="B15" s="557" t="s">
        <v>89</v>
      </c>
      <c r="C15" s="573">
        <f t="shared" ref="C15:O15" si="2">C16+C17</f>
        <v>-45.4</v>
      </c>
      <c r="D15" s="573">
        <f t="shared" si="2"/>
        <v>-109.69999999999999</v>
      </c>
      <c r="E15" s="573">
        <f t="shared" si="2"/>
        <v>-113.9</v>
      </c>
      <c r="F15" s="573">
        <f t="shared" si="2"/>
        <v>0</v>
      </c>
      <c r="G15" s="573">
        <f t="shared" si="2"/>
        <v>0</v>
      </c>
      <c r="H15" s="573">
        <f t="shared" si="2"/>
        <v>0</v>
      </c>
      <c r="I15" s="573">
        <f t="shared" si="2"/>
        <v>0</v>
      </c>
      <c r="J15" s="573">
        <f t="shared" si="2"/>
        <v>0</v>
      </c>
      <c r="K15" s="573">
        <f t="shared" si="2"/>
        <v>0</v>
      </c>
      <c r="L15" s="573">
        <f t="shared" si="2"/>
        <v>0</v>
      </c>
      <c r="M15" s="573">
        <f t="shared" si="2"/>
        <v>0</v>
      </c>
      <c r="N15" s="573">
        <f t="shared" si="2"/>
        <v>0</v>
      </c>
      <c r="O15" s="573">
        <f t="shared" si="2"/>
        <v>0</v>
      </c>
    </row>
    <row r="16" spans="2:19" x14ac:dyDescent="0.55000000000000004">
      <c r="B16" s="575" t="s">
        <v>167</v>
      </c>
      <c r="C16" s="576">
        <v>-16.899999999999999</v>
      </c>
      <c r="D16" s="576">
        <v>-81.099999999999994</v>
      </c>
      <c r="E16" s="576">
        <v>-87.2</v>
      </c>
      <c r="F16" s="576"/>
    </row>
    <row r="17" spans="2:15" x14ac:dyDescent="0.55000000000000004">
      <c r="B17" s="575" t="s">
        <v>168</v>
      </c>
      <c r="C17" s="576">
        <v>-28.5</v>
      </c>
      <c r="D17" s="576">
        <v>-28.6</v>
      </c>
      <c r="E17" s="576">
        <v>-26.7</v>
      </c>
      <c r="F17" s="576"/>
    </row>
    <row r="18" spans="2:15" x14ac:dyDescent="0.55000000000000004">
      <c r="B18" s="557" t="s">
        <v>173</v>
      </c>
      <c r="C18" s="573">
        <f t="shared" ref="C18:O18" si="3">C19+C20+C21+C22</f>
        <v>-43.199999999999996</v>
      </c>
      <c r="D18" s="573">
        <f t="shared" si="3"/>
        <v>-79.3</v>
      </c>
      <c r="E18" s="573">
        <f t="shared" si="3"/>
        <v>-126.8</v>
      </c>
      <c r="F18" s="573">
        <f t="shared" si="3"/>
        <v>0</v>
      </c>
      <c r="G18" s="573">
        <f t="shared" si="3"/>
        <v>0</v>
      </c>
      <c r="H18" s="573">
        <f t="shared" si="3"/>
        <v>0</v>
      </c>
      <c r="I18" s="573">
        <f t="shared" si="3"/>
        <v>0</v>
      </c>
      <c r="J18" s="573">
        <f t="shared" si="3"/>
        <v>0</v>
      </c>
      <c r="K18" s="573">
        <f t="shared" si="3"/>
        <v>0</v>
      </c>
      <c r="L18" s="573">
        <f t="shared" si="3"/>
        <v>0</v>
      </c>
      <c r="M18" s="573">
        <f t="shared" si="3"/>
        <v>0</v>
      </c>
      <c r="N18" s="573">
        <f t="shared" si="3"/>
        <v>0</v>
      </c>
      <c r="O18" s="573">
        <f t="shared" si="3"/>
        <v>0</v>
      </c>
    </row>
    <row r="19" spans="2:15" x14ac:dyDescent="0.55000000000000004">
      <c r="B19" s="575" t="s">
        <v>169</v>
      </c>
      <c r="C19" s="576">
        <v>-18.2</v>
      </c>
      <c r="D19" s="576">
        <v>-31.5</v>
      </c>
      <c r="E19" s="576">
        <v>-46.5</v>
      </c>
      <c r="F19" s="576"/>
    </row>
    <row r="20" spans="2:15" x14ac:dyDescent="0.55000000000000004">
      <c r="B20" s="575" t="s">
        <v>170</v>
      </c>
      <c r="C20" s="576">
        <v>-10.3</v>
      </c>
      <c r="D20" s="576">
        <v>-21.5</v>
      </c>
      <c r="E20" s="576">
        <v>-29.6</v>
      </c>
      <c r="F20" s="576"/>
    </row>
    <row r="21" spans="2:15" x14ac:dyDescent="0.55000000000000004">
      <c r="B21" s="575" t="s">
        <v>171</v>
      </c>
      <c r="C21" s="576">
        <v>-10.3</v>
      </c>
      <c r="D21" s="576">
        <v>-14.7</v>
      </c>
      <c r="E21" s="576">
        <v>-25</v>
      </c>
      <c r="F21" s="576"/>
    </row>
    <row r="22" spans="2:15" x14ac:dyDescent="0.55000000000000004">
      <c r="B22" s="575" t="s">
        <v>172</v>
      </c>
      <c r="C22" s="576">
        <v>-4.4000000000000004</v>
      </c>
      <c r="D22" s="576">
        <v>-11.6</v>
      </c>
      <c r="E22" s="576">
        <v>-25.7</v>
      </c>
      <c r="F22" s="576"/>
    </row>
    <row r="23" spans="2:15" x14ac:dyDescent="0.55000000000000004">
      <c r="B23" s="557" t="s">
        <v>90</v>
      </c>
      <c r="C23" s="576">
        <v>-118.6</v>
      </c>
      <c r="D23" s="576">
        <v>-175.2</v>
      </c>
      <c r="E23" s="576">
        <v>-169.5</v>
      </c>
      <c r="F23" s="576"/>
    </row>
    <row r="24" spans="2:15" x14ac:dyDescent="0.55000000000000004">
      <c r="B24" s="572"/>
    </row>
    <row r="25" spans="2:15" x14ac:dyDescent="0.55000000000000004">
      <c r="B25" s="572"/>
    </row>
    <row r="44" spans="2:6" x14ac:dyDescent="0.55000000000000004">
      <c r="C44" s="557">
        <v>2018</v>
      </c>
      <c r="D44" s="557">
        <v>2019</v>
      </c>
      <c r="E44" s="557">
        <v>2020</v>
      </c>
      <c r="F44" s="557" t="s">
        <v>251</v>
      </c>
    </row>
    <row r="45" spans="2:6" x14ac:dyDescent="0.55000000000000004">
      <c r="B45" s="557" t="s">
        <v>313</v>
      </c>
      <c r="C45" s="577">
        <v>-7.3038551545756863E-2</v>
      </c>
      <c r="D45" s="577">
        <v>-6.1592547020565998E-2</v>
      </c>
      <c r="E45" s="577">
        <v>-5.4968218964846285E-2</v>
      </c>
      <c r="F45" s="577">
        <f>-281/1062</f>
        <v>-0.26459510357815441</v>
      </c>
    </row>
    <row r="46" spans="2:6" x14ac:dyDescent="0.55000000000000004">
      <c r="B46" s="557" t="s">
        <v>314</v>
      </c>
      <c r="C46" s="577">
        <v>-1.9197849921376655E-2</v>
      </c>
      <c r="D46" s="577">
        <v>-3.0751312628085867E-2</v>
      </c>
      <c r="E46" s="577">
        <v>-3.0077690689259633E-2</v>
      </c>
      <c r="F46" s="577"/>
    </row>
    <row r="52" spans="2:14" x14ac:dyDescent="0.55000000000000004">
      <c r="B52" s="557" t="s">
        <v>315</v>
      </c>
      <c r="C52" s="578">
        <v>0.86138473327790932</v>
      </c>
      <c r="D52" s="578">
        <v>0.71284860130865313</v>
      </c>
      <c r="E52" s="578">
        <v>0.51998887314299169</v>
      </c>
      <c r="F52" s="578"/>
    </row>
    <row r="53" spans="2:14" x14ac:dyDescent="0.55000000000000004">
      <c r="B53" s="557" t="s">
        <v>132</v>
      </c>
      <c r="C53" s="578">
        <f>'Revenue and Expenses breakdown'!B69</f>
        <v>0.41870506662861157</v>
      </c>
      <c r="D53" s="578">
        <f>'Revenue and Expenses breakdown'!C69</f>
        <v>0.81925299077850455</v>
      </c>
      <c r="E53" s="578">
        <f>'Revenue and Expenses breakdown'!D69</f>
        <v>0.76056448712463331</v>
      </c>
      <c r="F53" s="578"/>
    </row>
    <row r="61" spans="2:14" x14ac:dyDescent="0.55000000000000004">
      <c r="B61" s="579" t="s">
        <v>340</v>
      </c>
      <c r="C61" s="579">
        <f>Master!E1</f>
        <v>2020</v>
      </c>
      <c r="D61" s="579">
        <f>Master!F1</f>
        <v>2021</v>
      </c>
      <c r="E61" s="579">
        <f>Master!G1</f>
        <v>2022</v>
      </c>
      <c r="F61" s="579">
        <f>Master!H1</f>
        <v>2023</v>
      </c>
      <c r="G61" s="579">
        <f>Master!I1</f>
        <v>2024</v>
      </c>
      <c r="H61" s="579">
        <f>Master!J1</f>
        <v>2025</v>
      </c>
      <c r="I61" s="579">
        <f>Master!K1</f>
        <v>2026</v>
      </c>
      <c r="J61" s="579">
        <f>Master!L1</f>
        <v>2027</v>
      </c>
      <c r="K61" s="579">
        <f>Master!M1</f>
        <v>2028</v>
      </c>
      <c r="L61" s="579">
        <f>Master!N1</f>
        <v>2029</v>
      </c>
      <c r="M61" s="579">
        <f>Master!O1</f>
        <v>2030</v>
      </c>
      <c r="N61" s="579" t="s">
        <v>344</v>
      </c>
    </row>
    <row r="62" spans="2:14" x14ac:dyDescent="0.55000000000000004">
      <c r="B62" s="557" t="s">
        <v>343</v>
      </c>
      <c r="C62" s="573">
        <f>Master!E4</f>
        <v>737.1</v>
      </c>
      <c r="D62" s="573">
        <f>Master!F4</f>
        <v>1696.9561700000002</v>
      </c>
      <c r="E62" s="573">
        <f>Master!G4</f>
        <v>4790.1710000000003</v>
      </c>
      <c r="F62" s="573">
        <f>Master!H4</f>
        <v>7732.8072369424499</v>
      </c>
      <c r="G62" s="573">
        <f>Master!I4</f>
        <v>10023.301010022686</v>
      </c>
      <c r="H62" s="573">
        <f>Master!J4</f>
        <v>12552.755047904211</v>
      </c>
      <c r="I62" s="573">
        <f>Master!K4</f>
        <v>14827.584061151229</v>
      </c>
      <c r="J62" s="573">
        <f>Master!L4</f>
        <v>16928.784213913113</v>
      </c>
      <c r="K62" s="573">
        <f>Master!M4</f>
        <v>18724.416345688416</v>
      </c>
      <c r="L62" s="573">
        <f>Master!N4</f>
        <v>20972.958831498792</v>
      </c>
      <c r="M62" s="573">
        <f>Master!O4</f>
        <v>23159.131387457866</v>
      </c>
      <c r="N62" s="580">
        <f>(H62/D62)^(1/4)-1</f>
        <v>0.64917638437779224</v>
      </c>
    </row>
    <row r="63" spans="2:14" x14ac:dyDescent="0.55000000000000004">
      <c r="B63" s="557" t="s">
        <v>345</v>
      </c>
      <c r="D63" s="580">
        <f t="shared" ref="D63:M63" si="4">D62/C62-1</f>
        <v>1.3022061728395062</v>
      </c>
      <c r="E63" s="580">
        <f t="shared" si="4"/>
        <v>1.8228018405448858</v>
      </c>
      <c r="F63" s="580">
        <f t="shared" si="4"/>
        <v>0.61430713787512992</v>
      </c>
      <c r="G63" s="580">
        <f t="shared" si="4"/>
        <v>0.29620469034036034</v>
      </c>
      <c r="H63" s="580">
        <f t="shared" si="4"/>
        <v>0.25235738559105703</v>
      </c>
      <c r="I63" s="580">
        <f t="shared" si="4"/>
        <v>0.18122149317546188</v>
      </c>
      <c r="J63" s="580">
        <f t="shared" si="4"/>
        <v>0.14170886801897153</v>
      </c>
      <c r="K63" s="580">
        <f t="shared" si="4"/>
        <v>0.10606976313748162</v>
      </c>
      <c r="L63" s="580">
        <f t="shared" si="4"/>
        <v>0.1200861188032778</v>
      </c>
      <c r="M63" s="580">
        <f t="shared" si="4"/>
        <v>0.10423767926706229</v>
      </c>
    </row>
    <row r="65" spans="2:14" x14ac:dyDescent="0.55000000000000004">
      <c r="B65" s="557" t="s">
        <v>256</v>
      </c>
      <c r="C65" s="581">
        <v>5.15</v>
      </c>
      <c r="D65" s="582">
        <v>5.4</v>
      </c>
      <c r="E65" s="582">
        <v>5.6</v>
      </c>
      <c r="F65" s="583">
        <f t="shared" ref="F65:M65" si="5">E65</f>
        <v>5.6</v>
      </c>
      <c r="G65" s="583">
        <f t="shared" si="5"/>
        <v>5.6</v>
      </c>
      <c r="H65" s="583">
        <f t="shared" si="5"/>
        <v>5.6</v>
      </c>
      <c r="I65" s="583">
        <f t="shared" si="5"/>
        <v>5.6</v>
      </c>
      <c r="J65" s="583">
        <f t="shared" si="5"/>
        <v>5.6</v>
      </c>
      <c r="K65" s="583">
        <f t="shared" si="5"/>
        <v>5.6</v>
      </c>
      <c r="L65" s="583">
        <f t="shared" si="5"/>
        <v>5.6</v>
      </c>
      <c r="M65" s="583">
        <f t="shared" si="5"/>
        <v>5.6</v>
      </c>
    </row>
    <row r="66" spans="2:14" x14ac:dyDescent="0.55000000000000004">
      <c r="B66" s="557" t="s">
        <v>341</v>
      </c>
      <c r="C66" s="572">
        <v>1253.06558</v>
      </c>
      <c r="D66" s="572">
        <v>2801.4587249927654</v>
      </c>
      <c r="E66" s="572">
        <v>5362.2227468354959</v>
      </c>
      <c r="F66" s="572">
        <v>7709.7758626686209</v>
      </c>
      <c r="G66" s="572">
        <v>9134.678979837985</v>
      </c>
      <c r="H66" s="572">
        <v>10106.575662103258</v>
      </c>
      <c r="I66" s="572">
        <v>11161.165144187753</v>
      </c>
      <c r="J66" s="572">
        <v>11858.619775389783</v>
      </c>
      <c r="K66" s="572">
        <v>12598.411214276686</v>
      </c>
      <c r="L66" s="572">
        <v>13392.790578770695</v>
      </c>
      <c r="M66" s="572">
        <v>14246.587787636308</v>
      </c>
    </row>
    <row r="67" spans="2:14" x14ac:dyDescent="0.55000000000000004">
      <c r="B67" s="557" t="s">
        <v>342</v>
      </c>
      <c r="C67" s="572">
        <f t="shared" ref="C67:M67" si="6">C66/C65</f>
        <v>243.31370485436889</v>
      </c>
      <c r="D67" s="572">
        <f t="shared" si="6"/>
        <v>518.78865277643797</v>
      </c>
      <c r="E67" s="572">
        <f t="shared" si="6"/>
        <v>957.53977622062428</v>
      </c>
      <c r="F67" s="572">
        <f t="shared" si="6"/>
        <v>1376.7456897622537</v>
      </c>
      <c r="G67" s="572">
        <f t="shared" si="6"/>
        <v>1631.1926749710688</v>
      </c>
      <c r="H67" s="572">
        <f t="shared" si="6"/>
        <v>1804.7456539470104</v>
      </c>
      <c r="I67" s="572">
        <f t="shared" si="6"/>
        <v>1993.0652043192417</v>
      </c>
      <c r="J67" s="572">
        <f t="shared" si="6"/>
        <v>2117.6106741767471</v>
      </c>
      <c r="K67" s="572">
        <f t="shared" si="6"/>
        <v>2249.716288263694</v>
      </c>
      <c r="L67" s="572">
        <f t="shared" si="6"/>
        <v>2391.5697462090529</v>
      </c>
      <c r="M67" s="572">
        <f t="shared" si="6"/>
        <v>2544.0335335064838</v>
      </c>
      <c r="N67" s="580">
        <f>(H67/D67)^(1/4)-1</f>
        <v>0.36570337940934938</v>
      </c>
    </row>
    <row r="68" spans="2:14" x14ac:dyDescent="0.55000000000000004">
      <c r="B68" s="557" t="s">
        <v>345</v>
      </c>
      <c r="D68" s="580">
        <f t="shared" ref="D68:M68" si="7">D67/C67-1</f>
        <v>1.1321801543688208</v>
      </c>
      <c r="E68" s="580">
        <f t="shared" si="7"/>
        <v>0.84572228227446922</v>
      </c>
      <c r="F68" s="580">
        <f t="shared" si="7"/>
        <v>0.43779477777541564</v>
      </c>
      <c r="G68" s="580">
        <f t="shared" si="7"/>
        <v>0.18481770969099953</v>
      </c>
      <c r="H68" s="580">
        <f t="shared" si="7"/>
        <v>0.10639636974768774</v>
      </c>
      <c r="I68" s="580">
        <f t="shared" si="7"/>
        <v>0.10434686459023923</v>
      </c>
      <c r="J68" s="580">
        <f t="shared" si="7"/>
        <v>6.2489410576030524E-2</v>
      </c>
      <c r="K68" s="580">
        <f t="shared" si="7"/>
        <v>6.2384278516306901E-2</v>
      </c>
      <c r="L68" s="580">
        <f t="shared" si="7"/>
        <v>6.3053932038177107E-2</v>
      </c>
      <c r="M68" s="580">
        <f t="shared" si="7"/>
        <v>6.3750508442877551E-2</v>
      </c>
    </row>
    <row r="71" spans="2:14" x14ac:dyDescent="0.55000000000000004">
      <c r="B71" s="579" t="s">
        <v>378</v>
      </c>
      <c r="C71" s="584" t="s">
        <v>375</v>
      </c>
      <c r="D71" s="584" t="s">
        <v>376</v>
      </c>
      <c r="E71" s="584" t="s">
        <v>377</v>
      </c>
    </row>
    <row r="72" spans="2:14" x14ac:dyDescent="0.55000000000000004">
      <c r="B72" s="557" t="s">
        <v>132</v>
      </c>
      <c r="C72" s="580">
        <f>Quarts!AC6</f>
        <v>0.13373438223044909</v>
      </c>
      <c r="D72" s="580">
        <f>Quarts!AD6</f>
        <v>1.0708564386937769</v>
      </c>
      <c r="E72" s="580">
        <f>Quarts!AE6</f>
        <v>2.080717488789237</v>
      </c>
    </row>
    <row r="74" spans="2:14" x14ac:dyDescent="0.55000000000000004">
      <c r="B74" s="557" t="s">
        <v>390</v>
      </c>
    </row>
    <row r="76" spans="2:14" x14ac:dyDescent="0.55000000000000004">
      <c r="B76" s="579" t="s">
        <v>396</v>
      </c>
      <c r="C76" s="584" t="s">
        <v>377</v>
      </c>
    </row>
    <row r="77" spans="2:14" x14ac:dyDescent="0.55000000000000004">
      <c r="B77" s="557" t="s">
        <v>397</v>
      </c>
      <c r="C77" s="585">
        <f>2053/12</f>
        <v>171.08333333333334</v>
      </c>
    </row>
    <row r="78" spans="2:14" x14ac:dyDescent="0.55000000000000004">
      <c r="B78" s="557" t="s">
        <v>132</v>
      </c>
      <c r="C78" s="585">
        <f>Quarts!J172</f>
        <v>25.768871113017799</v>
      </c>
    </row>
    <row r="79" spans="2:14" x14ac:dyDescent="0.55000000000000004">
      <c r="B79" s="557" t="s">
        <v>393</v>
      </c>
      <c r="C79" s="585">
        <v>21</v>
      </c>
    </row>
    <row r="80" spans="2:14" x14ac:dyDescent="0.55000000000000004">
      <c r="B80" s="557" t="s">
        <v>395</v>
      </c>
      <c r="C80" s="557">
        <v>6.4</v>
      </c>
    </row>
    <row r="81" spans="2:6" x14ac:dyDescent="0.55000000000000004">
      <c r="B81" s="557" t="s">
        <v>394</v>
      </c>
      <c r="C81" s="557">
        <v>6.3</v>
      </c>
    </row>
    <row r="96" spans="2:6" x14ac:dyDescent="0.55000000000000004">
      <c r="D96" s="557">
        <f>10%*Master!C154</f>
        <v>162.38</v>
      </c>
      <c r="E96" s="557">
        <f>R152/Master!D154</f>
        <v>0.11663376996231832</v>
      </c>
      <c r="F96" s="557">
        <f>S152/Master!E154</f>
        <v>0.20901371652514697</v>
      </c>
    </row>
    <row r="97" spans="2:51" x14ac:dyDescent="0.55000000000000004">
      <c r="G97" s="557"/>
      <c r="T97" s="572"/>
      <c r="AY97" s="559"/>
    </row>
    <row r="98" spans="2:51" x14ac:dyDescent="0.55000000000000004">
      <c r="G98" s="557"/>
      <c r="T98" s="572"/>
      <c r="AY98" s="559"/>
    </row>
    <row r="99" spans="2:51" x14ac:dyDescent="0.55000000000000004">
      <c r="G99" s="557"/>
      <c r="T99" s="572"/>
      <c r="AY99" s="559"/>
    </row>
    <row r="100" spans="2:51" x14ac:dyDescent="0.55000000000000004">
      <c r="G100" s="557"/>
      <c r="T100" s="572"/>
      <c r="AY100" s="559"/>
    </row>
    <row r="101" spans="2:51" x14ac:dyDescent="0.55000000000000004">
      <c r="G101" s="557"/>
      <c r="T101" s="572"/>
      <c r="AY101" s="559"/>
    </row>
    <row r="102" spans="2:51" x14ac:dyDescent="0.55000000000000004">
      <c r="G102" s="557"/>
      <c r="T102" s="572"/>
      <c r="AY102" s="559"/>
    </row>
    <row r="103" spans="2:51" x14ac:dyDescent="0.55000000000000004">
      <c r="G103" s="557"/>
      <c r="T103" s="572"/>
      <c r="AY103" s="559"/>
    </row>
    <row r="104" spans="2:51" x14ac:dyDescent="0.55000000000000004">
      <c r="G104" s="557"/>
      <c r="T104" s="572"/>
      <c r="AY104" s="559"/>
    </row>
    <row r="105" spans="2:51" x14ac:dyDescent="0.55000000000000004">
      <c r="G105" s="557"/>
      <c r="T105" s="572"/>
      <c r="AY105" s="559"/>
    </row>
    <row r="106" spans="2:51" x14ac:dyDescent="0.55000000000000004">
      <c r="G106" s="557"/>
      <c r="T106" s="572"/>
      <c r="AY106" s="559"/>
    </row>
    <row r="108" spans="2:51" x14ac:dyDescent="0.55000000000000004">
      <c r="AA108" s="586"/>
    </row>
    <row r="109" spans="2:51" x14ac:dyDescent="0.55000000000000004">
      <c r="B109" s="557" t="s">
        <v>402</v>
      </c>
      <c r="C109" s="557">
        <v>2009</v>
      </c>
      <c r="D109" s="587">
        <v>2010</v>
      </c>
      <c r="E109" s="557">
        <v>2011</v>
      </c>
      <c r="F109" s="587">
        <v>2012</v>
      </c>
      <c r="G109" s="557">
        <v>2013</v>
      </c>
      <c r="H109" s="587">
        <v>2014</v>
      </c>
      <c r="I109" s="557">
        <v>2015</v>
      </c>
      <c r="J109" s="587">
        <v>2016</v>
      </c>
      <c r="K109" s="557">
        <v>2017</v>
      </c>
      <c r="L109" s="587">
        <v>2018</v>
      </c>
      <c r="M109" s="557">
        <v>2019</v>
      </c>
      <c r="N109" s="587">
        <v>2020</v>
      </c>
      <c r="O109" s="557">
        <v>2021</v>
      </c>
      <c r="P109" s="578"/>
      <c r="AA109" s="586"/>
    </row>
    <row r="110" spans="2:51" x14ac:dyDescent="0.55000000000000004">
      <c r="B110" s="557" t="s">
        <v>403</v>
      </c>
      <c r="C110" s="580">
        <v>0.19400000000000001</v>
      </c>
      <c r="D110" s="588">
        <v>8.7800000000000003E-2</v>
      </c>
      <c r="E110" s="588">
        <v>0.26690000000000003</v>
      </c>
      <c r="F110" s="588">
        <v>0.245</v>
      </c>
      <c r="G110" s="588">
        <v>0.2099</v>
      </c>
      <c r="H110" s="588">
        <v>0.11</v>
      </c>
      <c r="I110" s="588">
        <v>6.0400000000000002E-2</v>
      </c>
      <c r="J110" s="588">
        <v>0.25</v>
      </c>
      <c r="K110" s="588">
        <v>0.2964</v>
      </c>
      <c r="L110" s="588">
        <v>0.28660000000000002</v>
      </c>
      <c r="M110" s="588">
        <v>0.27139999999999997</v>
      </c>
      <c r="N110" s="578">
        <v>0.252</v>
      </c>
      <c r="O110" s="578"/>
      <c r="P110" s="578"/>
      <c r="AA110" s="586"/>
    </row>
    <row r="111" spans="2:51" x14ac:dyDescent="0.55000000000000004">
      <c r="B111" s="557" t="s">
        <v>405</v>
      </c>
      <c r="F111" s="586">
        <v>0.49765798503160502</v>
      </c>
      <c r="G111" s="586">
        <v>0.86079301929473906</v>
      </c>
      <c r="H111" s="586">
        <v>0.81865223570289192</v>
      </c>
      <c r="I111" s="586">
        <v>0.505436019294211</v>
      </c>
      <c r="J111" s="586">
        <v>0.66002037342098796</v>
      </c>
      <c r="K111" s="586">
        <v>1.10035903296937</v>
      </c>
      <c r="L111" s="586">
        <v>1.5116587412167699</v>
      </c>
      <c r="M111" s="586">
        <v>2.0580437370142599</v>
      </c>
      <c r="N111" s="586">
        <v>2.4375236927837802</v>
      </c>
      <c r="AA111" s="586"/>
    </row>
    <row r="112" spans="2:51" x14ac:dyDescent="0.55000000000000004">
      <c r="AA112" s="586"/>
    </row>
    <row r="113" spans="2:50" x14ac:dyDescent="0.55000000000000004">
      <c r="B113" s="557" t="s">
        <v>320</v>
      </c>
      <c r="C113" s="557">
        <v>2018</v>
      </c>
      <c r="D113" s="557">
        <v>2019</v>
      </c>
      <c r="E113" s="557">
        <v>2020</v>
      </c>
      <c r="F113" s="558" t="s">
        <v>55</v>
      </c>
      <c r="S113" s="559"/>
      <c r="AA113" s="586"/>
      <c r="AX113" s="572"/>
    </row>
    <row r="114" spans="2:50" x14ac:dyDescent="0.55000000000000004">
      <c r="B114" s="589" t="s">
        <v>132</v>
      </c>
      <c r="C114" s="590">
        <v>5.0999999999999996</v>
      </c>
      <c r="D114" s="590">
        <v>12.1</v>
      </c>
      <c r="E114" s="590">
        <v>21.8</v>
      </c>
      <c r="F114" s="590">
        <v>35.299999999999997</v>
      </c>
      <c r="S114" s="559"/>
      <c r="AA114" s="586"/>
      <c r="AX114" s="572"/>
    </row>
    <row r="115" spans="2:50" x14ac:dyDescent="0.55000000000000004">
      <c r="B115" s="557" t="s">
        <v>402</v>
      </c>
      <c r="C115" s="557">
        <v>5.2</v>
      </c>
      <c r="D115" s="557">
        <v>7.2</v>
      </c>
      <c r="E115" s="557">
        <v>9.1</v>
      </c>
      <c r="F115" s="557">
        <v>12.8</v>
      </c>
      <c r="AA115" s="586"/>
    </row>
    <row r="116" spans="2:50" x14ac:dyDescent="0.55000000000000004">
      <c r="AA116" s="586"/>
    </row>
    <row r="117" spans="2:50" x14ac:dyDescent="0.55000000000000004">
      <c r="AA117" s="586"/>
    </row>
    <row r="118" spans="2:50" x14ac:dyDescent="0.55000000000000004">
      <c r="AA118" s="586"/>
    </row>
    <row r="129" spans="2:18" x14ac:dyDescent="0.55000000000000004">
      <c r="C129" s="557">
        <v>2020</v>
      </c>
      <c r="D129" s="557">
        <v>2025</v>
      </c>
    </row>
    <row r="130" spans="2:18" x14ac:dyDescent="0.55000000000000004">
      <c r="B130" s="557" t="s">
        <v>419</v>
      </c>
      <c r="C130" s="572">
        <v>5.4</v>
      </c>
      <c r="D130" s="572">
        <v>2.2999999999999998</v>
      </c>
    </row>
    <row r="131" spans="2:18" x14ac:dyDescent="0.55000000000000004">
      <c r="B131" s="557" t="s">
        <v>420</v>
      </c>
      <c r="C131" s="572">
        <v>11.6</v>
      </c>
      <c r="D131" s="572">
        <v>15.3</v>
      </c>
    </row>
    <row r="132" spans="2:18" x14ac:dyDescent="0.55000000000000004">
      <c r="B132" s="557" t="s">
        <v>421</v>
      </c>
      <c r="C132" s="572">
        <v>7</v>
      </c>
      <c r="D132" s="572">
        <v>8.1</v>
      </c>
    </row>
    <row r="133" spans="2:18" x14ac:dyDescent="0.55000000000000004">
      <c r="B133" s="557" t="s">
        <v>218</v>
      </c>
      <c r="C133" s="572">
        <v>14.7</v>
      </c>
      <c r="D133" s="572">
        <v>20</v>
      </c>
    </row>
    <row r="134" spans="2:18" x14ac:dyDescent="0.55000000000000004">
      <c r="B134" s="557" t="s">
        <v>346</v>
      </c>
      <c r="C134" s="572">
        <v>10.9</v>
      </c>
      <c r="D134" s="572">
        <v>15.3</v>
      </c>
    </row>
    <row r="135" spans="2:18" x14ac:dyDescent="0.55000000000000004">
      <c r="B135" s="557" t="s">
        <v>428</v>
      </c>
      <c r="C135" s="572">
        <v>9</v>
      </c>
      <c r="D135" s="572">
        <v>21</v>
      </c>
    </row>
    <row r="136" spans="2:18" x14ac:dyDescent="0.55000000000000004">
      <c r="B136" s="557" t="s">
        <v>429</v>
      </c>
      <c r="C136" s="572">
        <v>7</v>
      </c>
      <c r="D136" s="572">
        <v>10</v>
      </c>
    </row>
    <row r="143" spans="2:18" x14ac:dyDescent="0.55000000000000004">
      <c r="P143" s="557"/>
      <c r="Q143" s="557">
        <v>2020</v>
      </c>
      <c r="R143" s="591" t="s">
        <v>251</v>
      </c>
    </row>
    <row r="144" spans="2:18" ht="15.6" thickBot="1" x14ac:dyDescent="0.6">
      <c r="P144" s="592" t="s">
        <v>180</v>
      </c>
      <c r="Q144" s="593">
        <f>R156</f>
        <v>0.64679582712369599</v>
      </c>
      <c r="R144" s="593">
        <f>S156</f>
        <v>0.70025008931761346</v>
      </c>
    </row>
    <row r="145" spans="2:20" ht="15.6" thickBot="1" x14ac:dyDescent="0.6">
      <c r="C145" s="594">
        <v>2019</v>
      </c>
      <c r="D145" s="594">
        <v>2020</v>
      </c>
      <c r="E145" s="595" t="s">
        <v>430</v>
      </c>
      <c r="P145" s="596" t="s">
        <v>218</v>
      </c>
      <c r="Q145" s="571">
        <f>R159</f>
        <v>0.33476394849785407</v>
      </c>
      <c r="R145" s="571">
        <f>S159</f>
        <v>0.44398483281627027</v>
      </c>
    </row>
    <row r="146" spans="2:20" x14ac:dyDescent="0.55000000000000004">
      <c r="B146" s="557" t="s">
        <v>132</v>
      </c>
      <c r="C146" s="557">
        <v>12.1</v>
      </c>
      <c r="D146" s="557">
        <v>21.8</v>
      </c>
      <c r="E146" s="557">
        <v>35.299999999999997</v>
      </c>
    </row>
    <row r="147" spans="2:20" x14ac:dyDescent="0.55000000000000004">
      <c r="B147" s="557" t="s">
        <v>315</v>
      </c>
      <c r="C147" s="557">
        <v>2.2000000000000002</v>
      </c>
      <c r="D147" s="557">
        <v>4.8</v>
      </c>
      <c r="E147" s="557">
        <v>7.9</v>
      </c>
    </row>
    <row r="148" spans="2:20" x14ac:dyDescent="0.55000000000000004">
      <c r="B148" s="557" t="s">
        <v>431</v>
      </c>
      <c r="C148" s="557">
        <v>3.1</v>
      </c>
      <c r="D148" s="557">
        <v>16.2</v>
      </c>
      <c r="E148" s="557">
        <v>28</v>
      </c>
    </row>
    <row r="149" spans="2:20" x14ac:dyDescent="0.55000000000000004">
      <c r="B149" s="557" t="s">
        <v>432</v>
      </c>
      <c r="C149" s="557">
        <v>7.9</v>
      </c>
      <c r="D149" s="557">
        <v>14.2</v>
      </c>
      <c r="E149" s="557">
        <v>16.8</v>
      </c>
      <c r="P149" s="597"/>
      <c r="Q149" s="597">
        <v>2019</v>
      </c>
      <c r="R149" s="597">
        <v>2020</v>
      </c>
      <c r="S149" s="598" t="s">
        <v>251</v>
      </c>
    </row>
    <row r="150" spans="2:20" x14ac:dyDescent="0.55000000000000004">
      <c r="B150" s="557" t="s">
        <v>433</v>
      </c>
      <c r="C150" s="557">
        <v>2</v>
      </c>
      <c r="D150" s="557">
        <v>8</v>
      </c>
      <c r="E150" s="557">
        <v>11.2</v>
      </c>
      <c r="P150" s="592" t="s">
        <v>422</v>
      </c>
      <c r="Q150" s="592">
        <v>404</v>
      </c>
      <c r="R150" s="592">
        <v>500</v>
      </c>
      <c r="S150" s="592">
        <v>1400</v>
      </c>
      <c r="T150" s="599">
        <f>S152/R165</f>
        <v>0.14969838729533425</v>
      </c>
    </row>
    <row r="151" spans="2:20" x14ac:dyDescent="0.55000000000000004">
      <c r="P151" s="600" t="s">
        <v>218</v>
      </c>
      <c r="Q151" s="568">
        <v>58</v>
      </c>
      <c r="R151" s="568">
        <v>175</v>
      </c>
      <c r="S151" s="568">
        <v>792</v>
      </c>
    </row>
    <row r="152" spans="2:20" x14ac:dyDescent="0.55000000000000004">
      <c r="B152" s="601"/>
      <c r="P152" s="602" t="s">
        <v>423</v>
      </c>
      <c r="Q152" s="592">
        <f>Q150-Q151</f>
        <v>346</v>
      </c>
      <c r="R152" s="592">
        <f>R150-R151</f>
        <v>325</v>
      </c>
      <c r="S152" s="592">
        <f>S150-S151</f>
        <v>608</v>
      </c>
    </row>
    <row r="153" spans="2:20" x14ac:dyDescent="0.55000000000000004">
      <c r="P153" s="568"/>
      <c r="Q153" s="568"/>
      <c r="R153" s="568"/>
      <c r="S153" s="568"/>
    </row>
    <row r="154" spans="2:20" x14ac:dyDescent="0.55000000000000004">
      <c r="P154" s="592" t="s">
        <v>424</v>
      </c>
      <c r="Q154" s="592"/>
      <c r="R154" s="592">
        <v>380</v>
      </c>
      <c r="S154" s="592">
        <v>600</v>
      </c>
    </row>
    <row r="155" spans="2:20" ht="15.6" thickBot="1" x14ac:dyDescent="0.6">
      <c r="P155" s="600" t="s">
        <v>425</v>
      </c>
      <c r="Q155" s="568">
        <v>8.6</v>
      </c>
      <c r="R155" s="568">
        <v>217</v>
      </c>
      <c r="S155" s="568">
        <v>245</v>
      </c>
    </row>
    <row r="156" spans="2:20" ht="15.6" thickBot="1" x14ac:dyDescent="0.6">
      <c r="P156" s="603" t="s">
        <v>426</v>
      </c>
      <c r="Q156" s="604"/>
      <c r="R156" s="605">
        <f>R155/AVERAGE(Q152,R152)</f>
        <v>0.64679582712369599</v>
      </c>
      <c r="S156" s="606">
        <f>S155/AVERAGE(R152,S152)*4/3</f>
        <v>0.70025008931761346</v>
      </c>
    </row>
    <row r="157" spans="2:20" x14ac:dyDescent="0.55000000000000004">
      <c r="P157" s="568"/>
      <c r="Q157" s="568"/>
      <c r="R157" s="568"/>
      <c r="S157" s="568"/>
    </row>
    <row r="158" spans="2:20" ht="15.6" thickBot="1" x14ac:dyDescent="0.6">
      <c r="P158" s="602" t="s">
        <v>427</v>
      </c>
      <c r="Q158" s="592"/>
      <c r="R158" s="592">
        <v>39</v>
      </c>
      <c r="S158" s="592">
        <v>161</v>
      </c>
    </row>
    <row r="159" spans="2:20" ht="15.6" thickBot="1" x14ac:dyDescent="0.6">
      <c r="P159" s="607" t="s">
        <v>426</v>
      </c>
      <c r="Q159" s="608"/>
      <c r="R159" s="609">
        <f>R158/AVERAGE(Q151,R151)</f>
        <v>0.33476394849785407</v>
      </c>
      <c r="S159" s="610">
        <f>S158/AVERAGE(R151,S151)*4/3</f>
        <v>0.44398483281627027</v>
      </c>
    </row>
    <row r="160" spans="2:20" ht="15.6" thickBot="1" x14ac:dyDescent="0.6"/>
    <row r="161" spans="16:21" ht="15.6" thickBot="1" x14ac:dyDescent="0.6">
      <c r="P161" s="607" t="s">
        <v>544</v>
      </c>
      <c r="Q161" s="608"/>
      <c r="R161" s="609">
        <f>(R155+R158)/AVERAGE(Q150,R150)</f>
        <v>0.5663716814159292</v>
      </c>
      <c r="S161" s="610">
        <f>(S155+S158)/AVERAGE(R150,S150)*4/3</f>
        <v>0.56982456140350879</v>
      </c>
    </row>
    <row r="163" spans="16:21" x14ac:dyDescent="0.55000000000000004">
      <c r="P163" s="611" t="s">
        <v>451</v>
      </c>
      <c r="Q163" s="611"/>
      <c r="R163" s="612" t="s">
        <v>132</v>
      </c>
    </row>
    <row r="164" spans="16:21" x14ac:dyDescent="0.55000000000000004">
      <c r="P164" s="613"/>
      <c r="Q164" s="614">
        <v>2020</v>
      </c>
      <c r="R164" s="614" t="s">
        <v>451</v>
      </c>
    </row>
    <row r="165" spans="16:21" x14ac:dyDescent="0.55000000000000004">
      <c r="P165" s="572" t="s">
        <v>106</v>
      </c>
      <c r="Q165" s="572">
        <f>H357</f>
        <v>2908.9</v>
      </c>
      <c r="R165" s="572">
        <f>E357</f>
        <v>4061.5</v>
      </c>
      <c r="T165" s="572">
        <v>3119</v>
      </c>
      <c r="U165" s="572">
        <v>4367.8999999999996</v>
      </c>
    </row>
    <row r="166" spans="16:21" x14ac:dyDescent="0.55000000000000004">
      <c r="P166" s="613" t="str">
        <f>P151</f>
        <v>Personal loans</v>
      </c>
      <c r="Q166" s="613">
        <f>H358</f>
        <v>174.7</v>
      </c>
      <c r="R166" s="613">
        <f>E358</f>
        <v>792.7</v>
      </c>
      <c r="T166" s="613">
        <v>200.9</v>
      </c>
      <c r="U166" s="613">
        <v>903</v>
      </c>
    </row>
    <row r="167" spans="16:21" x14ac:dyDescent="0.55000000000000004">
      <c r="P167" s="572" t="s">
        <v>354</v>
      </c>
      <c r="Q167" s="572">
        <f>Q165+Q166</f>
        <v>3083.6</v>
      </c>
      <c r="R167" s="572">
        <f>R165+R166</f>
        <v>4854.2</v>
      </c>
      <c r="T167" s="572">
        <f>T165+T166</f>
        <v>3319.9</v>
      </c>
      <c r="U167" s="572">
        <f>U165+U166</f>
        <v>5270.9</v>
      </c>
    </row>
    <row r="169" spans="16:21" x14ac:dyDescent="0.55000000000000004">
      <c r="P169" s="572" t="s">
        <v>415</v>
      </c>
    </row>
    <row r="170" spans="16:21" x14ac:dyDescent="0.55000000000000004">
      <c r="P170" s="572" t="s">
        <v>346</v>
      </c>
      <c r="R170" s="572">
        <f>S155</f>
        <v>245</v>
      </c>
    </row>
    <row r="171" spans="16:21" x14ac:dyDescent="0.55000000000000004">
      <c r="P171" s="613" t="s">
        <v>218</v>
      </c>
      <c r="Q171" s="613"/>
      <c r="R171" s="613">
        <f>S158</f>
        <v>161</v>
      </c>
    </row>
    <row r="172" spans="16:21" x14ac:dyDescent="0.55000000000000004">
      <c r="P172" s="572" t="s">
        <v>581</v>
      </c>
      <c r="R172" s="572">
        <f>R170+R171</f>
        <v>406</v>
      </c>
    </row>
    <row r="174" spans="16:21" x14ac:dyDescent="0.55000000000000004">
      <c r="P174" s="572" t="s">
        <v>582</v>
      </c>
      <c r="R174" s="572">
        <f>(Quarts!H7+Quarts!I7+Quarts!J7)-R172</f>
        <v>201.20000000000005</v>
      </c>
    </row>
    <row r="175" spans="16:21" x14ac:dyDescent="0.55000000000000004">
      <c r="P175" s="613" t="s">
        <v>356</v>
      </c>
      <c r="Q175" s="613"/>
      <c r="R175" s="613">
        <f>Quarts!H14+Quarts!I14+Quarts!J14</f>
        <v>454.79999999999995</v>
      </c>
    </row>
    <row r="176" spans="16:21" x14ac:dyDescent="0.55000000000000004">
      <c r="P176" s="572" t="s">
        <v>340</v>
      </c>
      <c r="R176" s="572">
        <f>R172+R174+R175</f>
        <v>1062</v>
      </c>
    </row>
    <row r="178" spans="2:18" x14ac:dyDescent="0.55000000000000004">
      <c r="B178" s="557" t="s">
        <v>435</v>
      </c>
      <c r="P178" s="615" t="s">
        <v>233</v>
      </c>
    </row>
    <row r="179" spans="2:18" x14ac:dyDescent="0.55000000000000004">
      <c r="P179" s="572" t="str">
        <f>P170</f>
        <v>Credit cards</v>
      </c>
      <c r="R179" s="616">
        <f>R170*4/3/(AVERAGE(T165,U165))</f>
        <v>8.7263531412645201E-2</v>
      </c>
    </row>
    <row r="180" spans="2:18" x14ac:dyDescent="0.55000000000000004">
      <c r="B180" s="579" t="s">
        <v>396</v>
      </c>
      <c r="C180" s="584" t="s">
        <v>442</v>
      </c>
      <c r="D180" s="584" t="s">
        <v>251</v>
      </c>
      <c r="P180" s="613" t="str">
        <f>P171</f>
        <v>Personal loans</v>
      </c>
      <c r="Q180" s="613"/>
      <c r="R180" s="617">
        <f>R171*4/3/(AVERAGE(T166,U166))</f>
        <v>0.38892411752272243</v>
      </c>
    </row>
    <row r="181" spans="2:18" x14ac:dyDescent="0.55000000000000004">
      <c r="B181" s="557" t="s">
        <v>132</v>
      </c>
      <c r="C181" s="585">
        <f>3.4*5.16</f>
        <v>17.544</v>
      </c>
      <c r="D181" s="585">
        <f>5*5.349</f>
        <v>26.745000000000001</v>
      </c>
      <c r="P181" s="572" t="s">
        <v>602</v>
      </c>
      <c r="R181" s="616">
        <f>R172*4/3/(AVERAGE(T167,U167))</f>
        <v>0.12602629169188748</v>
      </c>
    </row>
    <row r="182" spans="2:18" x14ac:dyDescent="0.55000000000000004">
      <c r="B182" s="557" t="s">
        <v>393</v>
      </c>
      <c r="C182" s="585">
        <v>23.19</v>
      </c>
      <c r="D182" s="585">
        <v>28.57</v>
      </c>
      <c r="P182" s="572" t="s">
        <v>582</v>
      </c>
      <c r="R182" s="616">
        <f>R174*4/3/(AVERAGE(Q167,R167))</f>
        <v>6.7592195990492765E-2</v>
      </c>
    </row>
    <row r="183" spans="2:18" x14ac:dyDescent="0.55000000000000004">
      <c r="B183" s="557" t="s">
        <v>395</v>
      </c>
      <c r="P183" s="613" t="s">
        <v>356</v>
      </c>
      <c r="Q183" s="613"/>
      <c r="R183" s="617">
        <f>R175*4/3/(AVERAGE(Q167,R167))</f>
        <v>0.15278792612562675</v>
      </c>
    </row>
    <row r="184" spans="2:18" x14ac:dyDescent="0.55000000000000004">
      <c r="B184" s="557" t="s">
        <v>394</v>
      </c>
      <c r="P184" s="572" t="s">
        <v>583</v>
      </c>
      <c r="R184" s="616">
        <f>R181+R182+R183</f>
        <v>0.34640641380800696</v>
      </c>
    </row>
    <row r="186" spans="2:18" x14ac:dyDescent="0.55000000000000004">
      <c r="P186" s="572" t="s">
        <v>562</v>
      </c>
      <c r="R186" s="572">
        <f>-(Quarts!H38+Quarts!I38+Quarts!J38)</f>
        <v>281</v>
      </c>
    </row>
    <row r="187" spans="2:18" x14ac:dyDescent="0.55000000000000004">
      <c r="P187" s="572" t="s">
        <v>233</v>
      </c>
      <c r="R187" s="616">
        <f>R186*4/3/(AVERAGE(Q167,R167))</f>
        <v>9.4400631577179248E-2</v>
      </c>
    </row>
    <row r="189" spans="2:18" x14ac:dyDescent="0.55000000000000004">
      <c r="P189" s="572" t="s">
        <v>47</v>
      </c>
      <c r="Q189" s="572">
        <v>5584</v>
      </c>
      <c r="R189" s="572">
        <v>8089</v>
      </c>
    </row>
    <row r="190" spans="2:18" x14ac:dyDescent="0.55000000000000004">
      <c r="B190" s="557" t="s">
        <v>436</v>
      </c>
      <c r="P190" s="572" t="s">
        <v>585</v>
      </c>
      <c r="R190" s="572">
        <f>-(Quarts!H25+Quarts!I25+Quarts!J25)</f>
        <v>190.3</v>
      </c>
    </row>
    <row r="191" spans="2:18" x14ac:dyDescent="0.55000000000000004">
      <c r="P191" s="572" t="s">
        <v>587</v>
      </c>
      <c r="R191" s="616">
        <f>R190*4/3/(AVERAGE(Q167,R167))</f>
        <v>6.3930392132160896E-2</v>
      </c>
    </row>
    <row r="192" spans="2:18" x14ac:dyDescent="0.55000000000000004">
      <c r="B192" s="579" t="s">
        <v>396</v>
      </c>
      <c r="C192" s="584" t="s">
        <v>251</v>
      </c>
    </row>
    <row r="193" spans="2:22" x14ac:dyDescent="0.55000000000000004">
      <c r="B193" s="618"/>
      <c r="C193" s="619"/>
      <c r="P193" s="611" t="s">
        <v>586</v>
      </c>
      <c r="Q193" s="611"/>
      <c r="R193" s="620">
        <f>R184-R187-R191</f>
        <v>0.18807539009866681</v>
      </c>
    </row>
    <row r="194" spans="2:22" x14ac:dyDescent="0.55000000000000004">
      <c r="B194" s="618"/>
      <c r="C194" s="619"/>
    </row>
    <row r="195" spans="2:22" x14ac:dyDescent="0.55000000000000004">
      <c r="B195" s="618"/>
      <c r="C195" s="619"/>
      <c r="P195" s="621" t="s">
        <v>451</v>
      </c>
      <c r="Q195" s="614" t="s">
        <v>590</v>
      </c>
      <c r="R195" s="614" t="s">
        <v>393</v>
      </c>
    </row>
    <row r="196" spans="2:22" x14ac:dyDescent="0.55000000000000004">
      <c r="B196" s="618"/>
      <c r="C196" s="619"/>
      <c r="P196" s="572" t="s">
        <v>588</v>
      </c>
      <c r="Q196" s="616">
        <f>R181</f>
        <v>0.12602629169188748</v>
      </c>
      <c r="R196" s="616">
        <v>0.10218869987122792</v>
      </c>
      <c r="V196" s="622"/>
    </row>
    <row r="197" spans="2:22" x14ac:dyDescent="0.55000000000000004">
      <c r="B197" s="618"/>
      <c r="C197" s="619"/>
      <c r="P197" s="572" t="s">
        <v>582</v>
      </c>
      <c r="Q197" s="616">
        <f>R182</f>
        <v>6.7592195990492765E-2</v>
      </c>
      <c r="R197" s="616">
        <v>4.3908338615248989E-2</v>
      </c>
      <c r="V197" s="622"/>
    </row>
    <row r="198" spans="2:22" x14ac:dyDescent="0.55000000000000004">
      <c r="B198" s="618"/>
      <c r="C198" s="619"/>
      <c r="P198" s="572" t="s">
        <v>416</v>
      </c>
      <c r="Q198" s="616">
        <f>R183</f>
        <v>0.15278792612562675</v>
      </c>
      <c r="R198" s="616">
        <v>5.520505836718087E-2</v>
      </c>
      <c r="V198" s="622"/>
    </row>
    <row r="199" spans="2:22" x14ac:dyDescent="0.55000000000000004">
      <c r="B199" s="618"/>
      <c r="C199" s="619"/>
      <c r="Q199" s="616"/>
      <c r="R199" s="616"/>
    </row>
    <row r="200" spans="2:22" x14ac:dyDescent="0.55000000000000004">
      <c r="B200" s="618"/>
      <c r="C200" s="619"/>
      <c r="P200" s="572" t="s">
        <v>562</v>
      </c>
      <c r="Q200" s="616"/>
      <c r="R200" s="616"/>
    </row>
    <row r="201" spans="2:22" x14ac:dyDescent="0.55000000000000004">
      <c r="B201" s="618"/>
      <c r="C201" s="619"/>
      <c r="P201" s="572" t="s">
        <v>584</v>
      </c>
      <c r="Q201" s="616">
        <f>R187</f>
        <v>9.4400631577179248E-2</v>
      </c>
      <c r="R201" s="616">
        <v>3.8480376643836404E-2</v>
      </c>
    </row>
    <row r="202" spans="2:22" x14ac:dyDescent="0.55000000000000004">
      <c r="B202" s="618"/>
      <c r="C202" s="619"/>
      <c r="P202" s="572" t="s">
        <v>589</v>
      </c>
      <c r="Q202" s="616">
        <f>R191</f>
        <v>6.3930392132160896E-2</v>
      </c>
      <c r="R202" s="616">
        <v>3.0497838229749604E-2</v>
      </c>
    </row>
    <row r="203" spans="2:22" x14ac:dyDescent="0.55000000000000004">
      <c r="B203" s="618"/>
      <c r="C203" s="619"/>
    </row>
    <row r="204" spans="2:22" x14ac:dyDescent="0.55000000000000004">
      <c r="B204" s="618"/>
      <c r="C204" s="619"/>
      <c r="P204" s="611" t="s">
        <v>586</v>
      </c>
      <c r="Q204" s="620">
        <f>SUM(Q196:Q198)-Q201-Q202</f>
        <v>0.18807539009866681</v>
      </c>
      <c r="R204" s="620">
        <f>SUM(R196:R198)-R201-R202</f>
        <v>0.13232388198007175</v>
      </c>
    </row>
    <row r="205" spans="2:22" x14ac:dyDescent="0.55000000000000004">
      <c r="B205" s="557" t="s">
        <v>397</v>
      </c>
      <c r="C205" s="578"/>
    </row>
    <row r="206" spans="2:22" x14ac:dyDescent="0.55000000000000004">
      <c r="B206" s="557" t="s">
        <v>132</v>
      </c>
      <c r="C206" s="578">
        <v>0.92</v>
      </c>
    </row>
    <row r="207" spans="2:22" x14ac:dyDescent="0.55000000000000004">
      <c r="B207" s="557" t="s">
        <v>393</v>
      </c>
      <c r="C207" s="578">
        <v>0.5</v>
      </c>
    </row>
    <row r="208" spans="2:22" x14ac:dyDescent="0.55000000000000004">
      <c r="B208" s="557" t="s">
        <v>395</v>
      </c>
      <c r="C208" s="578"/>
    </row>
    <row r="209" spans="2:9" x14ac:dyDescent="0.55000000000000004">
      <c r="B209" s="557" t="s">
        <v>394</v>
      </c>
      <c r="C209" s="578"/>
    </row>
    <row r="212" spans="2:9" x14ac:dyDescent="0.55000000000000004">
      <c r="B212" s="557" t="s">
        <v>436</v>
      </c>
      <c r="C212" s="557">
        <v>2019</v>
      </c>
      <c r="D212" s="557">
        <v>2020</v>
      </c>
      <c r="E212" s="557">
        <v>2021</v>
      </c>
      <c r="F212" s="557">
        <v>2022</v>
      </c>
      <c r="G212" s="557">
        <v>2023</v>
      </c>
      <c r="H212" s="557">
        <v>2024</v>
      </c>
      <c r="I212" s="557">
        <v>2025</v>
      </c>
    </row>
    <row r="213" spans="2:9" x14ac:dyDescent="0.55000000000000004">
      <c r="B213" s="557" t="s">
        <v>132</v>
      </c>
      <c r="C213" s="580">
        <f>'Revenue and Expenses breakdown'!C69</f>
        <v>0.81925299077850455</v>
      </c>
      <c r="D213" s="580">
        <f>'Revenue and Expenses breakdown'!D69</f>
        <v>0.76056448712463331</v>
      </c>
      <c r="E213" s="580">
        <f>'Revenue and Expenses breakdown'!E69</f>
        <v>0.95684707704500005</v>
      </c>
      <c r="F213" s="580">
        <f>'Revenue and Expenses breakdown'!F69</f>
        <v>0.87038144188514732</v>
      </c>
      <c r="G213" s="580">
        <f>'Revenue and Expenses breakdown'!G69</f>
        <v>0.68038144188514726</v>
      </c>
      <c r="H213" s="580">
        <f>'Revenue and Expenses breakdown'!H69</f>
        <v>0.70038144188514728</v>
      </c>
      <c r="I213" s="580">
        <f>'Revenue and Expenses breakdown'!I69</f>
        <v>0.70038144188514728</v>
      </c>
    </row>
    <row r="214" spans="2:9" x14ac:dyDescent="0.55000000000000004">
      <c r="B214" s="557" t="s">
        <v>132</v>
      </c>
      <c r="C214" s="572">
        <f>-'Revenue and Expenses breakdown'!C66</f>
        <v>81.099999999999994</v>
      </c>
      <c r="D214" s="572">
        <f>-'Revenue and Expenses breakdown'!D66</f>
        <v>87.2</v>
      </c>
      <c r="E214" s="572">
        <f>-'Revenue and Expenses breakdown'!E66</f>
        <v>317.42</v>
      </c>
      <c r="F214" s="572">
        <f>-'Revenue and Expenses breakdown'!F66</f>
        <v>1408</v>
      </c>
      <c r="G214" s="572">
        <f>-'Revenue and Expenses breakdown'!G66</f>
        <v>1669.5716505708156</v>
      </c>
      <c r="H214" s="572">
        <f>-'Revenue and Expenses breakdown'!H66</f>
        <v>1648.1948063999262</v>
      </c>
      <c r="I214" s="572">
        <f>-'Revenue and Expenses breakdown'!I66</f>
        <v>1679.4462352435539</v>
      </c>
    </row>
    <row r="220" spans="2:9" x14ac:dyDescent="0.55000000000000004">
      <c r="G220" s="578"/>
    </row>
    <row r="224" spans="2:9" x14ac:dyDescent="0.55000000000000004">
      <c r="B224" s="557" t="s">
        <v>450</v>
      </c>
    </row>
    <row r="226" spans="2:5" x14ac:dyDescent="0.55000000000000004">
      <c r="B226" s="623" t="s">
        <v>454</v>
      </c>
      <c r="C226" s="623">
        <v>2019</v>
      </c>
      <c r="D226" s="623">
        <v>2020</v>
      </c>
      <c r="E226" s="623" t="s">
        <v>451</v>
      </c>
    </row>
    <row r="227" spans="2:5" x14ac:dyDescent="0.55000000000000004">
      <c r="B227" s="557" t="s">
        <v>452</v>
      </c>
      <c r="C227" s="573">
        <f>Master!D154*4.03</f>
        <v>11229.595000000001</v>
      </c>
      <c r="D227" s="573">
        <f>Master!E154*5.19</f>
        <v>15097.191000000001</v>
      </c>
      <c r="E227" s="573">
        <f>4062*5.44</f>
        <v>22097.280000000002</v>
      </c>
    </row>
    <row r="228" spans="2:5" x14ac:dyDescent="0.55000000000000004">
      <c r="B228" s="557" t="s">
        <v>456</v>
      </c>
      <c r="C228" s="573">
        <f>58*4.03</f>
        <v>233.74</v>
      </c>
      <c r="D228" s="573">
        <f>174.7*5.19</f>
        <v>906.69299999999998</v>
      </c>
      <c r="E228" s="573">
        <f>793*5.44</f>
        <v>4313.92</v>
      </c>
    </row>
    <row r="229" spans="2:5" x14ac:dyDescent="0.55000000000000004">
      <c r="B229" s="557" t="s">
        <v>393</v>
      </c>
      <c r="C229" s="573">
        <v>5063.3999999999996</v>
      </c>
      <c r="D229" s="573">
        <v>9448.9</v>
      </c>
      <c r="E229" s="573">
        <v>15893</v>
      </c>
    </row>
    <row r="230" spans="2:5" x14ac:dyDescent="0.55000000000000004">
      <c r="B230" s="557" t="s">
        <v>453</v>
      </c>
      <c r="C230" s="573">
        <f>209*5.19</f>
        <v>1084.71</v>
      </c>
      <c r="D230" s="573">
        <f>479*5.19</f>
        <v>2486.0100000000002</v>
      </c>
      <c r="E230" s="573">
        <f>1127*5.44</f>
        <v>6130.88</v>
      </c>
    </row>
    <row r="231" spans="2:5" x14ac:dyDescent="0.55000000000000004">
      <c r="B231" s="557" t="s">
        <v>394</v>
      </c>
      <c r="C231" s="573">
        <v>376</v>
      </c>
      <c r="D231" s="573">
        <v>612</v>
      </c>
      <c r="E231" s="573">
        <v>1600</v>
      </c>
    </row>
    <row r="232" spans="2:5" x14ac:dyDescent="0.55000000000000004">
      <c r="B232" s="557" t="s">
        <v>455</v>
      </c>
      <c r="C232" s="573">
        <v>166</v>
      </c>
      <c r="D232" s="573">
        <v>1514</v>
      </c>
      <c r="E232" s="573">
        <v>1591</v>
      </c>
    </row>
    <row r="233" spans="2:5" x14ac:dyDescent="0.55000000000000004">
      <c r="B233" s="557" t="s">
        <v>395</v>
      </c>
      <c r="C233" s="573"/>
      <c r="D233" s="573"/>
      <c r="E233" s="573">
        <v>560.9</v>
      </c>
    </row>
    <row r="251" spans="2:4" x14ac:dyDescent="0.55000000000000004">
      <c r="B251" s="557" t="s">
        <v>457</v>
      </c>
    </row>
    <row r="252" spans="2:4" x14ac:dyDescent="0.55000000000000004">
      <c r="B252" s="623"/>
      <c r="C252" s="623">
        <v>2020</v>
      </c>
      <c r="D252" s="623">
        <v>2025</v>
      </c>
    </row>
    <row r="253" spans="2:4" x14ac:dyDescent="0.55000000000000004">
      <c r="B253" s="618" t="s">
        <v>132</v>
      </c>
    </row>
    <row r="254" spans="2:4" x14ac:dyDescent="0.55000000000000004">
      <c r="B254" s="557" t="s">
        <v>346</v>
      </c>
      <c r="C254" s="572">
        <f>'Revenue and Expenses breakdown'!D8</f>
        <v>217.5</v>
      </c>
      <c r="D254" s="572">
        <f>'Revenue and Expenses breakdown'!I8</f>
        <v>4201.0839206008495</v>
      </c>
    </row>
    <row r="255" spans="2:4" x14ac:dyDescent="0.55000000000000004">
      <c r="B255" s="557" t="s">
        <v>218</v>
      </c>
      <c r="C255" s="572">
        <f>'Revenue and Expenses breakdown'!D11</f>
        <v>38.9</v>
      </c>
      <c r="D255" s="572">
        <f>'Revenue and Expenses breakdown'!I11</f>
        <v>2995.7823982901446</v>
      </c>
    </row>
    <row r="256" spans="2:4" x14ac:dyDescent="0.55000000000000004">
      <c r="B256" s="618" t="s">
        <v>458</v>
      </c>
    </row>
    <row r="257" spans="2:10" x14ac:dyDescent="0.55000000000000004">
      <c r="B257" s="557" t="str">
        <f>B254</f>
        <v>Credit cards</v>
      </c>
      <c r="C257" s="557">
        <v>9000</v>
      </c>
      <c r="D257" s="557">
        <v>15000</v>
      </c>
    </row>
    <row r="258" spans="2:10" x14ac:dyDescent="0.55000000000000004">
      <c r="B258" s="557" t="str">
        <f>B255</f>
        <v>Personal loans</v>
      </c>
      <c r="C258" s="557">
        <f>123000+17000</f>
        <v>140000</v>
      </c>
      <c r="D258" s="557">
        <f>171000+18000</f>
        <v>189000</v>
      </c>
    </row>
    <row r="259" spans="2:10" x14ac:dyDescent="0.55000000000000004">
      <c r="B259" s="618" t="s">
        <v>348</v>
      </c>
    </row>
    <row r="260" spans="2:10" x14ac:dyDescent="0.55000000000000004">
      <c r="B260" s="557" t="str">
        <f>B257</f>
        <v>Credit cards</v>
      </c>
      <c r="C260" s="616">
        <f>C254/C257</f>
        <v>2.4166666666666666E-2</v>
      </c>
      <c r="D260" s="616">
        <f>D254/D257</f>
        <v>0.28007226137338997</v>
      </c>
    </row>
    <row r="261" spans="2:10" x14ac:dyDescent="0.55000000000000004">
      <c r="B261" s="557" t="str">
        <f>B258</f>
        <v>Personal loans</v>
      </c>
      <c r="C261" s="616">
        <f>C255/C258</f>
        <v>2.7785714285714284E-4</v>
      </c>
      <c r="D261" s="616">
        <f>D255/D258</f>
        <v>1.5850700520053676E-2</v>
      </c>
    </row>
    <row r="262" spans="2:10" x14ac:dyDescent="0.55000000000000004">
      <c r="C262" s="616"/>
    </row>
    <row r="265" spans="2:10" x14ac:dyDescent="0.55000000000000004">
      <c r="B265" s="557" t="s">
        <v>460</v>
      </c>
      <c r="C265" s="557">
        <v>2021</v>
      </c>
      <c r="D265" s="557">
        <f t="shared" ref="D265:J265" si="8">C265+1</f>
        <v>2022</v>
      </c>
      <c r="E265" s="557">
        <f t="shared" si="8"/>
        <v>2023</v>
      </c>
      <c r="F265" s="557">
        <f t="shared" si="8"/>
        <v>2024</v>
      </c>
      <c r="G265" s="557">
        <f t="shared" si="8"/>
        <v>2025</v>
      </c>
      <c r="H265" s="557">
        <f t="shared" si="8"/>
        <v>2026</v>
      </c>
      <c r="I265" s="557">
        <f t="shared" si="8"/>
        <v>2027</v>
      </c>
      <c r="J265" s="557">
        <f t="shared" si="8"/>
        <v>2028</v>
      </c>
    </row>
    <row r="267" spans="2:10" x14ac:dyDescent="0.55000000000000004">
      <c r="B267" s="557" t="s">
        <v>462</v>
      </c>
      <c r="C267" s="585">
        <f>'Revenue and Expenses breakdown'!E50</f>
        <v>1.2330000000000001</v>
      </c>
      <c r="D267" s="585">
        <f>'Revenue and Expenses breakdown'!F50</f>
        <v>4.2840000000000007</v>
      </c>
      <c r="E267" s="585">
        <f>'Revenue and Expenses breakdown'!G50</f>
        <v>6.056</v>
      </c>
      <c r="F267" s="585">
        <f>'Revenue and Expenses breakdown'!H50</f>
        <v>8.7200000000000006</v>
      </c>
      <c r="G267" s="585">
        <f>'Revenue and Expenses breakdown'!I50</f>
        <v>11.904</v>
      </c>
      <c r="H267" s="585">
        <f>'Revenue and Expenses breakdown'!J50</f>
        <v>14.196000000000002</v>
      </c>
      <c r="I267" s="585">
        <f>'Revenue and Expenses breakdown'!K50</f>
        <v>16.408000000000001</v>
      </c>
      <c r="J267" s="585">
        <f>'Revenue and Expenses breakdown'!L50</f>
        <v>18.405000000000005</v>
      </c>
    </row>
    <row r="268" spans="2:10" x14ac:dyDescent="0.55000000000000004">
      <c r="B268" s="557" t="s">
        <v>461</v>
      </c>
      <c r="C268" s="616">
        <f>C267/Drivers!F8</f>
        <v>3.0000000000000002E-2</v>
      </c>
      <c r="D268" s="616">
        <f>D267/Drivers!G8</f>
        <v>7.0000000000000007E-2</v>
      </c>
      <c r="E268" s="616">
        <f>E267/Drivers!H8</f>
        <v>0.08</v>
      </c>
      <c r="F268" s="616">
        <f>F267/Drivers!I8</f>
        <v>0.1</v>
      </c>
      <c r="G268" s="616">
        <f>G267/Drivers!J8</f>
        <v>0.12</v>
      </c>
      <c r="H268" s="616">
        <f>H267/Drivers!K8</f>
        <v>0.13</v>
      </c>
      <c r="I268" s="616">
        <f>I267/Drivers!L8</f>
        <v>0.14000000000000001</v>
      </c>
      <c r="J268" s="616">
        <f>J267/Drivers!M8</f>
        <v>0.15000000000000002</v>
      </c>
    </row>
    <row r="269" spans="2:10" x14ac:dyDescent="0.55000000000000004">
      <c r="B269" s="557" t="s">
        <v>472</v>
      </c>
      <c r="C269" s="557">
        <f>'Revenue and Expenses breakdown'!E51</f>
        <v>0</v>
      </c>
      <c r="D269" s="557">
        <f>'Revenue and Expenses breakdown'!F51</f>
        <v>6</v>
      </c>
      <c r="E269" s="557">
        <f>'Revenue and Expenses breakdown'!G51</f>
        <v>7</v>
      </c>
      <c r="F269" s="557">
        <f>'Revenue and Expenses breakdown'!H51</f>
        <v>8</v>
      </c>
      <c r="G269" s="557">
        <f>'Revenue and Expenses breakdown'!I51</f>
        <v>9</v>
      </c>
      <c r="H269" s="557">
        <f>'Revenue and Expenses breakdown'!J51</f>
        <v>10</v>
      </c>
      <c r="I269" s="557">
        <f>'Revenue and Expenses breakdown'!K51</f>
        <v>11</v>
      </c>
      <c r="J269" s="557">
        <f>'Revenue and Expenses breakdown'!L51</f>
        <v>12</v>
      </c>
    </row>
    <row r="271" spans="2:10" x14ac:dyDescent="0.55000000000000004">
      <c r="B271" s="557" t="s">
        <v>463</v>
      </c>
      <c r="C271" s="585">
        <f>Drivers!F317</f>
        <v>0</v>
      </c>
      <c r="D271" s="585">
        <f>Drivers!G317</f>
        <v>4.8959999999999999</v>
      </c>
      <c r="E271" s="585">
        <f>Drivers!H317</f>
        <v>9.0839999999999996</v>
      </c>
      <c r="F271" s="585">
        <f>Drivers!I317</f>
        <v>12.208000000000002</v>
      </c>
      <c r="G271" s="585">
        <f>Drivers!J317</f>
        <v>15.872000000000002</v>
      </c>
      <c r="H271" s="585">
        <f>Drivers!K317</f>
        <v>19.655999999999999</v>
      </c>
      <c r="I271" s="585">
        <f>Drivers!L317</f>
        <v>23.44</v>
      </c>
      <c r="J271" s="585">
        <f>Drivers!M317</f>
        <v>24.540000000000003</v>
      </c>
    </row>
    <row r="272" spans="2:10" x14ac:dyDescent="0.55000000000000004">
      <c r="B272" s="557" t="s">
        <v>471</v>
      </c>
      <c r="C272" s="616">
        <f>Drivers!F316</f>
        <v>0</v>
      </c>
      <c r="D272" s="616">
        <f>Drivers!G316</f>
        <v>0.04</v>
      </c>
      <c r="E272" s="616">
        <f>Drivers!H316</f>
        <v>0.06</v>
      </c>
      <c r="F272" s="616">
        <f>Drivers!I316</f>
        <v>7.0000000000000007E-2</v>
      </c>
      <c r="G272" s="616">
        <f>Drivers!J316</f>
        <v>0.08</v>
      </c>
      <c r="H272" s="616">
        <f>Drivers!K316</f>
        <v>0.09</v>
      </c>
      <c r="I272" s="616">
        <f>Drivers!L316</f>
        <v>0.1</v>
      </c>
      <c r="J272" s="616">
        <f>Drivers!M316</f>
        <v>0.1</v>
      </c>
    </row>
    <row r="273" spans="2:10" x14ac:dyDescent="0.55000000000000004">
      <c r="B273" s="557" t="s">
        <v>473</v>
      </c>
      <c r="C273" s="572">
        <f>Drivers!F319</f>
        <v>233.89428423159612</v>
      </c>
      <c r="D273" s="572">
        <f>Drivers!G319</f>
        <v>244.5736434108527</v>
      </c>
      <c r="E273" s="572">
        <f>Drivers!H319</f>
        <v>251.64506480558327</v>
      </c>
      <c r="F273" s="572">
        <f>Drivers!I319</f>
        <v>251.45067698259189</v>
      </c>
      <c r="G273" s="572">
        <f>Drivers!J319</f>
        <v>257.93650793650795</v>
      </c>
      <c r="H273" s="572">
        <f>Drivers!K319</f>
        <v>251.45067698259189</v>
      </c>
      <c r="I273" s="572">
        <f>Drivers!L319</f>
        <v>251.45067698259189</v>
      </c>
      <c r="J273" s="572">
        <f>Drivers!M319</f>
        <v>251.45067698259189</v>
      </c>
    </row>
    <row r="276" spans="2:10" x14ac:dyDescent="0.55000000000000004">
      <c r="B276" s="597" t="s">
        <v>73</v>
      </c>
      <c r="C276" s="624" t="s">
        <v>354</v>
      </c>
      <c r="D276" s="624" t="s">
        <v>482</v>
      </c>
      <c r="E276" s="597"/>
      <c r="F276" s="624" t="s">
        <v>483</v>
      </c>
      <c r="G276" s="625" t="s">
        <v>482</v>
      </c>
      <c r="H276" s="626"/>
    </row>
    <row r="277" spans="2:10" x14ac:dyDescent="0.55000000000000004">
      <c r="B277" s="627" t="s">
        <v>479</v>
      </c>
      <c r="C277" s="628">
        <f>Master!F62</f>
        <v>3493.6222350000003</v>
      </c>
      <c r="D277" s="629">
        <f>C277/C$279</f>
        <v>0.75230879188491662</v>
      </c>
      <c r="E277" s="627"/>
      <c r="F277" s="628">
        <f>C277*1</f>
        <v>3493.6222350000003</v>
      </c>
      <c r="G277" s="630">
        <f>F277/F$279</f>
        <v>0.13184214211709666</v>
      </c>
    </row>
    <row r="278" spans="2:10" x14ac:dyDescent="0.55000000000000004">
      <c r="B278" s="631" t="s">
        <v>480</v>
      </c>
      <c r="C278" s="632">
        <v>1150.2451140000001</v>
      </c>
      <c r="D278" s="633">
        <f>C278/C$279</f>
        <v>0.24769120811508349</v>
      </c>
      <c r="E278" s="631"/>
      <c r="F278" s="632">
        <f>C278*20</f>
        <v>23004.902280000002</v>
      </c>
      <c r="G278" s="634">
        <f>F278/F$279</f>
        <v>0.86815785788290334</v>
      </c>
    </row>
    <row r="279" spans="2:10" x14ac:dyDescent="0.55000000000000004">
      <c r="B279" s="627" t="s">
        <v>354</v>
      </c>
      <c r="C279" s="628">
        <f>C277+C278</f>
        <v>4643.8673490000001</v>
      </c>
      <c r="D279" s="629">
        <f>C279/C279</f>
        <v>1</v>
      </c>
      <c r="E279" s="627"/>
      <c r="F279" s="628">
        <f>F277+F278</f>
        <v>26498.524515000001</v>
      </c>
      <c r="G279" s="629">
        <f>F279/F279</f>
        <v>1</v>
      </c>
    </row>
    <row r="280" spans="2:10" x14ac:dyDescent="0.55000000000000004">
      <c r="B280" s="568"/>
      <c r="C280" s="635"/>
      <c r="D280" s="636"/>
      <c r="E280" s="568"/>
      <c r="F280" s="635"/>
      <c r="G280" s="568"/>
    </row>
    <row r="281" spans="2:10" x14ac:dyDescent="0.55000000000000004">
      <c r="B281" s="637" t="s">
        <v>605</v>
      </c>
      <c r="C281" s="628"/>
      <c r="D281" s="638"/>
      <c r="E281" s="627"/>
      <c r="F281" s="639"/>
      <c r="G281" s="639"/>
    </row>
    <row r="282" spans="2:10" x14ac:dyDescent="0.55000000000000004">
      <c r="B282" s="615" t="s">
        <v>481</v>
      </c>
      <c r="C282" s="635"/>
      <c r="D282" s="616"/>
      <c r="E282" s="572"/>
      <c r="F282" s="572"/>
    </row>
    <row r="283" spans="2:10" x14ac:dyDescent="0.55000000000000004">
      <c r="B283" s="639" t="str">
        <f>B277</f>
        <v>A shares</v>
      </c>
      <c r="C283" s="628">
        <v>0</v>
      </c>
      <c r="D283" s="629">
        <f>C283/C$277</f>
        <v>0</v>
      </c>
      <c r="E283" s="639"/>
      <c r="F283" s="628">
        <f>C283*1</f>
        <v>0</v>
      </c>
      <c r="G283" s="630">
        <f>F283/F277</f>
        <v>0</v>
      </c>
    </row>
    <row r="284" spans="2:10" x14ac:dyDescent="0.55000000000000004">
      <c r="B284" s="613" t="str">
        <f>B278</f>
        <v>B shares</v>
      </c>
      <c r="C284" s="632">
        <f>0.862*C278</f>
        <v>991.51128826800004</v>
      </c>
      <c r="D284" s="633">
        <f>C284/C$278</f>
        <v>0.86199999999999999</v>
      </c>
      <c r="E284" s="631"/>
      <c r="F284" s="632">
        <f>C284*20</f>
        <v>19830.225765360003</v>
      </c>
      <c r="G284" s="634">
        <f>F284/F278</f>
        <v>0.86199999999999999</v>
      </c>
    </row>
    <row r="285" spans="2:10" x14ac:dyDescent="0.55000000000000004">
      <c r="B285" s="639" t="s">
        <v>354</v>
      </c>
      <c r="C285" s="628">
        <f>C283+C284</f>
        <v>991.51128826800004</v>
      </c>
      <c r="D285" s="629">
        <f>C285/C$279</f>
        <v>0.21350982139520197</v>
      </c>
      <c r="E285" s="627"/>
      <c r="F285" s="628">
        <f>F283+F284</f>
        <v>19830.225765360003</v>
      </c>
      <c r="G285" s="630">
        <f>F285/F279</f>
        <v>0.74835207349506272</v>
      </c>
    </row>
    <row r="286" spans="2:10" x14ac:dyDescent="0.55000000000000004">
      <c r="B286" s="615" t="s">
        <v>484</v>
      </c>
      <c r="C286" s="635"/>
      <c r="D286" s="616"/>
      <c r="E286" s="568"/>
      <c r="F286" s="572"/>
    </row>
    <row r="287" spans="2:10" x14ac:dyDescent="0.55000000000000004">
      <c r="B287" s="639" t="str">
        <f>B283</f>
        <v>A shares</v>
      </c>
      <c r="C287" s="628">
        <v>4.492</v>
      </c>
      <c r="D287" s="629">
        <f>C287/C$277</f>
        <v>1.2857715281858458E-3</v>
      </c>
      <c r="E287" s="627"/>
      <c r="F287" s="628">
        <f>C287*1</f>
        <v>4.492</v>
      </c>
      <c r="G287" s="629">
        <f>F287/F$277</f>
        <v>1.2857715281858458E-3</v>
      </c>
    </row>
    <row r="288" spans="2:10" x14ac:dyDescent="0.55000000000000004">
      <c r="B288" s="613" t="str">
        <f>B284</f>
        <v>B shares</v>
      </c>
      <c r="C288" s="632">
        <v>122.491</v>
      </c>
      <c r="D288" s="633">
        <f>C288/C$278</f>
        <v>0.10649121522806138</v>
      </c>
      <c r="E288" s="623"/>
      <c r="F288" s="632">
        <f>C288*20</f>
        <v>2449.8200000000002</v>
      </c>
      <c r="G288" s="633">
        <f>F288/F$278</f>
        <v>0.10649121522806138</v>
      </c>
    </row>
    <row r="289" spans="2:9" x14ac:dyDescent="0.55000000000000004">
      <c r="B289" s="639" t="str">
        <f>B285</f>
        <v>Total</v>
      </c>
      <c r="C289" s="628">
        <f>SUM(C287:C288)</f>
        <v>126.983</v>
      </c>
      <c r="D289" s="629">
        <f>C289/C$279</f>
        <v>2.7344234978491415E-2</v>
      </c>
      <c r="E289" s="640"/>
      <c r="F289" s="628">
        <f>F287+F288</f>
        <v>2454.3120000000004</v>
      </c>
      <c r="G289" s="629">
        <f>F289/F$279</f>
        <v>9.2620704168290185E-2</v>
      </c>
    </row>
    <row r="290" spans="2:9" x14ac:dyDescent="0.55000000000000004">
      <c r="B290" s="615" t="s">
        <v>604</v>
      </c>
      <c r="C290" s="635"/>
      <c r="D290" s="616"/>
      <c r="G290" s="616"/>
    </row>
    <row r="291" spans="2:9" x14ac:dyDescent="0.55000000000000004">
      <c r="B291" s="639" t="s">
        <v>606</v>
      </c>
      <c r="C291" s="628">
        <v>790.95</v>
      </c>
      <c r="D291" s="629">
        <f>C291/C$279</f>
        <v>0.17032140252031994</v>
      </c>
      <c r="E291" s="640"/>
      <c r="F291" s="628">
        <f>C291</f>
        <v>790.95</v>
      </c>
      <c r="G291" s="629">
        <f>F291/F$279</f>
        <v>2.984883175484988E-2</v>
      </c>
    </row>
    <row r="292" spans="2:9" x14ac:dyDescent="0.55000000000000004">
      <c r="B292" s="572" t="s">
        <v>607</v>
      </c>
      <c r="C292" s="635">
        <v>415.339</v>
      </c>
      <c r="D292" s="636">
        <f>C292/C$279</f>
        <v>8.9438170556150401E-2</v>
      </c>
      <c r="F292" s="635">
        <f>C292</f>
        <v>415.339</v>
      </c>
      <c r="G292" s="636">
        <f>F292/F$279</f>
        <v>1.5674042521306775E-2</v>
      </c>
    </row>
    <row r="293" spans="2:9" x14ac:dyDescent="0.55000000000000004">
      <c r="B293" s="639" t="s">
        <v>608</v>
      </c>
      <c r="C293" s="628">
        <v>281.733</v>
      </c>
      <c r="D293" s="629">
        <f>C293/C$279</f>
        <v>6.0667753582726205E-2</v>
      </c>
      <c r="E293" s="640"/>
      <c r="F293" s="628">
        <f>C293</f>
        <v>281.733</v>
      </c>
      <c r="G293" s="629">
        <f>F293/F$279</f>
        <v>1.063202593942616E-2</v>
      </c>
    </row>
    <row r="294" spans="2:9" ht="15.6" thickBot="1" x14ac:dyDescent="0.6">
      <c r="B294" s="572" t="s">
        <v>609</v>
      </c>
      <c r="C294" s="635">
        <v>250.351</v>
      </c>
      <c r="D294" s="636">
        <f>C294/C$279</f>
        <v>5.3910023948877443E-2</v>
      </c>
      <c r="F294" s="635">
        <f>C294</f>
        <v>250.351</v>
      </c>
      <c r="G294" s="636">
        <f>F294/F$279</f>
        <v>9.4477335844976567E-3</v>
      </c>
    </row>
    <row r="295" spans="2:9" ht="15.6" thickBot="1" x14ac:dyDescent="0.6">
      <c r="B295" s="641" t="s">
        <v>610</v>
      </c>
      <c r="C295" s="642">
        <f>Master!F66</f>
        <v>332.52313800000002</v>
      </c>
      <c r="D295" s="643">
        <f>C295/C$279</f>
        <v>7.1604788209896825E-2</v>
      </c>
      <c r="E295" s="644"/>
      <c r="F295" s="642">
        <f>C295</f>
        <v>332.52313800000002</v>
      </c>
      <c r="G295" s="645">
        <f>F295/F$279</f>
        <v>1.2548741640756974E-2</v>
      </c>
    </row>
    <row r="296" spans="2:9" x14ac:dyDescent="0.55000000000000004">
      <c r="B296" s="572"/>
    </row>
    <row r="297" spans="2:9" x14ac:dyDescent="0.55000000000000004">
      <c r="B297" s="579" t="s">
        <v>409</v>
      </c>
      <c r="C297" s="584" t="str">
        <f>Quarts!D2</f>
        <v>Q1 20</v>
      </c>
      <c r="D297" s="584" t="str">
        <f>Quarts!E2</f>
        <v>Q2 20</v>
      </c>
      <c r="E297" s="584" t="str">
        <f>Quarts!F2</f>
        <v>Q3 20</v>
      </c>
      <c r="F297" s="584" t="str">
        <f>Quarts!G2</f>
        <v>Q4 20</v>
      </c>
      <c r="G297" s="584" t="str">
        <f>Quarts!H2</f>
        <v>Q1 21</v>
      </c>
      <c r="H297" s="584" t="str">
        <f>Quarts!I2</f>
        <v>Q2 21</v>
      </c>
      <c r="I297" s="584" t="str">
        <f>Quarts!J2</f>
        <v>Q3 21</v>
      </c>
    </row>
    <row r="298" spans="2:9" x14ac:dyDescent="0.55000000000000004">
      <c r="B298" s="557" t="s">
        <v>132</v>
      </c>
      <c r="C298" s="616"/>
      <c r="D298" s="616">
        <f>Quarts!E60</f>
        <v>0.58718422674060389</v>
      </c>
      <c r="E298" s="616">
        <f>Quarts!F60</f>
        <v>0.43113388853299178</v>
      </c>
      <c r="F298" s="616">
        <f>Quarts!G60</f>
        <v>0.37759131293188558</v>
      </c>
      <c r="G298" s="616">
        <f>Quarts!H60</f>
        <v>0.47224489795918362</v>
      </c>
      <c r="H298" s="616">
        <f>Quarts!I60</f>
        <v>0.49509074680154724</v>
      </c>
      <c r="I298" s="616">
        <f>Quarts!J60</f>
        <v>0.4655853607818673</v>
      </c>
    </row>
    <row r="299" spans="2:9" x14ac:dyDescent="0.55000000000000004">
      <c r="B299" s="557" t="s">
        <v>393</v>
      </c>
      <c r="C299" s="616">
        <v>0.44740335697903821</v>
      </c>
      <c r="D299" s="616">
        <v>0.600208171658562</v>
      </c>
      <c r="E299" s="616">
        <v>0.61460790185216518</v>
      </c>
      <c r="F299" s="616">
        <v>0.62040651377295619</v>
      </c>
      <c r="G299" s="616">
        <v>0.5827472804931374</v>
      </c>
      <c r="H299" s="616">
        <v>0.52471418970877748</v>
      </c>
      <c r="I299" s="616">
        <v>0.49535877012596818</v>
      </c>
    </row>
    <row r="300" spans="2:9" x14ac:dyDescent="0.55000000000000004">
      <c r="D300" s="572"/>
    </row>
    <row r="301" spans="2:9" x14ac:dyDescent="0.55000000000000004">
      <c r="D301" s="572"/>
    </row>
    <row r="302" spans="2:9" x14ac:dyDescent="0.55000000000000004">
      <c r="D302" s="572"/>
    </row>
    <row r="303" spans="2:9" x14ac:dyDescent="0.55000000000000004">
      <c r="D303" s="572"/>
    </row>
    <row r="304" spans="2:9" x14ac:dyDescent="0.55000000000000004">
      <c r="D304" s="572"/>
    </row>
    <row r="305" spans="3:4" x14ac:dyDescent="0.55000000000000004">
      <c r="D305" s="572"/>
    </row>
    <row r="320" spans="3:4" x14ac:dyDescent="0.55000000000000004">
      <c r="C320" s="557" t="s">
        <v>539</v>
      </c>
      <c r="D320" s="580">
        <f>S156</f>
        <v>0.70025008931761346</v>
      </c>
    </row>
    <row r="321" spans="3:4" x14ac:dyDescent="0.55000000000000004">
      <c r="C321" s="557" t="s">
        <v>540</v>
      </c>
      <c r="D321" s="580">
        <f>S159</f>
        <v>0.44398483281627027</v>
      </c>
    </row>
    <row r="322" spans="3:4" x14ac:dyDescent="0.55000000000000004">
      <c r="C322" s="557" t="s">
        <v>545</v>
      </c>
      <c r="D322" s="580">
        <f>S161</f>
        <v>0.56982456140350879</v>
      </c>
    </row>
    <row r="324" spans="3:4" x14ac:dyDescent="0.55000000000000004">
      <c r="C324" s="557" t="s">
        <v>542</v>
      </c>
      <c r="D324" s="580">
        <v>0.23899999999999999</v>
      </c>
    </row>
    <row r="325" spans="3:4" x14ac:dyDescent="0.55000000000000004">
      <c r="C325" s="557" t="s">
        <v>543</v>
      </c>
      <c r="D325" s="580">
        <v>0.13400000000000001</v>
      </c>
    </row>
    <row r="326" spans="3:4" x14ac:dyDescent="0.55000000000000004">
      <c r="C326" s="557" t="s">
        <v>541</v>
      </c>
      <c r="D326" s="580">
        <v>5.0999999999999997E-2</v>
      </c>
    </row>
    <row r="327" spans="3:4" x14ac:dyDescent="0.55000000000000004">
      <c r="C327" s="557" t="s">
        <v>546</v>
      </c>
      <c r="D327" s="580">
        <v>0.182</v>
      </c>
    </row>
    <row r="337" spans="2:10" x14ac:dyDescent="0.55000000000000004">
      <c r="B337" s="579" t="s">
        <v>362</v>
      </c>
      <c r="C337" s="584" t="s">
        <v>377</v>
      </c>
      <c r="D337" s="584" t="s">
        <v>561</v>
      </c>
      <c r="E337" s="584" t="s">
        <v>251</v>
      </c>
      <c r="F337" s="584" t="s">
        <v>442</v>
      </c>
      <c r="H337" s="584" t="s">
        <v>563</v>
      </c>
      <c r="I337" s="584" t="s">
        <v>564</v>
      </c>
      <c r="J337" s="584" t="s">
        <v>565</v>
      </c>
    </row>
    <row r="338" spans="2:10" x14ac:dyDescent="0.55000000000000004">
      <c r="B338" s="646" t="s">
        <v>556</v>
      </c>
      <c r="C338" s="635">
        <v>126875</v>
      </c>
      <c r="D338" s="635">
        <v>48322</v>
      </c>
      <c r="E338" s="635">
        <v>237654</v>
      </c>
      <c r="F338" s="635">
        <v>132279</v>
      </c>
    </row>
    <row r="339" spans="2:10" x14ac:dyDescent="0.55000000000000004">
      <c r="B339" s="646" t="s">
        <v>557</v>
      </c>
      <c r="C339" s="635">
        <v>40728</v>
      </c>
      <c r="D339" s="635">
        <v>16678</v>
      </c>
      <c r="E339" s="635">
        <v>34561</v>
      </c>
      <c r="F339" s="635">
        <v>22366</v>
      </c>
    </row>
    <row r="340" spans="2:10" ht="15.7" customHeight="1" x14ac:dyDescent="0.55000000000000004">
      <c r="B340" s="647" t="s">
        <v>558</v>
      </c>
      <c r="C340" s="648">
        <f>C338-C339</f>
        <v>86147</v>
      </c>
      <c r="D340" s="648">
        <f>D338-D339</f>
        <v>31644</v>
      </c>
      <c r="E340" s="648">
        <f>E338-E339</f>
        <v>203093</v>
      </c>
      <c r="F340" s="648">
        <f>F338-F339</f>
        <v>109913</v>
      </c>
    </row>
    <row r="341" spans="2:10" x14ac:dyDescent="0.55000000000000004">
      <c r="B341" s="646" t="s">
        <v>559</v>
      </c>
      <c r="C341" s="635">
        <v>6400</v>
      </c>
      <c r="D341" s="635">
        <v>5739</v>
      </c>
      <c r="E341" s="635">
        <v>18079</v>
      </c>
      <c r="F341" s="635">
        <v>12297</v>
      </c>
    </row>
    <row r="342" spans="2:10" x14ac:dyDescent="0.55000000000000004">
      <c r="B342" s="647" t="s">
        <v>106</v>
      </c>
      <c r="C342" s="648">
        <f>C340-C341</f>
        <v>79747</v>
      </c>
      <c r="D342" s="648">
        <f>D340-D341</f>
        <v>25905</v>
      </c>
      <c r="E342" s="648">
        <f>E340-E341</f>
        <v>185014</v>
      </c>
      <c r="F342" s="648">
        <f>F340-F341</f>
        <v>97616</v>
      </c>
    </row>
    <row r="343" spans="2:10" x14ac:dyDescent="0.55000000000000004">
      <c r="B343" s="647"/>
      <c r="C343" s="648"/>
      <c r="D343" s="648"/>
      <c r="E343" s="648"/>
      <c r="F343" s="648"/>
    </row>
    <row r="344" spans="2:10" x14ac:dyDescent="0.55000000000000004">
      <c r="B344" s="646" t="s">
        <v>556</v>
      </c>
      <c r="C344" s="635">
        <v>67612</v>
      </c>
      <c r="D344" s="635">
        <v>9447</v>
      </c>
      <c r="E344" s="635">
        <v>132055</v>
      </c>
      <c r="F344" s="635">
        <v>20366</v>
      </c>
    </row>
    <row r="345" spans="2:10" x14ac:dyDescent="0.55000000000000004">
      <c r="B345" s="646" t="s">
        <v>557</v>
      </c>
      <c r="C345" s="635">
        <v>20170</v>
      </c>
      <c r="D345" s="635">
        <v>2337</v>
      </c>
      <c r="E345" s="635">
        <v>35744</v>
      </c>
      <c r="F345" s="635">
        <v>4095</v>
      </c>
    </row>
    <row r="346" spans="2:10" ht="15.7" customHeight="1" x14ac:dyDescent="0.55000000000000004">
      <c r="B346" s="647" t="s">
        <v>560</v>
      </c>
      <c r="C346" s="648">
        <f>C344-C345</f>
        <v>47442</v>
      </c>
      <c r="D346" s="648">
        <f>D344-D345</f>
        <v>7110</v>
      </c>
      <c r="E346" s="648">
        <f>E344-E345</f>
        <v>96311</v>
      </c>
      <c r="F346" s="648">
        <f>F344-F345</f>
        <v>16271</v>
      </c>
    </row>
    <row r="347" spans="2:10" x14ac:dyDescent="0.55000000000000004">
      <c r="B347" s="646" t="s">
        <v>559</v>
      </c>
      <c r="C347" s="568">
        <v>184</v>
      </c>
      <c r="D347" s="568">
        <v>76</v>
      </c>
      <c r="E347" s="568">
        <v>358</v>
      </c>
      <c r="F347" s="568">
        <v>104</v>
      </c>
    </row>
    <row r="348" spans="2:10" x14ac:dyDescent="0.55000000000000004">
      <c r="B348" s="647" t="s">
        <v>107</v>
      </c>
      <c r="C348" s="648">
        <f>C346-C347</f>
        <v>47258</v>
      </c>
      <c r="D348" s="648">
        <f>D346-D347</f>
        <v>7034</v>
      </c>
      <c r="E348" s="648">
        <f>E346-E347</f>
        <v>95953</v>
      </c>
      <c r="F348" s="648">
        <f>F346-F347</f>
        <v>16167</v>
      </c>
    </row>
    <row r="349" spans="2:10" x14ac:dyDescent="0.55000000000000004">
      <c r="B349" s="646"/>
      <c r="C349" s="646"/>
      <c r="D349" s="646"/>
      <c r="E349" s="646"/>
      <c r="F349" s="646"/>
    </row>
    <row r="350" spans="2:10" x14ac:dyDescent="0.55000000000000004">
      <c r="B350" s="647" t="s">
        <v>568</v>
      </c>
      <c r="C350" s="648">
        <f>C342+C348</f>
        <v>127005</v>
      </c>
      <c r="D350" s="648">
        <f>D342+D348</f>
        <v>32939</v>
      </c>
      <c r="E350" s="649">
        <f>E342+E348</f>
        <v>280967</v>
      </c>
      <c r="F350" s="648">
        <f>F342+F348</f>
        <v>113783</v>
      </c>
    </row>
    <row r="351" spans="2:10" x14ac:dyDescent="0.55000000000000004">
      <c r="B351" s="646"/>
      <c r="C351" s="635"/>
      <c r="D351" s="635"/>
      <c r="E351" s="635"/>
      <c r="F351" s="635"/>
    </row>
    <row r="352" spans="2:10" x14ac:dyDescent="0.55000000000000004">
      <c r="B352" s="647" t="s">
        <v>569</v>
      </c>
      <c r="C352" s="635"/>
      <c r="D352" s="635"/>
      <c r="E352" s="648">
        <v>314323</v>
      </c>
      <c r="F352" s="635"/>
      <c r="H352" s="648">
        <v>217452</v>
      </c>
    </row>
    <row r="353" spans="2:8" x14ac:dyDescent="0.55000000000000004">
      <c r="B353" s="650" t="s">
        <v>570</v>
      </c>
      <c r="C353" s="632"/>
      <c r="D353" s="632"/>
      <c r="E353" s="651">
        <v>110325</v>
      </c>
      <c r="F353" s="632"/>
      <c r="G353" s="613"/>
      <c r="H353" s="651">
        <v>26210</v>
      </c>
    </row>
    <row r="354" spans="2:8" x14ac:dyDescent="0.55000000000000004">
      <c r="B354" s="647" t="s">
        <v>571</v>
      </c>
      <c r="C354" s="635"/>
      <c r="D354" s="635"/>
      <c r="E354" s="652">
        <f>E352+E353</f>
        <v>424648</v>
      </c>
      <c r="F354" s="635"/>
      <c r="H354" s="652">
        <f>H352+H353</f>
        <v>243662</v>
      </c>
    </row>
    <row r="355" spans="2:8" x14ac:dyDescent="0.55000000000000004">
      <c r="B355" s="646"/>
      <c r="C355" s="635"/>
      <c r="D355" s="635"/>
      <c r="E355" s="635"/>
      <c r="F355" s="635"/>
      <c r="H355" s="635"/>
    </row>
    <row r="356" spans="2:8" x14ac:dyDescent="0.55000000000000004">
      <c r="B356" s="647" t="s">
        <v>572</v>
      </c>
      <c r="C356" s="635"/>
      <c r="D356" s="635"/>
      <c r="E356" s="635"/>
      <c r="F356" s="635"/>
      <c r="H356" s="635"/>
    </row>
    <row r="357" spans="2:8" x14ac:dyDescent="0.55000000000000004">
      <c r="B357" s="646" t="s">
        <v>346</v>
      </c>
      <c r="C357" s="572"/>
      <c r="D357" s="635"/>
      <c r="E357" s="635">
        <v>4061.5</v>
      </c>
      <c r="F357" s="635"/>
      <c r="H357" s="635">
        <v>2908.9</v>
      </c>
    </row>
    <row r="358" spans="2:8" x14ac:dyDescent="0.55000000000000004">
      <c r="B358" s="653" t="s">
        <v>218</v>
      </c>
      <c r="C358" s="613"/>
      <c r="D358" s="632"/>
      <c r="E358" s="632">
        <v>792.7</v>
      </c>
      <c r="F358" s="632"/>
      <c r="G358" s="613"/>
      <c r="H358" s="632">
        <v>174.7</v>
      </c>
    </row>
    <row r="359" spans="2:8" x14ac:dyDescent="0.55000000000000004">
      <c r="B359" s="646" t="s">
        <v>450</v>
      </c>
      <c r="C359" s="572"/>
      <c r="D359" s="635"/>
      <c r="E359" s="654">
        <f>E357+E358</f>
        <v>4854.2</v>
      </c>
      <c r="F359" s="635"/>
      <c r="H359" s="654">
        <f>H357+H358</f>
        <v>3083.6</v>
      </c>
    </row>
    <row r="360" spans="2:8" x14ac:dyDescent="0.55000000000000004">
      <c r="B360" s="646"/>
      <c r="C360" s="635"/>
      <c r="D360" s="635"/>
      <c r="E360" s="635"/>
      <c r="F360" s="635"/>
      <c r="H360" s="635"/>
    </row>
    <row r="361" spans="2:8" x14ac:dyDescent="0.55000000000000004">
      <c r="B361" s="647" t="s">
        <v>573</v>
      </c>
      <c r="C361" s="635"/>
      <c r="D361" s="635"/>
      <c r="E361" s="635"/>
      <c r="F361" s="635"/>
      <c r="H361" s="635"/>
    </row>
    <row r="362" spans="2:8" x14ac:dyDescent="0.55000000000000004">
      <c r="B362" s="646" t="str">
        <f>B357</f>
        <v>Credit cards</v>
      </c>
      <c r="C362" s="635"/>
      <c r="D362" s="635"/>
      <c r="E362" s="635">
        <f>E357+E352/1000</f>
        <v>4375.8230000000003</v>
      </c>
      <c r="F362" s="635"/>
      <c r="H362" s="635">
        <f>H357+H352/1000</f>
        <v>3126.3519999999999</v>
      </c>
    </row>
    <row r="363" spans="2:8" x14ac:dyDescent="0.55000000000000004">
      <c r="B363" s="653" t="str">
        <f>B358</f>
        <v>Personal loans</v>
      </c>
      <c r="C363" s="632"/>
      <c r="D363" s="632"/>
      <c r="E363" s="632">
        <f>E358+E353/1000</f>
        <v>903.02500000000009</v>
      </c>
      <c r="F363" s="632"/>
      <c r="G363" s="613"/>
      <c r="H363" s="632">
        <f>H358+H353/1000</f>
        <v>200.91</v>
      </c>
    </row>
    <row r="364" spans="2:8" x14ac:dyDescent="0.55000000000000004">
      <c r="B364" s="646" t="str">
        <f>B359</f>
        <v>Loan book</v>
      </c>
      <c r="C364" s="635"/>
      <c r="D364" s="635"/>
      <c r="E364" s="635">
        <f>E359+E354/1000</f>
        <v>5278.848</v>
      </c>
      <c r="F364" s="635"/>
      <c r="H364" s="635">
        <f>H359+H354/1000</f>
        <v>3327.2619999999997</v>
      </c>
    </row>
    <row r="365" spans="2:8" x14ac:dyDescent="0.55000000000000004">
      <c r="B365" s="646"/>
      <c r="C365" s="635"/>
      <c r="D365" s="635"/>
      <c r="E365" s="635"/>
      <c r="F365" s="635"/>
      <c r="H365" s="635"/>
    </row>
    <row r="366" spans="2:8" x14ac:dyDescent="0.55000000000000004">
      <c r="B366" s="647" t="s">
        <v>574</v>
      </c>
      <c r="C366" s="635"/>
      <c r="D366" s="635"/>
      <c r="E366" s="635"/>
      <c r="F366" s="635"/>
      <c r="H366" s="635"/>
    </row>
    <row r="367" spans="2:8" x14ac:dyDescent="0.55000000000000004">
      <c r="B367" s="646" t="str">
        <f>B362</f>
        <v>Credit cards</v>
      </c>
      <c r="C367" s="635"/>
      <c r="D367" s="635"/>
      <c r="E367" s="636">
        <f>(E352/1000)/E362</f>
        <v>7.1831744565536579E-2</v>
      </c>
      <c r="F367" s="635"/>
      <c r="H367" s="636">
        <f>(H352/1000)/H362</f>
        <v>6.9554547920387733E-2</v>
      </c>
    </row>
    <row r="368" spans="2:8" x14ac:dyDescent="0.55000000000000004">
      <c r="B368" s="653" t="str">
        <f>B363</f>
        <v>Personal loans</v>
      </c>
      <c r="C368" s="632"/>
      <c r="D368" s="632"/>
      <c r="E368" s="633">
        <f>(E353/1000)/E363</f>
        <v>0.12217269732288695</v>
      </c>
      <c r="F368" s="632"/>
      <c r="G368" s="613"/>
      <c r="H368" s="633">
        <f>(H353/1000)/H363</f>
        <v>0.13045642327410284</v>
      </c>
    </row>
    <row r="369" spans="2:10" x14ac:dyDescent="0.55000000000000004">
      <c r="B369" s="646" t="str">
        <f>B364</f>
        <v>Loan book</v>
      </c>
      <c r="C369" s="635"/>
      <c r="D369" s="635"/>
      <c r="E369" s="636">
        <f>(E354/1000)/E364</f>
        <v>8.0443308843141534E-2</v>
      </c>
      <c r="F369" s="635"/>
      <c r="H369" s="636">
        <f>(H354/1000)/H364</f>
        <v>7.3231984736999975E-2</v>
      </c>
    </row>
    <row r="370" spans="2:10" x14ac:dyDescent="0.55000000000000004">
      <c r="B370" s="646"/>
      <c r="C370" s="635"/>
      <c r="D370" s="635"/>
      <c r="E370" s="635"/>
      <c r="F370" s="635"/>
    </row>
    <row r="371" spans="2:10" x14ac:dyDescent="0.55000000000000004">
      <c r="B371" s="646" t="s">
        <v>517</v>
      </c>
      <c r="C371" s="635"/>
      <c r="D371" s="635"/>
      <c r="E371" s="635">
        <v>1415</v>
      </c>
      <c r="F371" s="635">
        <v>375</v>
      </c>
      <c r="H371" s="635">
        <v>488.7</v>
      </c>
      <c r="I371" s="572">
        <v>404.7</v>
      </c>
      <c r="J371" s="572">
        <v>212.1</v>
      </c>
    </row>
    <row r="372" spans="2:10" x14ac:dyDescent="0.55000000000000004">
      <c r="B372" s="646" t="s">
        <v>566</v>
      </c>
      <c r="C372" s="635"/>
      <c r="D372" s="635"/>
      <c r="E372" s="635">
        <f>E371-E358</f>
        <v>622.29999999999995</v>
      </c>
      <c r="F372" s="635"/>
      <c r="H372" s="635"/>
    </row>
    <row r="373" spans="2:10" x14ac:dyDescent="0.55000000000000004">
      <c r="B373" s="646" t="s">
        <v>567</v>
      </c>
      <c r="C373" s="635"/>
      <c r="D373" s="635"/>
      <c r="E373" s="655">
        <f>E372/E357</f>
        <v>0.15321925397020805</v>
      </c>
      <c r="F373" s="635"/>
      <c r="H373" s="635"/>
    </row>
    <row r="374" spans="2:10" x14ac:dyDescent="0.55000000000000004">
      <c r="B374" s="646"/>
      <c r="C374" s="635"/>
      <c r="D374" s="635"/>
      <c r="E374" s="635"/>
      <c r="F374" s="635"/>
    </row>
    <row r="375" spans="2:10" x14ac:dyDescent="0.55000000000000004">
      <c r="B375" s="647" t="s">
        <v>562</v>
      </c>
      <c r="C375" s="635"/>
      <c r="D375" s="635"/>
      <c r="E375" s="635"/>
      <c r="F375" s="635"/>
    </row>
    <row r="376" spans="2:10" x14ac:dyDescent="0.55000000000000004">
      <c r="B376" s="646" t="str">
        <f>B359</f>
        <v>Loan book</v>
      </c>
      <c r="C376" s="636"/>
      <c r="D376" s="635"/>
      <c r="E376" s="636">
        <f>E350*(4/3)/(E359*1000)</f>
        <v>7.7174955021768077E-2</v>
      </c>
      <c r="F376" s="635"/>
    </row>
    <row r="377" spans="2:10" x14ac:dyDescent="0.55000000000000004">
      <c r="B377" s="646" t="str">
        <f>B357</f>
        <v>Credit cards</v>
      </c>
      <c r="C377" s="635"/>
      <c r="D377" s="635"/>
      <c r="E377" s="636">
        <f>E342*(4/3)/(E357*1000)</f>
        <v>6.073749435758545E-2</v>
      </c>
      <c r="F377" s="635"/>
    </row>
    <row r="378" spans="2:10" x14ac:dyDescent="0.55000000000000004">
      <c r="B378" s="646" t="str">
        <f>B358</f>
        <v>Personal loans</v>
      </c>
      <c r="C378" s="635"/>
      <c r="D378" s="635"/>
      <c r="E378" s="636">
        <f>E348*(4/3)/(E358*1000)</f>
        <v>0.16139439047979479</v>
      </c>
      <c r="F378" s="635"/>
    </row>
    <row r="379" spans="2:10" x14ac:dyDescent="0.55000000000000004">
      <c r="B379" s="646"/>
      <c r="C379" s="635"/>
      <c r="D379" s="635"/>
      <c r="E379" s="635"/>
      <c r="F379" s="635"/>
    </row>
    <row r="380" spans="2:10" x14ac:dyDescent="0.55000000000000004">
      <c r="B380" s="572"/>
      <c r="C380" s="635"/>
      <c r="D380" s="635"/>
      <c r="E380" s="635"/>
      <c r="F380" s="635"/>
    </row>
    <row r="381" spans="2:10" x14ac:dyDescent="0.55000000000000004">
      <c r="B381" s="650" t="s">
        <v>156</v>
      </c>
      <c r="C381" s="624" t="s">
        <v>561</v>
      </c>
      <c r="D381" s="624">
        <v>2020</v>
      </c>
      <c r="E381" s="624" t="s">
        <v>377</v>
      </c>
      <c r="F381" s="635"/>
      <c r="G381" s="656"/>
      <c r="H381" s="656"/>
      <c r="I381" s="656"/>
    </row>
    <row r="382" spans="2:10" x14ac:dyDescent="0.55000000000000004">
      <c r="B382" s="657" t="s">
        <v>453</v>
      </c>
      <c r="C382" s="658"/>
      <c r="D382" s="658"/>
      <c r="E382" s="658"/>
      <c r="F382" s="635"/>
      <c r="G382" s="656"/>
      <c r="H382" s="656"/>
      <c r="I382" s="656"/>
    </row>
    <row r="383" spans="2:10" x14ac:dyDescent="0.55000000000000004">
      <c r="B383" s="646" t="s">
        <v>218</v>
      </c>
      <c r="C383" s="635">
        <v>137.4</v>
      </c>
      <c r="D383" s="635">
        <v>237.95599999999999</v>
      </c>
      <c r="E383" s="635">
        <v>589</v>
      </c>
      <c r="F383" s="635"/>
      <c r="G383" s="656"/>
      <c r="H383" s="656"/>
      <c r="I383" s="656"/>
    </row>
    <row r="384" spans="2:10" x14ac:dyDescent="0.55000000000000004">
      <c r="B384" s="659" t="s">
        <v>593</v>
      </c>
      <c r="C384" s="628">
        <v>146.80000000000001</v>
      </c>
      <c r="D384" s="628">
        <v>241</v>
      </c>
      <c r="E384" s="628">
        <v>456</v>
      </c>
      <c r="F384" s="635"/>
      <c r="G384" s="656"/>
      <c r="H384" s="656"/>
      <c r="I384" s="656"/>
    </row>
    <row r="385" spans="2:15" x14ac:dyDescent="0.55000000000000004">
      <c r="B385" s="653" t="s">
        <v>346</v>
      </c>
      <c r="C385" s="632">
        <v>0</v>
      </c>
      <c r="D385" s="632">
        <v>0</v>
      </c>
      <c r="E385" s="632">
        <v>81</v>
      </c>
      <c r="F385" s="635"/>
      <c r="G385" s="656"/>
      <c r="H385" s="656"/>
      <c r="I385" s="656"/>
    </row>
    <row r="386" spans="2:15" x14ac:dyDescent="0.55000000000000004">
      <c r="B386" s="659" t="s">
        <v>594</v>
      </c>
      <c r="C386" s="628">
        <f>SUM(C383:C385)</f>
        <v>284.20000000000005</v>
      </c>
      <c r="D386" s="628">
        <f>SUM(D383:D385)</f>
        <v>478.95600000000002</v>
      </c>
      <c r="E386" s="628">
        <f>SUM(E383:E385)</f>
        <v>1126</v>
      </c>
      <c r="F386" s="635"/>
      <c r="G386" s="656"/>
      <c r="H386" s="656"/>
      <c r="I386" s="656"/>
    </row>
    <row r="387" spans="2:15" x14ac:dyDescent="0.55000000000000004">
      <c r="B387" s="653" t="s">
        <v>595</v>
      </c>
      <c r="C387" s="632">
        <f>D387/D386*C386</f>
        <v>46.283165885801623</v>
      </c>
      <c r="D387" s="632">
        <v>78</v>
      </c>
      <c r="E387" s="632">
        <v>322</v>
      </c>
      <c r="F387" s="635"/>
      <c r="G387" s="656"/>
      <c r="H387" s="656"/>
      <c r="I387" s="656"/>
    </row>
    <row r="388" spans="2:15" ht="15.6" thickBot="1" x14ac:dyDescent="0.6">
      <c r="B388" s="659" t="s">
        <v>592</v>
      </c>
      <c r="C388" s="628">
        <f>C386-C387</f>
        <v>237.91683411419842</v>
      </c>
      <c r="D388" s="628">
        <f>D386-D387</f>
        <v>400.95600000000002</v>
      </c>
      <c r="E388" s="628">
        <f>E386-E387</f>
        <v>804</v>
      </c>
      <c r="F388" s="635"/>
      <c r="G388" s="656"/>
      <c r="H388" s="656"/>
      <c r="I388" s="656"/>
    </row>
    <row r="389" spans="2:15" ht="15.6" thickBot="1" x14ac:dyDescent="0.6">
      <c r="B389" s="660" t="s">
        <v>596</v>
      </c>
      <c r="C389" s="661">
        <f>C388-(C385/C386)*C387</f>
        <v>237.91683411419842</v>
      </c>
      <c r="D389" s="661">
        <f>D388-(D385/D386)*D387</f>
        <v>400.95600000000002</v>
      </c>
      <c r="E389" s="662">
        <f>E388-(E385/E386)*E387</f>
        <v>780.83658969804617</v>
      </c>
      <c r="F389" s="635"/>
      <c r="G389" s="656"/>
      <c r="H389" s="656"/>
      <c r="I389" s="656"/>
    </row>
    <row r="390" spans="2:15" x14ac:dyDescent="0.55000000000000004">
      <c r="B390" s="659"/>
      <c r="C390" s="628"/>
      <c r="D390" s="628"/>
      <c r="E390" s="628"/>
      <c r="F390" s="635"/>
      <c r="G390" s="656"/>
      <c r="H390" s="656"/>
      <c r="I390" s="656"/>
    </row>
    <row r="391" spans="2:15" x14ac:dyDescent="0.55000000000000004">
      <c r="B391" s="663" t="s">
        <v>132</v>
      </c>
      <c r="C391" s="635"/>
      <c r="D391" s="635"/>
      <c r="E391" s="635"/>
      <c r="F391" s="635"/>
      <c r="G391" s="656"/>
      <c r="H391" s="656"/>
      <c r="I391" s="656"/>
    </row>
    <row r="392" spans="2:15" ht="15.6" thickBot="1" x14ac:dyDescent="0.6">
      <c r="B392" s="659" t="s">
        <v>106</v>
      </c>
      <c r="C392" s="628"/>
      <c r="D392" s="628">
        <f>H357</f>
        <v>2908.9</v>
      </c>
      <c r="E392" s="628">
        <f>E357</f>
        <v>4061.5</v>
      </c>
      <c r="F392" s="635"/>
      <c r="G392" s="656"/>
      <c r="H392" s="656"/>
      <c r="I392" s="656"/>
    </row>
    <row r="393" spans="2:15" ht="15.6" thickBot="1" x14ac:dyDescent="0.6">
      <c r="B393" s="664" t="s">
        <v>218</v>
      </c>
      <c r="C393" s="661">
        <v>133</v>
      </c>
      <c r="D393" s="661">
        <f>H358</f>
        <v>174.7</v>
      </c>
      <c r="E393" s="662">
        <f>E358</f>
        <v>792.7</v>
      </c>
      <c r="F393" s="568"/>
      <c r="G393" s="656"/>
      <c r="H393" s="656"/>
      <c r="I393" s="656"/>
    </row>
    <row r="394" spans="2:15" x14ac:dyDescent="0.55000000000000004">
      <c r="B394" s="665" t="s">
        <v>597</v>
      </c>
      <c r="C394" s="665"/>
      <c r="D394" s="666">
        <f>D392+D393</f>
        <v>3083.6</v>
      </c>
      <c r="E394" s="666">
        <f>E392+E393</f>
        <v>4854.2</v>
      </c>
      <c r="F394" s="568"/>
      <c r="G394" s="656"/>
      <c r="H394" s="656"/>
      <c r="I394" s="656"/>
    </row>
    <row r="395" spans="2:15" x14ac:dyDescent="0.55000000000000004">
      <c r="B395" s="568"/>
      <c r="C395" s="568"/>
      <c r="D395" s="568"/>
      <c r="E395" s="568"/>
      <c r="F395" s="568"/>
      <c r="G395" s="656"/>
      <c r="H395" s="656"/>
      <c r="I395" s="656"/>
    </row>
    <row r="396" spans="2:15" x14ac:dyDescent="0.55000000000000004">
      <c r="B396" s="597" t="s">
        <v>156</v>
      </c>
      <c r="C396" s="624" t="str">
        <f t="shared" ref="C396:N396" si="9">C405</f>
        <v>Q1 20</v>
      </c>
      <c r="D396" s="624" t="str">
        <f t="shared" si="9"/>
        <v>Q2 20</v>
      </c>
      <c r="E396" s="624" t="str">
        <f t="shared" si="9"/>
        <v>Q3 20</v>
      </c>
      <c r="F396" s="624" t="str">
        <f t="shared" si="9"/>
        <v>Q4 20</v>
      </c>
      <c r="G396" s="624" t="str">
        <f t="shared" si="9"/>
        <v>Q1 21</v>
      </c>
      <c r="H396" s="624" t="str">
        <f t="shared" si="9"/>
        <v>Q2 21</v>
      </c>
      <c r="I396" s="624" t="str">
        <f t="shared" si="9"/>
        <v>Q3 21</v>
      </c>
      <c r="J396" s="667" t="e">
        <f t="shared" si="9"/>
        <v>#REF!</v>
      </c>
      <c r="K396" s="667" t="e">
        <f t="shared" si="9"/>
        <v>#REF!</v>
      </c>
      <c r="L396" s="667" t="e">
        <f t="shared" si="9"/>
        <v>#REF!</v>
      </c>
      <c r="M396" s="667" t="e">
        <f t="shared" si="9"/>
        <v>#REF!</v>
      </c>
      <c r="N396" s="667" t="e">
        <f t="shared" si="9"/>
        <v>#REF!</v>
      </c>
      <c r="O396" s="572" t="s">
        <v>577</v>
      </c>
    </row>
    <row r="397" spans="2:15" x14ac:dyDescent="0.55000000000000004">
      <c r="B397" s="668" t="s">
        <v>453</v>
      </c>
      <c r="C397" s="658"/>
      <c r="D397" s="658"/>
      <c r="E397" s="658"/>
      <c r="F397" s="658"/>
      <c r="G397" s="658"/>
      <c r="H397" s="658"/>
      <c r="I397" s="658"/>
      <c r="J397" s="669"/>
      <c r="K397" s="669"/>
      <c r="L397" s="669"/>
      <c r="M397" s="669"/>
      <c r="N397" s="669"/>
    </row>
    <row r="398" spans="2:15" x14ac:dyDescent="0.55000000000000004">
      <c r="B398" s="568" t="s">
        <v>624</v>
      </c>
      <c r="C398" s="656">
        <v>26.831250000000011</v>
      </c>
      <c r="D398" s="656">
        <v>27.427499999999995</v>
      </c>
      <c r="E398" s="656">
        <v>54.948750000000018</v>
      </c>
      <c r="F398" s="656">
        <v>82.976249999999993</v>
      </c>
      <c r="G398" s="656">
        <v>114.73125</v>
      </c>
      <c r="H398" s="656">
        <v>150.72749999999999</v>
      </c>
      <c r="I398" s="656">
        <v>210.64875000000001</v>
      </c>
      <c r="J398" s="670">
        <v>269.64821139999998</v>
      </c>
      <c r="K398" s="670">
        <v>355.090693875</v>
      </c>
      <c r="L398" s="670">
        <v>434.778193875</v>
      </c>
      <c r="M398" s="670">
        <v>514.46569387499994</v>
      </c>
      <c r="N398" s="670">
        <v>596.41905056250016</v>
      </c>
    </row>
    <row r="399" spans="2:15" x14ac:dyDescent="0.55000000000000004">
      <c r="B399" s="627" t="s">
        <v>625</v>
      </c>
      <c r="C399" s="671">
        <v>-1.0184999999999997</v>
      </c>
      <c r="D399" s="671">
        <v>-0.91612499999999986</v>
      </c>
      <c r="E399" s="671">
        <v>-1.1917499999999999</v>
      </c>
      <c r="F399" s="671"/>
      <c r="G399" s="671">
        <v>-2.7693749999999997</v>
      </c>
      <c r="H399" s="671">
        <v>-8.4892500000000002</v>
      </c>
      <c r="I399" s="671">
        <v>-16.94875</v>
      </c>
      <c r="J399" s="672">
        <v>-25.452521542500001</v>
      </c>
      <c r="K399" s="672">
        <v>-33.942492796875001</v>
      </c>
      <c r="L399" s="672">
        <v>-41.559680296875001</v>
      </c>
      <c r="M399" s="672">
        <v>-47.209793085000001</v>
      </c>
      <c r="N399" s="672">
        <v>-54.574274503125004</v>
      </c>
    </row>
    <row r="400" spans="2:15" x14ac:dyDescent="0.55000000000000004">
      <c r="B400" s="568" t="s">
        <v>626</v>
      </c>
      <c r="C400" s="656">
        <v>-0.39285000000000003</v>
      </c>
      <c r="D400" s="656">
        <v>-0.35336250000000008</v>
      </c>
      <c r="E400" s="656">
        <v>-0.45967500000000006</v>
      </c>
      <c r="F400" s="656"/>
      <c r="G400" s="656">
        <v>-1.1868750000000001</v>
      </c>
      <c r="H400" s="656">
        <v>-3.6382500000000007</v>
      </c>
      <c r="I400" s="656">
        <v>-7.2637500000000017</v>
      </c>
      <c r="J400" s="670">
        <v>-13.7052039075</v>
      </c>
      <c r="K400" s="670">
        <v>-18.276726890625</v>
      </c>
      <c r="L400" s="670">
        <v>-24.935808178125001</v>
      </c>
      <c r="M400" s="670">
        <v>-31.473195390000004</v>
      </c>
      <c r="N400" s="670">
        <v>-36.382849668750005</v>
      </c>
    </row>
    <row r="401" spans="2:14" ht="15.6" thickBot="1" x14ac:dyDescent="0.6">
      <c r="B401" s="627" t="s">
        <v>599</v>
      </c>
      <c r="C401" s="671">
        <v>-24.4</v>
      </c>
      <c r="D401" s="671">
        <v>-10.200000000000003</v>
      </c>
      <c r="E401" s="671">
        <v>-14.399999999999999</v>
      </c>
      <c r="F401" s="627"/>
      <c r="G401" s="671">
        <v>-86</v>
      </c>
      <c r="H401" s="671">
        <v>-81.025000000000006</v>
      </c>
      <c r="I401" s="671">
        <v>-104.77500000000001</v>
      </c>
      <c r="J401" s="672">
        <v>-134.12085924761004</v>
      </c>
      <c r="K401" s="672">
        <v>-176.61926524963062</v>
      </c>
      <c r="L401" s="672">
        <v>-216.25518909204601</v>
      </c>
      <c r="M401" s="672">
        <v>-255.89111293446138</v>
      </c>
      <c r="N401" s="672">
        <v>-296.65405573347078</v>
      </c>
    </row>
    <row r="402" spans="2:14" ht="15.6" thickBot="1" x14ac:dyDescent="0.6">
      <c r="B402" s="664" t="s">
        <v>600</v>
      </c>
      <c r="C402" s="673">
        <f>C398+C401+C399+C400</f>
        <v>1.0199000000000131</v>
      </c>
      <c r="D402" s="673">
        <f>D398+D401+D399+D400</f>
        <v>15.958012499999992</v>
      </c>
      <c r="E402" s="673">
        <f>E398+E401+E399+E400</f>
        <v>38.897325000000023</v>
      </c>
      <c r="F402" s="673"/>
      <c r="G402" s="673">
        <f t="shared" ref="G402:N402" si="10">G398+G401+G399+G400</f>
        <v>24.775000000000002</v>
      </c>
      <c r="H402" s="673">
        <f t="shared" si="10"/>
        <v>57.574999999999989</v>
      </c>
      <c r="I402" s="673">
        <f t="shared" si="10"/>
        <v>81.661249999999995</v>
      </c>
      <c r="J402" s="674">
        <f t="shared" si="10"/>
        <v>96.369626702389951</v>
      </c>
      <c r="K402" s="674">
        <f t="shared" si="10"/>
        <v>126.25220893786938</v>
      </c>
      <c r="L402" s="674">
        <f t="shared" si="10"/>
        <v>152.02751630795399</v>
      </c>
      <c r="M402" s="674">
        <f t="shared" si="10"/>
        <v>179.89159246553857</v>
      </c>
      <c r="N402" s="675">
        <f t="shared" si="10"/>
        <v>208.80787065715438</v>
      </c>
    </row>
    <row r="403" spans="2:14" x14ac:dyDescent="0.55000000000000004">
      <c r="B403" s="676" t="s">
        <v>603</v>
      </c>
      <c r="C403" s="677">
        <v>2.9128865979381718E-2</v>
      </c>
      <c r="D403" s="677">
        <v>0.37389971346704853</v>
      </c>
      <c r="E403" s="677">
        <v>0.693515418502203</v>
      </c>
      <c r="F403" s="677"/>
      <c r="G403" s="677">
        <v>0.1968672985781991</v>
      </c>
      <c r="H403" s="677">
        <v>0.35332323232323226</v>
      </c>
      <c r="I403" s="677">
        <v>0.36726897263810021</v>
      </c>
      <c r="J403" s="678">
        <v>0.33732755213407811</v>
      </c>
      <c r="K403" s="678">
        <v>0.3459668123475691</v>
      </c>
      <c r="L403" s="678">
        <v>0.3459668123475691</v>
      </c>
      <c r="M403" s="678">
        <v>0.34921681234756907</v>
      </c>
      <c r="N403" s="678">
        <v>0.35043757080683541</v>
      </c>
    </row>
    <row r="404" spans="2:14" x14ac:dyDescent="0.55000000000000004">
      <c r="B404" s="574"/>
      <c r="C404" s="574"/>
      <c r="D404" s="679"/>
      <c r="E404" s="679"/>
      <c r="F404" s="679"/>
      <c r="G404" s="679"/>
      <c r="H404" s="679"/>
      <c r="I404" s="679"/>
      <c r="J404" s="680"/>
      <c r="K404" s="680"/>
      <c r="L404" s="680"/>
      <c r="M404" s="680"/>
      <c r="N404" s="680"/>
    </row>
    <row r="405" spans="2:14" x14ac:dyDescent="0.55000000000000004">
      <c r="B405" s="681" t="s">
        <v>156</v>
      </c>
      <c r="C405" s="682" t="str">
        <f>Quarts!D2</f>
        <v>Q1 20</v>
      </c>
      <c r="D405" s="682" t="str">
        <f>Quarts!E2</f>
        <v>Q2 20</v>
      </c>
      <c r="E405" s="682" t="str">
        <f>Quarts!F2</f>
        <v>Q3 20</v>
      </c>
      <c r="F405" s="682" t="str">
        <f>Quarts!G2</f>
        <v>Q4 20</v>
      </c>
      <c r="G405" s="682" t="str">
        <f>Quarts!H2</f>
        <v>Q1 21</v>
      </c>
      <c r="H405" s="682" t="str">
        <f>Quarts!I2</f>
        <v>Q2 21</v>
      </c>
      <c r="I405" s="682" t="str">
        <f>Quarts!J2</f>
        <v>Q3 21</v>
      </c>
      <c r="J405" s="683" t="e">
        <f>Quarts!#REF!</f>
        <v>#REF!</v>
      </c>
      <c r="K405" s="683" t="e">
        <f>Quarts!#REF!</f>
        <v>#REF!</v>
      </c>
      <c r="L405" s="683" t="e">
        <f>Quarts!#REF!</f>
        <v>#REF!</v>
      </c>
      <c r="M405" s="683" t="e">
        <f>Quarts!#REF!</f>
        <v>#REF!</v>
      </c>
      <c r="N405" s="683" t="e">
        <f>Quarts!#REF!</f>
        <v>#REF!</v>
      </c>
    </row>
    <row r="406" spans="2:14" x14ac:dyDescent="0.55000000000000004">
      <c r="B406" s="684" t="s">
        <v>132</v>
      </c>
      <c r="C406" s="685"/>
      <c r="D406" s="685"/>
      <c r="E406" s="685"/>
      <c r="F406" s="685"/>
      <c r="G406" s="685"/>
      <c r="H406" s="685"/>
      <c r="I406" s="685"/>
      <c r="J406" s="686"/>
      <c r="K406" s="686"/>
      <c r="L406" s="686"/>
      <c r="M406" s="686"/>
      <c r="N406" s="686"/>
    </row>
    <row r="407" spans="2:14" x14ac:dyDescent="0.55000000000000004">
      <c r="B407" s="627" t="s">
        <v>415</v>
      </c>
      <c r="C407" s="671">
        <f>Quarts!D7</f>
        <v>131.1</v>
      </c>
      <c r="D407" s="671">
        <f>Quarts!E7</f>
        <v>91.9</v>
      </c>
      <c r="E407" s="671">
        <f>Quarts!F7</f>
        <v>70.2</v>
      </c>
      <c r="F407" s="671">
        <f>Quarts!G7</f>
        <v>89.7</v>
      </c>
      <c r="G407" s="671">
        <f>Quarts!H7</f>
        <v>127.3</v>
      </c>
      <c r="H407" s="671">
        <f>Quarts!I7</f>
        <v>184.9</v>
      </c>
      <c r="I407" s="671">
        <f>Quarts!J7</f>
        <v>295</v>
      </c>
      <c r="J407" s="672" t="e">
        <f>Quarts!#REF!</f>
        <v>#REF!</v>
      </c>
      <c r="K407" s="672" t="e">
        <f>Quarts!#REF!</f>
        <v>#REF!</v>
      </c>
      <c r="L407" s="672" t="e">
        <f>Quarts!#REF!</f>
        <v>#REF!</v>
      </c>
      <c r="M407" s="672" t="e">
        <f>Quarts!#REF!</f>
        <v>#REF!</v>
      </c>
      <c r="N407" s="672" t="e">
        <f>Quarts!#REF!</f>
        <v>#REF!</v>
      </c>
    </row>
    <row r="408" spans="2:14" x14ac:dyDescent="0.55000000000000004">
      <c r="B408" s="568" t="s">
        <v>598</v>
      </c>
      <c r="C408" s="656">
        <f>Quarts!D25</f>
        <v>0</v>
      </c>
      <c r="D408" s="656">
        <f>Quarts!E25</f>
        <v>-25.3</v>
      </c>
      <c r="E408" s="656">
        <f>Quarts!F25</f>
        <v>-24</v>
      </c>
      <c r="F408" s="656">
        <f>Quarts!G25</f>
        <v>-31.4</v>
      </c>
      <c r="G408" s="656">
        <f>Quarts!H25</f>
        <v>-31.7</v>
      </c>
      <c r="H408" s="656">
        <f>Quarts!I25</f>
        <v>-57.2</v>
      </c>
      <c r="I408" s="656">
        <f>Quarts!J25</f>
        <v>-101.4</v>
      </c>
      <c r="J408" s="670" t="e">
        <f>Quarts!#REF!</f>
        <v>#REF!</v>
      </c>
      <c r="K408" s="670" t="e">
        <f>Quarts!#REF!</f>
        <v>#REF!</v>
      </c>
      <c r="L408" s="670" t="e">
        <f>Quarts!#REF!</f>
        <v>#REF!</v>
      </c>
      <c r="M408" s="670" t="e">
        <f>Quarts!#REF!</f>
        <v>#REF!</v>
      </c>
      <c r="N408" s="670" t="e">
        <f>Quarts!#REF!</f>
        <v>#REF!</v>
      </c>
    </row>
    <row r="409" spans="2:14" ht="15.6" thickBot="1" x14ac:dyDescent="0.6">
      <c r="B409" s="627" t="s">
        <v>599</v>
      </c>
      <c r="C409" s="627"/>
      <c r="D409" s="671">
        <f>Quarts!E38</f>
        <v>-19</v>
      </c>
      <c r="E409" s="671">
        <f>Quarts!F38</f>
        <v>-32.9</v>
      </c>
      <c r="F409" s="671">
        <f>Quarts!G38</f>
        <v>-55.6</v>
      </c>
      <c r="G409" s="671">
        <f>Quarts!H38</f>
        <v>-71.3</v>
      </c>
      <c r="H409" s="671">
        <f>Quarts!I38</f>
        <v>-82.7</v>
      </c>
      <c r="I409" s="671">
        <f>Quarts!J38</f>
        <v>-127</v>
      </c>
      <c r="J409" s="672" t="e">
        <f>Quarts!#REF!</f>
        <v>#REF!</v>
      </c>
      <c r="K409" s="672" t="e">
        <f>Quarts!#REF!</f>
        <v>#REF!</v>
      </c>
      <c r="L409" s="672" t="e">
        <f>Quarts!#REF!</f>
        <v>#REF!</v>
      </c>
      <c r="M409" s="672" t="e">
        <f>Quarts!#REF!</f>
        <v>#REF!</v>
      </c>
      <c r="N409" s="672" t="e">
        <f>Quarts!#REF!</f>
        <v>#REF!</v>
      </c>
    </row>
    <row r="410" spans="2:14" ht="15.6" thickBot="1" x14ac:dyDescent="0.6">
      <c r="B410" s="664" t="s">
        <v>600</v>
      </c>
      <c r="C410" s="608"/>
      <c r="D410" s="673">
        <f t="shared" ref="D410:N410" si="11">D407+D408+D409</f>
        <v>47.600000000000009</v>
      </c>
      <c r="E410" s="673">
        <f t="shared" si="11"/>
        <v>13.300000000000004</v>
      </c>
      <c r="F410" s="673">
        <f t="shared" si="11"/>
        <v>2.7000000000000028</v>
      </c>
      <c r="G410" s="673">
        <f t="shared" si="11"/>
        <v>24.299999999999997</v>
      </c>
      <c r="H410" s="673">
        <f t="shared" si="11"/>
        <v>45</v>
      </c>
      <c r="I410" s="673">
        <f t="shared" si="11"/>
        <v>66.599999999999994</v>
      </c>
      <c r="J410" s="674" t="e">
        <f t="shared" si="11"/>
        <v>#REF!</v>
      </c>
      <c r="K410" s="674" t="e">
        <f t="shared" si="11"/>
        <v>#REF!</v>
      </c>
      <c r="L410" s="674" t="e">
        <f t="shared" si="11"/>
        <v>#REF!</v>
      </c>
      <c r="M410" s="674" t="e">
        <f t="shared" si="11"/>
        <v>#REF!</v>
      </c>
      <c r="N410" s="675" t="e">
        <f t="shared" si="11"/>
        <v>#REF!</v>
      </c>
    </row>
    <row r="411" spans="2:14" x14ac:dyDescent="0.55000000000000004">
      <c r="B411" s="676" t="s">
        <v>603</v>
      </c>
      <c r="C411" s="627"/>
      <c r="D411" s="677"/>
      <c r="E411" s="677"/>
      <c r="F411" s="677"/>
      <c r="G411" s="677">
        <f>(G410*4)/AVERAGE(Quarts!G176,Quarts!H176)</f>
        <v>2.9086121252019863E-2</v>
      </c>
      <c r="H411" s="677">
        <f>(H410*4)/AVERAGE(Quarts!H176,Quarts!I176)</f>
        <v>4.6153846153846156E-2</v>
      </c>
      <c r="I411" s="677">
        <f>(I410*4)/AVERAGE(Quarts!I176,Quarts!J176)</f>
        <v>5.8845618607938847E-2</v>
      </c>
      <c r="J411" s="678" t="e">
        <f>(J410*4)/AVERAGE(Quarts!J176,Quarts!#REF!)</f>
        <v>#REF!</v>
      </c>
      <c r="K411" s="678" t="e">
        <f>(K410*4)/AVERAGE(Quarts!L176,Quarts!#REF!)</f>
        <v>#REF!</v>
      </c>
      <c r="L411" s="678" t="e">
        <f>(L410*4)/AVERAGE(Quarts!#REF!,Quarts!#REF!)</f>
        <v>#REF!</v>
      </c>
      <c r="M411" s="678" t="e">
        <f>(M410*4)/AVERAGE(Quarts!#REF!,Quarts!#REF!)</f>
        <v>#REF!</v>
      </c>
      <c r="N411" s="678" t="e">
        <f>(N410*4)/AVERAGE(Quarts!#REF!,Quarts!#REF!)</f>
        <v>#REF!</v>
      </c>
    </row>
    <row r="412" spans="2:14" x14ac:dyDescent="0.55000000000000004">
      <c r="B412" s="568"/>
      <c r="C412" s="568"/>
      <c r="D412" s="656"/>
      <c r="E412" s="656"/>
      <c r="F412" s="656"/>
      <c r="G412" s="656"/>
      <c r="H412" s="656"/>
      <c r="I412" s="656"/>
    </row>
    <row r="413" spans="2:14" x14ac:dyDescent="0.55000000000000004">
      <c r="B413" s="572" t="s">
        <v>623</v>
      </c>
      <c r="C413" s="572"/>
      <c r="D413" s="559"/>
      <c r="E413" s="559"/>
      <c r="F413" s="656"/>
      <c r="G413" s="656"/>
      <c r="H413" s="656"/>
      <c r="I413" s="656"/>
    </row>
    <row r="414" spans="2:14" x14ac:dyDescent="0.55000000000000004">
      <c r="B414" s="572"/>
      <c r="C414" s="572"/>
      <c r="D414" s="559"/>
      <c r="E414" s="559"/>
      <c r="F414" s="656"/>
      <c r="G414" s="656"/>
      <c r="H414" s="656"/>
      <c r="I414" s="656"/>
    </row>
    <row r="415" spans="2:14" ht="45.9" x14ac:dyDescent="0.55000000000000004">
      <c r="B415" s="689" t="s">
        <v>613</v>
      </c>
      <c r="C415" s="690" t="s">
        <v>306</v>
      </c>
      <c r="D415" s="689" t="s">
        <v>614</v>
      </c>
      <c r="E415" s="691" t="s">
        <v>615</v>
      </c>
      <c r="F415" s="656"/>
      <c r="G415" s="656"/>
      <c r="H415" s="656"/>
      <c r="I415" s="656"/>
    </row>
    <row r="416" spans="2:14" x14ac:dyDescent="0.55000000000000004">
      <c r="B416" s="639" t="s">
        <v>228</v>
      </c>
      <c r="C416" s="639">
        <v>212</v>
      </c>
      <c r="D416" s="693">
        <v>0.3</v>
      </c>
      <c r="E416" s="693">
        <v>0.67</v>
      </c>
      <c r="F416" s="656"/>
      <c r="G416" s="656"/>
      <c r="H416" s="656"/>
      <c r="I416" s="656"/>
    </row>
    <row r="417" spans="2:22" x14ac:dyDescent="0.55000000000000004">
      <c r="B417" s="572" t="s">
        <v>616</v>
      </c>
      <c r="C417" s="572">
        <v>331</v>
      </c>
      <c r="D417" s="599">
        <v>7.0000000000000007E-2</v>
      </c>
      <c r="E417" s="599">
        <v>0.89</v>
      </c>
      <c r="F417" s="656"/>
      <c r="G417" s="656"/>
      <c r="H417" s="656"/>
      <c r="I417" s="656"/>
    </row>
    <row r="418" spans="2:22" x14ac:dyDescent="0.55000000000000004">
      <c r="B418" s="639" t="s">
        <v>229</v>
      </c>
      <c r="C418" s="639">
        <v>129</v>
      </c>
      <c r="D418" s="693">
        <v>0.63</v>
      </c>
      <c r="E418" s="693">
        <v>0.66</v>
      </c>
      <c r="F418" s="656"/>
      <c r="G418" s="656"/>
      <c r="H418" s="656"/>
      <c r="I418" s="656"/>
    </row>
    <row r="419" spans="2:22" x14ac:dyDescent="0.55000000000000004">
      <c r="B419" s="572" t="s">
        <v>617</v>
      </c>
      <c r="C419" s="572">
        <v>273</v>
      </c>
      <c r="D419" s="599">
        <v>0.51</v>
      </c>
      <c r="E419" s="599">
        <v>0.55000000000000004</v>
      </c>
      <c r="F419" s="568"/>
      <c r="G419" s="656"/>
      <c r="H419" s="656"/>
      <c r="I419" s="656"/>
    </row>
    <row r="420" spans="2:22" x14ac:dyDescent="0.55000000000000004">
      <c r="B420" s="639" t="s">
        <v>618</v>
      </c>
      <c r="C420" s="639">
        <v>110</v>
      </c>
      <c r="D420" s="693">
        <v>0.66</v>
      </c>
      <c r="E420" s="693">
        <v>0.6</v>
      </c>
      <c r="F420" s="568"/>
      <c r="G420" s="656"/>
      <c r="H420" s="656"/>
      <c r="I420" s="656"/>
    </row>
    <row r="421" spans="2:22" x14ac:dyDescent="0.55000000000000004">
      <c r="B421" s="572" t="s">
        <v>619</v>
      </c>
      <c r="C421" s="572">
        <v>97</v>
      </c>
      <c r="D421" s="599">
        <v>0.69</v>
      </c>
      <c r="E421" s="599">
        <v>0.66</v>
      </c>
      <c r="F421" s="568"/>
      <c r="G421" s="656"/>
      <c r="H421" s="656"/>
      <c r="I421" s="656"/>
    </row>
    <row r="422" spans="2:22" x14ac:dyDescent="0.55000000000000004">
      <c r="B422" s="639" t="s">
        <v>230</v>
      </c>
      <c r="C422" s="639">
        <v>51</v>
      </c>
      <c r="D422" s="693">
        <v>0.54</v>
      </c>
      <c r="E422" s="693">
        <v>0.62</v>
      </c>
      <c r="F422" s="568"/>
      <c r="G422" s="656"/>
      <c r="H422" s="656"/>
      <c r="I422" s="656"/>
    </row>
    <row r="423" spans="2:22" ht="35.700000000000003" customHeight="1" x14ac:dyDescent="0.55000000000000004">
      <c r="B423" s="572" t="s">
        <v>620</v>
      </c>
      <c r="C423" s="572">
        <v>45</v>
      </c>
      <c r="D423" s="599">
        <v>0.51</v>
      </c>
      <c r="E423" s="599">
        <v>0.76</v>
      </c>
      <c r="F423" s="562"/>
      <c r="G423" s="687"/>
      <c r="H423" s="687"/>
      <c r="I423" s="687"/>
      <c r="J423" s="688"/>
      <c r="K423" s="688"/>
      <c r="L423" s="688"/>
      <c r="M423" s="688"/>
      <c r="N423" s="688"/>
      <c r="V423" s="692"/>
    </row>
    <row r="424" spans="2:22" hidden="1" x14ac:dyDescent="0.55000000000000004">
      <c r="B424" s="639" t="s">
        <v>621</v>
      </c>
      <c r="C424" s="639">
        <v>33</v>
      </c>
      <c r="D424" s="693">
        <v>0.56999999999999995</v>
      </c>
      <c r="E424" s="693">
        <v>0.49</v>
      </c>
      <c r="F424" s="568"/>
      <c r="G424" s="656"/>
      <c r="H424" s="656"/>
      <c r="I424" s="656"/>
    </row>
    <row r="425" spans="2:22" hidden="1" x14ac:dyDescent="0.55000000000000004">
      <c r="B425" s="572" t="s">
        <v>622</v>
      </c>
      <c r="C425" s="572">
        <v>19</v>
      </c>
      <c r="D425" s="599">
        <v>0.26</v>
      </c>
      <c r="E425" s="599">
        <v>0.82</v>
      </c>
      <c r="F425" s="568"/>
      <c r="G425" s="656"/>
      <c r="H425" s="656"/>
      <c r="I425" s="656"/>
    </row>
    <row r="426" spans="2:22" x14ac:dyDescent="0.55000000000000004">
      <c r="B426" s="694" t="s">
        <v>354</v>
      </c>
      <c r="C426" s="695">
        <f>SUM(C416:C425)</f>
        <v>1300</v>
      </c>
      <c r="D426" s="696">
        <v>0.27</v>
      </c>
      <c r="E426" s="559"/>
      <c r="F426" s="568"/>
      <c r="G426" s="656"/>
      <c r="H426" s="656"/>
      <c r="I426" s="656"/>
    </row>
    <row r="427" spans="2:22" x14ac:dyDescent="0.55000000000000004">
      <c r="B427" s="568"/>
      <c r="C427" s="568"/>
      <c r="D427" s="568"/>
      <c r="E427" s="568"/>
      <c r="F427" s="568"/>
      <c r="G427" s="656"/>
      <c r="H427" s="656"/>
      <c r="I427" s="656"/>
    </row>
    <row r="428" spans="2:22" x14ac:dyDescent="0.55000000000000004">
      <c r="B428" s="568"/>
      <c r="C428" s="568"/>
      <c r="D428" s="568"/>
      <c r="E428" s="568"/>
      <c r="F428" s="568"/>
      <c r="G428" s="656"/>
      <c r="H428" s="656"/>
      <c r="I428" s="656"/>
    </row>
    <row r="429" spans="2:22" x14ac:dyDescent="0.55000000000000004">
      <c r="B429" s="568"/>
      <c r="C429" s="568"/>
      <c r="D429" s="568"/>
      <c r="E429" s="568"/>
      <c r="F429" s="568"/>
      <c r="G429" s="656"/>
      <c r="H429" s="656"/>
      <c r="I429" s="656"/>
    </row>
    <row r="430" spans="2:22" x14ac:dyDescent="0.55000000000000004">
      <c r="B430" s="568"/>
      <c r="C430" s="568"/>
      <c r="D430" s="568"/>
      <c r="E430" s="568"/>
      <c r="F430" s="568"/>
      <c r="G430" s="656"/>
      <c r="H430" s="656"/>
      <c r="I430" s="656"/>
    </row>
    <row r="431" spans="2:22" x14ac:dyDescent="0.55000000000000004">
      <c r="B431" s="568"/>
      <c r="C431" s="568"/>
      <c r="D431" s="568"/>
      <c r="E431" s="568"/>
      <c r="F431" s="568"/>
      <c r="G431" s="656"/>
      <c r="H431" s="656"/>
      <c r="I431" s="656"/>
    </row>
    <row r="432" spans="2:22" x14ac:dyDescent="0.55000000000000004">
      <c r="B432" s="568"/>
      <c r="C432" s="568"/>
      <c r="D432" s="568"/>
      <c r="E432" s="568"/>
      <c r="F432" s="568"/>
      <c r="G432" s="656"/>
      <c r="H432" s="656"/>
      <c r="I432" s="656"/>
    </row>
    <row r="433" spans="2:9" x14ac:dyDescent="0.55000000000000004">
      <c r="B433" s="568"/>
      <c r="C433" s="568"/>
      <c r="D433" s="568"/>
      <c r="E433" s="568"/>
      <c r="F433" s="568"/>
      <c r="G433" s="656"/>
      <c r="H433" s="656"/>
      <c r="I433" s="656"/>
    </row>
    <row r="434" spans="2:9" x14ac:dyDescent="0.55000000000000004">
      <c r="B434" s="568"/>
      <c r="C434" s="568"/>
      <c r="D434" s="568"/>
      <c r="E434" s="568"/>
      <c r="F434" s="568"/>
      <c r="G434" s="656"/>
      <c r="H434" s="656"/>
      <c r="I434" s="656"/>
    </row>
    <row r="435" spans="2:9" x14ac:dyDescent="0.55000000000000004">
      <c r="B435" s="568"/>
      <c r="C435" s="568"/>
      <c r="D435" s="568"/>
      <c r="E435" s="568"/>
      <c r="F435" s="568"/>
      <c r="G435" s="656"/>
      <c r="H435" s="656"/>
      <c r="I435" s="656"/>
    </row>
    <row r="438" spans="2:9" x14ac:dyDescent="0.55000000000000004">
      <c r="B438" s="574" t="s">
        <v>627</v>
      </c>
      <c r="C438" s="568"/>
      <c r="D438" s="656"/>
      <c r="E438" s="656"/>
    </row>
    <row r="439" spans="2:9" x14ac:dyDescent="0.55000000000000004">
      <c r="B439" s="568"/>
      <c r="C439" s="568"/>
      <c r="D439" s="656"/>
      <c r="E439" s="656"/>
    </row>
    <row r="440" spans="2:9" x14ac:dyDescent="0.55000000000000004">
      <c r="B440" s="568" t="s">
        <v>640</v>
      </c>
      <c r="C440" s="568"/>
      <c r="D440" s="568"/>
      <c r="E440" s="656"/>
    </row>
    <row r="441" spans="2:9" x14ac:dyDescent="0.55000000000000004">
      <c r="B441" s="568" t="s">
        <v>628</v>
      </c>
      <c r="C441" s="697">
        <v>0.02</v>
      </c>
      <c r="D441" s="568" t="s">
        <v>629</v>
      </c>
      <c r="E441" s="568"/>
    </row>
    <row r="442" spans="2:9" x14ac:dyDescent="0.55000000000000004">
      <c r="B442" s="568" t="s">
        <v>630</v>
      </c>
      <c r="C442" s="698">
        <v>601</v>
      </c>
      <c r="D442" s="568"/>
      <c r="E442" s="568"/>
    </row>
    <row r="443" spans="2:9" x14ac:dyDescent="0.55000000000000004">
      <c r="B443" s="568" t="s">
        <v>636</v>
      </c>
      <c r="C443" s="699">
        <v>0.26900000000000002</v>
      </c>
      <c r="D443" s="568"/>
      <c r="E443" s="568"/>
    </row>
    <row r="444" spans="2:9" x14ac:dyDescent="0.55000000000000004">
      <c r="B444" s="568" t="s">
        <v>631</v>
      </c>
      <c r="C444" s="700">
        <f>C442/C443</f>
        <v>2234.2007434944235</v>
      </c>
      <c r="D444" s="568"/>
      <c r="E444" s="568"/>
    </row>
    <row r="445" spans="2:9" x14ac:dyDescent="0.55000000000000004">
      <c r="B445" s="557" t="s">
        <v>632</v>
      </c>
      <c r="C445" s="557">
        <f>C444*12</f>
        <v>26810.408921933082</v>
      </c>
    </row>
    <row r="447" spans="2:9" x14ac:dyDescent="0.55000000000000004">
      <c r="B447" s="557" t="s">
        <v>635</v>
      </c>
      <c r="C447" s="572">
        <f>Master!F190</f>
        <v>4441.0319999999992</v>
      </c>
    </row>
    <row r="449" spans="2:11" x14ac:dyDescent="0.55000000000000004">
      <c r="B449" s="557" t="s">
        <v>634</v>
      </c>
      <c r="C449" s="557">
        <v>2022</v>
      </c>
      <c r="D449" s="557">
        <v>2023</v>
      </c>
      <c r="E449" s="557">
        <v>2024</v>
      </c>
      <c r="F449" s="557">
        <v>2025</v>
      </c>
      <c r="G449" s="557">
        <v>2026</v>
      </c>
      <c r="H449" s="557">
        <v>2027</v>
      </c>
      <c r="I449" s="557">
        <v>2028</v>
      </c>
      <c r="J449" s="557">
        <v>2029</v>
      </c>
      <c r="K449" s="557">
        <v>2030</v>
      </c>
    </row>
    <row r="450" spans="2:11" x14ac:dyDescent="0.55000000000000004">
      <c r="B450" s="557" t="s">
        <v>631</v>
      </c>
      <c r="C450" s="585">
        <f>Drivers!G207/12</f>
        <v>2.2453250670241292</v>
      </c>
      <c r="D450" s="585">
        <f>Drivers!H207/12</f>
        <v>2.7288640319042874</v>
      </c>
      <c r="E450" s="585">
        <f>Drivers!I207/12</f>
        <v>3.8216797276595749</v>
      </c>
      <c r="F450" s="585">
        <f>Drivers!J207/12</f>
        <v>5.7497070399999997</v>
      </c>
      <c r="G450" s="585">
        <f>Drivers!K207/12</f>
        <v>7.0904897880510651</v>
      </c>
      <c r="H450" s="585">
        <f>Drivers!L207/12</f>
        <v>8.8814623639148937</v>
      </c>
      <c r="I450" s="585">
        <f>Drivers!M207/12</f>
        <v>10.417955352872172</v>
      </c>
      <c r="J450" s="585">
        <f>Drivers!N207/12</f>
        <v>12.192471533182369</v>
      </c>
      <c r="K450" s="585">
        <f>Drivers!O207/12</f>
        <v>14.239204534946557</v>
      </c>
    </row>
    <row r="451" spans="2:11" x14ac:dyDescent="0.55000000000000004">
      <c r="B451" s="568" t="s">
        <v>636</v>
      </c>
      <c r="C451" s="578">
        <f t="shared" ref="C451:K451" si="12">$C$447/1000/C450</f>
        <v>1.9779015810329765</v>
      </c>
      <c r="D451" s="578">
        <f t="shared" si="12"/>
        <v>1.6274288304869873</v>
      </c>
      <c r="E451" s="578">
        <f t="shared" si="12"/>
        <v>1.1620628405509323</v>
      </c>
      <c r="F451" s="578">
        <f t="shared" si="12"/>
        <v>0.77239274437885086</v>
      </c>
      <c r="G451" s="578">
        <f t="shared" si="12"/>
        <v>0.62633642142522394</v>
      </c>
      <c r="H451" s="578">
        <f t="shared" si="12"/>
        <v>0.50003387032790614</v>
      </c>
      <c r="I451" s="578">
        <f t="shared" si="12"/>
        <v>0.4262863344653931</v>
      </c>
      <c r="J451" s="578">
        <f t="shared" si="12"/>
        <v>0.36424378666077073</v>
      </c>
      <c r="K451" s="578">
        <f t="shared" si="12"/>
        <v>0.31188764717162393</v>
      </c>
    </row>
    <row r="455" spans="2:11" x14ac:dyDescent="0.55000000000000004">
      <c r="B455" s="568" t="s">
        <v>639</v>
      </c>
      <c r="C455" s="568"/>
      <c r="D455" s="568"/>
      <c r="E455" s="656"/>
    </row>
    <row r="456" spans="2:11" x14ac:dyDescent="0.55000000000000004">
      <c r="B456" s="568" t="s">
        <v>628</v>
      </c>
      <c r="C456" s="655">
        <f>C441</f>
        <v>0.02</v>
      </c>
      <c r="D456" s="568" t="s">
        <v>629</v>
      </c>
      <c r="E456" s="568"/>
    </row>
    <row r="457" spans="2:11" x14ac:dyDescent="0.55000000000000004">
      <c r="B457" s="568" t="s">
        <v>641</v>
      </c>
      <c r="C457" s="700">
        <f>C456*C460</f>
        <v>22.126666666666665</v>
      </c>
      <c r="D457" s="568"/>
      <c r="E457" s="568"/>
    </row>
    <row r="458" spans="2:11" x14ac:dyDescent="0.55000000000000004">
      <c r="B458" s="568" t="s">
        <v>637</v>
      </c>
      <c r="C458" s="698">
        <v>8716</v>
      </c>
      <c r="D458" s="568"/>
      <c r="E458" s="568"/>
    </row>
    <row r="459" spans="2:11" x14ac:dyDescent="0.55000000000000004">
      <c r="B459" s="568" t="s">
        <v>636</v>
      </c>
      <c r="C459" s="571">
        <f>C458/C460</f>
        <v>7.8782765893341375</v>
      </c>
      <c r="D459" s="568"/>
      <c r="E459" s="568"/>
    </row>
    <row r="460" spans="2:11" x14ac:dyDescent="0.55000000000000004">
      <c r="B460" s="568" t="s">
        <v>631</v>
      </c>
      <c r="C460" s="700">
        <f>C461/12</f>
        <v>1106.3333333333333</v>
      </c>
      <c r="D460" s="568"/>
      <c r="E460" s="568"/>
    </row>
    <row r="461" spans="2:11" x14ac:dyDescent="0.55000000000000004">
      <c r="B461" s="557" t="s">
        <v>632</v>
      </c>
      <c r="C461" s="701">
        <v>13276</v>
      </c>
    </row>
    <row r="463" spans="2:11" x14ac:dyDescent="0.55000000000000004">
      <c r="B463" s="557" t="s">
        <v>633</v>
      </c>
      <c r="C463" s="557">
        <v>2022</v>
      </c>
      <c r="D463" s="557">
        <v>2023</v>
      </c>
      <c r="E463" s="557">
        <v>2024</v>
      </c>
      <c r="F463" s="557">
        <v>2025</v>
      </c>
      <c r="G463" s="557">
        <v>2026</v>
      </c>
      <c r="H463" s="557">
        <v>2027</v>
      </c>
      <c r="I463" s="557">
        <v>2028</v>
      </c>
      <c r="J463" s="557">
        <v>2029</v>
      </c>
      <c r="K463" s="557">
        <v>2030</v>
      </c>
    </row>
    <row r="464" spans="2:11" x14ac:dyDescent="0.55000000000000004">
      <c r="B464" s="557" t="s">
        <v>638</v>
      </c>
      <c r="C464" s="702">
        <v>38.738451628800007</v>
      </c>
      <c r="D464" s="702">
        <v>54.23383228032003</v>
      </c>
      <c r="E464" s="702">
        <v>62.607535984401437</v>
      </c>
      <c r="F464" s="702">
        <v>71.51706995141241</v>
      </c>
      <c r="G464" s="702">
        <v>81.582435351981587</v>
      </c>
      <c r="H464" s="702">
        <v>92.94570313315046</v>
      </c>
      <c r="I464" s="702">
        <v>105.76580011703328</v>
      </c>
      <c r="J464" s="702">
        <v>120.22045946636116</v>
      </c>
      <c r="K464" s="702">
        <v>136.50839268438429</v>
      </c>
    </row>
    <row r="465" spans="2:11" x14ac:dyDescent="0.55000000000000004">
      <c r="B465" s="557" t="s">
        <v>631</v>
      </c>
      <c r="C465" s="585">
        <f t="shared" ref="C465:K465" si="13">C464/12</f>
        <v>3.2282043024000004</v>
      </c>
      <c r="D465" s="585">
        <f t="shared" si="13"/>
        <v>4.5194860233600025</v>
      </c>
      <c r="E465" s="585">
        <f t="shared" si="13"/>
        <v>5.2172946653667864</v>
      </c>
      <c r="F465" s="585">
        <f t="shared" si="13"/>
        <v>5.9597558292843678</v>
      </c>
      <c r="G465" s="585">
        <f t="shared" si="13"/>
        <v>6.7985362793317989</v>
      </c>
      <c r="H465" s="585">
        <f t="shared" si="13"/>
        <v>7.7454752610958719</v>
      </c>
      <c r="I465" s="585">
        <f t="shared" si="13"/>
        <v>8.8138166764194406</v>
      </c>
      <c r="J465" s="585">
        <f t="shared" si="13"/>
        <v>10.018371622196764</v>
      </c>
      <c r="K465" s="585">
        <f t="shared" si="13"/>
        <v>11.375699390365357</v>
      </c>
    </row>
    <row r="466" spans="2:11" x14ac:dyDescent="0.55000000000000004">
      <c r="B466" s="568" t="s">
        <v>636</v>
      </c>
      <c r="C466" s="578">
        <f t="shared" ref="C466:K466" si="14">$C$458/1000/C465</f>
        <v>2.6999530338027586</v>
      </c>
      <c r="D466" s="578">
        <f t="shared" si="14"/>
        <v>1.9285378812876839</v>
      </c>
      <c r="E466" s="578">
        <f t="shared" si="14"/>
        <v>1.6705976102630666</v>
      </c>
      <c r="F466" s="578">
        <f t="shared" si="14"/>
        <v>1.4624760224525162</v>
      </c>
      <c r="G466" s="578">
        <f t="shared" si="14"/>
        <v>1.2820406690330497</v>
      </c>
      <c r="H466" s="578">
        <f t="shared" si="14"/>
        <v>1.1253021546371593</v>
      </c>
      <c r="I466" s="578">
        <f t="shared" si="14"/>
        <v>0.9889018934690188</v>
      </c>
      <c r="J466" s="578">
        <f t="shared" si="14"/>
        <v>0.87000166580852101</v>
      </c>
      <c r="K466" s="578">
        <f t="shared" si="14"/>
        <v>0.76619464886545885</v>
      </c>
    </row>
    <row r="469" spans="2:11" x14ac:dyDescent="0.55000000000000004">
      <c r="B469" s="618" t="s">
        <v>642</v>
      </c>
    </row>
    <row r="471" spans="2:11" x14ac:dyDescent="0.55000000000000004">
      <c r="B471" s="557" t="s">
        <v>315</v>
      </c>
    </row>
    <row r="472" spans="2:11" x14ac:dyDescent="0.55000000000000004">
      <c r="B472" s="557" t="s">
        <v>643</v>
      </c>
      <c r="C472" s="703">
        <v>0.75</v>
      </c>
    </row>
    <row r="473" spans="2:11" x14ac:dyDescent="0.55000000000000004">
      <c r="B473" s="557" t="s">
        <v>644</v>
      </c>
      <c r="C473" s="703">
        <v>0.11</v>
      </c>
    </row>
    <row r="474" spans="2:11" x14ac:dyDescent="0.55000000000000004">
      <c r="C474" s="580"/>
    </row>
    <row r="475" spans="2:11" x14ac:dyDescent="0.55000000000000004">
      <c r="B475" s="557" t="s">
        <v>646</v>
      </c>
      <c r="C475" s="704">
        <f>C473*C472</f>
        <v>8.2500000000000004E-2</v>
      </c>
    </row>
    <row r="477" spans="2:11" x14ac:dyDescent="0.55000000000000004">
      <c r="B477" s="557" t="s">
        <v>645</v>
      </c>
      <c r="C477" s="572">
        <f>1/C475</f>
        <v>12.121212121212121</v>
      </c>
    </row>
    <row r="478" spans="2:11" x14ac:dyDescent="0.55000000000000004">
      <c r="B478" s="557" t="s">
        <v>647</v>
      </c>
      <c r="C478" s="572">
        <f>1/C473</f>
        <v>9.0909090909090917</v>
      </c>
    </row>
    <row r="481" spans="2:3" x14ac:dyDescent="0.55000000000000004">
      <c r="B481" s="557" t="s">
        <v>132</v>
      </c>
    </row>
    <row r="482" spans="2:3" x14ac:dyDescent="0.55000000000000004">
      <c r="B482" s="557" t="s">
        <v>643</v>
      </c>
      <c r="C482" s="703">
        <v>0.75</v>
      </c>
    </row>
    <row r="483" spans="2:3" x14ac:dyDescent="0.55000000000000004">
      <c r="B483" s="557" t="s">
        <v>644</v>
      </c>
      <c r="C483" s="703">
        <v>0.11</v>
      </c>
    </row>
    <row r="484" spans="2:3" x14ac:dyDescent="0.55000000000000004">
      <c r="B484" s="557" t="s">
        <v>648</v>
      </c>
      <c r="C484" s="703">
        <v>0.15</v>
      </c>
    </row>
    <row r="485" spans="2:3" x14ac:dyDescent="0.55000000000000004">
      <c r="C485" s="580"/>
    </row>
    <row r="486" spans="2:3" x14ac:dyDescent="0.55000000000000004">
      <c r="B486" s="557" t="s">
        <v>646</v>
      </c>
      <c r="C486" s="704">
        <f>C484*C483*C482</f>
        <v>1.2375000000000001E-2</v>
      </c>
    </row>
    <row r="488" spans="2:3" x14ac:dyDescent="0.55000000000000004">
      <c r="B488" s="557" t="s">
        <v>645</v>
      </c>
      <c r="C488" s="572">
        <f>1/C486</f>
        <v>80.808080808080803</v>
      </c>
    </row>
    <row r="489" spans="2:3" x14ac:dyDescent="0.55000000000000004">
      <c r="B489" s="557" t="s">
        <v>647</v>
      </c>
      <c r="C489" s="572">
        <f>1/(C483*C484)</f>
        <v>60.606060606060602</v>
      </c>
    </row>
    <row r="491" spans="2:3" x14ac:dyDescent="0.55000000000000004">
      <c r="B491" s="572" t="s">
        <v>649</v>
      </c>
      <c r="C491" s="616">
        <v>0.28999999999999998</v>
      </c>
    </row>
    <row r="492" spans="2:3" x14ac:dyDescent="0.55000000000000004">
      <c r="B492" s="557" t="s">
        <v>394</v>
      </c>
      <c r="C492" s="616">
        <v>0.09</v>
      </c>
    </row>
    <row r="493" spans="2:3" x14ac:dyDescent="0.55000000000000004">
      <c r="B493" s="557" t="s">
        <v>651</v>
      </c>
      <c r="C493" s="616">
        <v>8.3000000000000004E-2</v>
      </c>
    </row>
    <row r="494" spans="2:3" x14ac:dyDescent="0.55000000000000004">
      <c r="B494" s="572" t="s">
        <v>650</v>
      </c>
      <c r="C494" s="616">
        <v>5.8000000000000003E-2</v>
      </c>
    </row>
    <row r="495" spans="2:3" x14ac:dyDescent="0.55000000000000004">
      <c r="B495" s="557" t="s">
        <v>132</v>
      </c>
      <c r="C495" s="616">
        <v>5.5E-2</v>
      </c>
    </row>
    <row r="496" spans="2:3" x14ac:dyDescent="0.55000000000000004">
      <c r="B496" s="557" t="s">
        <v>655</v>
      </c>
      <c r="C496" s="616">
        <v>2.8000000000000001E-2</v>
      </c>
    </row>
    <row r="497" spans="2:3" x14ac:dyDescent="0.55000000000000004">
      <c r="B497" s="557" t="s">
        <v>654</v>
      </c>
      <c r="C497" s="616">
        <v>2.8000000000000001E-2</v>
      </c>
    </row>
    <row r="498" spans="2:3" x14ac:dyDescent="0.55000000000000004">
      <c r="B498" s="572" t="s">
        <v>652</v>
      </c>
      <c r="C498" s="616">
        <v>2.5999999999999999E-2</v>
      </c>
    </row>
    <row r="499" spans="2:3" x14ac:dyDescent="0.55000000000000004">
      <c r="B499" s="572" t="s">
        <v>653</v>
      </c>
      <c r="C499" s="616">
        <v>2.1999999999999999E-2</v>
      </c>
    </row>
    <row r="500" spans="2:3" x14ac:dyDescent="0.55000000000000004">
      <c r="B500" s="572" t="s">
        <v>656</v>
      </c>
      <c r="C500" s="616">
        <v>1E-3</v>
      </c>
    </row>
    <row r="503" spans="2:3" x14ac:dyDescent="0.55000000000000004">
      <c r="B503" s="579" t="s">
        <v>136</v>
      </c>
      <c r="C503" s="579">
        <v>2021</v>
      </c>
    </row>
    <row r="504" spans="2:3" x14ac:dyDescent="0.55000000000000004">
      <c r="B504" s="557" t="s">
        <v>760</v>
      </c>
      <c r="C504" s="616">
        <v>0.66</v>
      </c>
    </row>
    <row r="505" spans="2:3" x14ac:dyDescent="0.55000000000000004">
      <c r="B505" s="557" t="s">
        <v>106</v>
      </c>
      <c r="C505" s="616">
        <v>7.8E-2</v>
      </c>
    </row>
    <row r="506" spans="2:3" x14ac:dyDescent="0.55000000000000004">
      <c r="B506" s="557" t="s">
        <v>761</v>
      </c>
      <c r="C506" s="580">
        <v>0.17</v>
      </c>
    </row>
    <row r="507" spans="2:3" x14ac:dyDescent="0.55000000000000004">
      <c r="B507" s="557" t="s">
        <v>762</v>
      </c>
      <c r="C507" s="580">
        <v>7.0000000000000007E-2</v>
      </c>
    </row>
    <row r="509" spans="2:3" x14ac:dyDescent="0.55000000000000004">
      <c r="B509" s="579" t="s">
        <v>393</v>
      </c>
      <c r="C509" s="579">
        <v>2021</v>
      </c>
    </row>
    <row r="510" spans="2:3" x14ac:dyDescent="0.55000000000000004">
      <c r="B510" s="557" t="str">
        <f>B504</f>
        <v>Interest bearing credit card receivables</v>
      </c>
      <c r="C510" s="580">
        <v>0.8</v>
      </c>
    </row>
    <row r="511" spans="2:3" x14ac:dyDescent="0.55000000000000004">
      <c r="B511" s="557" t="str">
        <f>B505</f>
        <v>Credit card receivables</v>
      </c>
      <c r="C511" s="616">
        <v>0.115</v>
      </c>
    </row>
    <row r="512" spans="2:3" x14ac:dyDescent="0.55000000000000004">
      <c r="B512" s="557" t="str">
        <f>B506</f>
        <v>% of book in interest-bearing</v>
      </c>
      <c r="C512" s="580">
        <v>0.15</v>
      </c>
    </row>
    <row r="513" spans="2:19" x14ac:dyDescent="0.55000000000000004">
      <c r="B513" s="557" t="str">
        <f>B507</f>
        <v>% of book in revolving</v>
      </c>
      <c r="C513" s="580">
        <v>0.113</v>
      </c>
    </row>
    <row r="516" spans="2:19" x14ac:dyDescent="0.55000000000000004">
      <c r="B516" s="618" t="s">
        <v>1129</v>
      </c>
    </row>
    <row r="517" spans="2:19" x14ac:dyDescent="0.55000000000000004">
      <c r="B517" s="618"/>
    </row>
    <row r="518" spans="2:19" x14ac:dyDescent="0.55000000000000004">
      <c r="B518" s="861" t="s">
        <v>1130</v>
      </c>
    </row>
    <row r="519" spans="2:19" x14ac:dyDescent="0.55000000000000004">
      <c r="B519" s="685"/>
      <c r="C519" s="1240" t="s">
        <v>777</v>
      </c>
      <c r="D519" s="1240"/>
      <c r="E519" s="1240"/>
      <c r="F519" s="1240"/>
      <c r="G519" s="1240"/>
      <c r="H519" s="1240" t="s">
        <v>1128</v>
      </c>
      <c r="I519" s="1240"/>
      <c r="J519" s="1240"/>
      <c r="K519" s="1240"/>
      <c r="L519" s="898"/>
      <c r="M519" s="685" t="s">
        <v>778</v>
      </c>
      <c r="N519" s="685" t="s">
        <v>778</v>
      </c>
      <c r="O519" s="685" t="s">
        <v>778</v>
      </c>
      <c r="P519" s="685" t="s">
        <v>778</v>
      </c>
      <c r="S519" s="685"/>
    </row>
    <row r="520" spans="2:19" x14ac:dyDescent="0.55000000000000004">
      <c r="B520" s="597" t="s">
        <v>156</v>
      </c>
      <c r="C520" s="597">
        <v>2022</v>
      </c>
      <c r="D520" s="597">
        <f>C520+1</f>
        <v>2023</v>
      </c>
      <c r="E520" s="597">
        <f>D520+1</f>
        <v>2024</v>
      </c>
      <c r="F520" s="597">
        <f>E520+1</f>
        <v>2025</v>
      </c>
      <c r="G520" s="597"/>
      <c r="H520" s="597">
        <f>C520</f>
        <v>2022</v>
      </c>
      <c r="I520" s="597">
        <f>D520</f>
        <v>2023</v>
      </c>
      <c r="J520" s="597">
        <f>E520</f>
        <v>2024</v>
      </c>
      <c r="K520" s="597">
        <f>F520</f>
        <v>2025</v>
      </c>
      <c r="L520" s="597"/>
      <c r="M520" s="597">
        <f>H520</f>
        <v>2022</v>
      </c>
      <c r="N520" s="597">
        <f>I520</f>
        <v>2023</v>
      </c>
      <c r="O520" s="597">
        <f>J520</f>
        <v>2024</v>
      </c>
      <c r="P520" s="597">
        <f>K520</f>
        <v>2025</v>
      </c>
      <c r="S520" s="597"/>
    </row>
    <row r="521" spans="2:19" x14ac:dyDescent="0.55000000000000004">
      <c r="B521" s="883" t="s">
        <v>357</v>
      </c>
      <c r="C521" s="884">
        <f>Master!G$4</f>
        <v>4790.1710000000003</v>
      </c>
      <c r="D521" s="884">
        <f>Master!H$4</f>
        <v>7732.8072369424499</v>
      </c>
      <c r="E521" s="884">
        <f>Master!I$4</f>
        <v>10023.301010022686</v>
      </c>
      <c r="F521" s="884">
        <f>Master!J$4</f>
        <v>12552.755047904211</v>
      </c>
      <c r="G521" s="884"/>
      <c r="H521" s="884">
        <v>4521.6637749793936</v>
      </c>
      <c r="I521" s="884">
        <v>6805.1969089387312</v>
      </c>
      <c r="J521" s="884">
        <v>8453.4525290351175</v>
      </c>
      <c r="K521" s="884">
        <v>10418.182345562773</v>
      </c>
      <c r="L521" s="884"/>
      <c r="M521" s="885">
        <f>C521/H521-1</f>
        <v>5.9382395149853995E-2</v>
      </c>
      <c r="N521" s="885">
        <f>D521/I521-1</f>
        <v>0.13630910911413729</v>
      </c>
      <c r="O521" s="885">
        <f>E521/J521-1</f>
        <v>0.18570500935512468</v>
      </c>
      <c r="P521" s="885">
        <f>F521/K521-1</f>
        <v>0.204889166990879</v>
      </c>
      <c r="S521" s="636"/>
    </row>
    <row r="522" spans="2:19" x14ac:dyDescent="0.55000000000000004">
      <c r="B522" s="899"/>
      <c r="C522" s="899"/>
      <c r="D522" s="899"/>
      <c r="E522" s="899"/>
      <c r="F522" s="899"/>
      <c r="G522" s="899"/>
      <c r="H522" s="899"/>
      <c r="I522" s="899"/>
      <c r="J522" s="899"/>
      <c r="K522" s="899"/>
      <c r="L522" s="899"/>
      <c r="M522" s="859"/>
      <c r="N522" s="859"/>
      <c r="O522" s="859"/>
      <c r="P522" s="859"/>
      <c r="S522" s="859"/>
    </row>
    <row r="523" spans="2:19" x14ac:dyDescent="0.55000000000000004">
      <c r="B523" s="886" t="s">
        <v>1077</v>
      </c>
      <c r="C523" s="884">
        <f>Master!G$5</f>
        <v>3555.1709999999998</v>
      </c>
      <c r="D523" s="884">
        <f>Master!H$5</f>
        <v>6136.3464197242847</v>
      </c>
      <c r="E523" s="884">
        <f>Master!I$5</f>
        <v>8015.8005110030226</v>
      </c>
      <c r="F523" s="884">
        <f>Master!J$5</f>
        <v>9840.4789014433009</v>
      </c>
      <c r="G523" s="884"/>
      <c r="H523" s="884">
        <v>3297.0357414749415</v>
      </c>
      <c r="I523" s="884">
        <v>4904.4885592209903</v>
      </c>
      <c r="J523" s="884">
        <v>6145.3819648109893</v>
      </c>
      <c r="K523" s="884">
        <v>7689.6377810334052</v>
      </c>
      <c r="L523" s="884"/>
      <c r="M523" s="885">
        <f t="shared" ref="M523:P525" si="15">C523/H523-1</f>
        <v>7.829313321595377E-2</v>
      </c>
      <c r="N523" s="885">
        <f t="shared" si="15"/>
        <v>0.25116948395919136</v>
      </c>
      <c r="O523" s="885">
        <f t="shared" si="15"/>
        <v>0.30436164210820715</v>
      </c>
      <c r="P523" s="885">
        <f t="shared" si="15"/>
        <v>0.27970642852839878</v>
      </c>
      <c r="S523" s="636"/>
    </row>
    <row r="524" spans="2:19" x14ac:dyDescent="0.55000000000000004">
      <c r="B524" s="568" t="s">
        <v>88</v>
      </c>
      <c r="C524" s="635">
        <f>Master!G$6</f>
        <v>1235</v>
      </c>
      <c r="D524" s="635">
        <f>Master!H$6</f>
        <v>1596.4608172181649</v>
      </c>
      <c r="E524" s="635">
        <f>Master!I$6</f>
        <v>2007.5004990196635</v>
      </c>
      <c r="F524" s="635">
        <f>Master!J$6</f>
        <v>2712.2761464609107</v>
      </c>
      <c r="G524" s="635"/>
      <c r="H524" s="635">
        <v>1014.1399036710034</v>
      </c>
      <c r="I524" s="635">
        <v>1525.3387224424637</v>
      </c>
      <c r="J524" s="635">
        <v>1839.0852586551198</v>
      </c>
      <c r="K524" s="635">
        <v>2173.9202929510034</v>
      </c>
      <c r="L524" s="635"/>
      <c r="M524" s="636">
        <f t="shared" si="15"/>
        <v>0.21778069823455626</v>
      </c>
      <c r="N524" s="636">
        <f t="shared" si="15"/>
        <v>4.6627082712367152E-2</v>
      </c>
      <c r="O524" s="636">
        <f t="shared" si="15"/>
        <v>9.1575547991560757E-2</v>
      </c>
      <c r="P524" s="636">
        <f t="shared" si="15"/>
        <v>0.24764286678565961</v>
      </c>
      <c r="S524" s="636"/>
    </row>
    <row r="525" spans="2:19" x14ac:dyDescent="0.55000000000000004">
      <c r="B525" s="886" t="s">
        <v>363</v>
      </c>
      <c r="C525" s="884" t="e">
        <f>Master!#REF!</f>
        <v>#REF!</v>
      </c>
      <c r="D525" s="884" t="e">
        <f>Master!#REF!</f>
        <v>#REF!</v>
      </c>
      <c r="E525" s="884" t="e">
        <f>Master!#REF!</f>
        <v>#REF!</v>
      </c>
      <c r="F525" s="884" t="e">
        <f>Master!#REF!</f>
        <v>#REF!</v>
      </c>
      <c r="G525" s="884"/>
      <c r="H525" s="884">
        <v>210.48812983344845</v>
      </c>
      <c r="I525" s="884">
        <v>375.36962727527703</v>
      </c>
      <c r="J525" s="884">
        <v>468.9853055690088</v>
      </c>
      <c r="K525" s="884">
        <v>554.62427157836476</v>
      </c>
      <c r="L525" s="884"/>
      <c r="M525" s="885" t="e">
        <f t="shared" si="15"/>
        <v>#REF!</v>
      </c>
      <c r="N525" s="885" t="e">
        <f t="shared" si="15"/>
        <v>#REF!</v>
      </c>
      <c r="O525" s="885" t="e">
        <f t="shared" si="15"/>
        <v>#REF!</v>
      </c>
      <c r="P525" s="885" t="e">
        <f t="shared" si="15"/>
        <v>#REF!</v>
      </c>
      <c r="S525" s="636"/>
    </row>
    <row r="526" spans="2:19" x14ac:dyDescent="0.55000000000000004">
      <c r="B526" s="568"/>
      <c r="C526" s="635"/>
      <c r="D526" s="635"/>
      <c r="E526" s="635"/>
      <c r="F526" s="635"/>
      <c r="G526" s="635"/>
      <c r="H526" s="635"/>
      <c r="I526" s="635"/>
      <c r="J526" s="635"/>
      <c r="K526" s="635"/>
      <c r="L526" s="635"/>
      <c r="M526" s="636"/>
      <c r="N526" s="636"/>
      <c r="O526" s="636"/>
      <c r="P526" s="636"/>
      <c r="S526" s="636"/>
    </row>
    <row r="527" spans="2:19" x14ac:dyDescent="0.55000000000000004">
      <c r="B527" s="886" t="s">
        <v>89</v>
      </c>
      <c r="C527" s="884">
        <f>Master!G$8</f>
        <v>-1548</v>
      </c>
      <c r="D527" s="884">
        <f>Master!H$8</f>
        <v>-1869.5716505708156</v>
      </c>
      <c r="E527" s="884">
        <f>Master!I$8</f>
        <v>-1868.1948063999262</v>
      </c>
      <c r="F527" s="884">
        <f>Master!J$8</f>
        <v>-1921.4462352435539</v>
      </c>
      <c r="G527" s="884"/>
      <c r="H527" s="884">
        <v>-1492.9760374959315</v>
      </c>
      <c r="I527" s="884">
        <v>-1766.5038677136313</v>
      </c>
      <c r="J527" s="884">
        <v>-1569.8475047259647</v>
      </c>
      <c r="K527" s="884">
        <v>-1440.2390390699245</v>
      </c>
      <c r="L527" s="884"/>
      <c r="M527" s="885">
        <f t="shared" ref="M527:P529" si="16">C527/H527-1</f>
        <v>3.685522146514586E-2</v>
      </c>
      <c r="N527" s="885">
        <f t="shared" si="16"/>
        <v>5.8345631017827193E-2</v>
      </c>
      <c r="O527" s="885">
        <f t="shared" si="16"/>
        <v>0.19004858801622371</v>
      </c>
      <c r="P527" s="885">
        <f t="shared" si="16"/>
        <v>0.33411620093591043</v>
      </c>
      <c r="S527" s="636"/>
    </row>
    <row r="528" spans="2:19" x14ac:dyDescent="0.55000000000000004">
      <c r="B528" s="568" t="s">
        <v>601</v>
      </c>
      <c r="C528" s="635">
        <f>Master!G$10</f>
        <v>-174</v>
      </c>
      <c r="D528" s="635">
        <f>Master!H$10</f>
        <v>-217.5</v>
      </c>
      <c r="E528" s="635">
        <f>Master!I$10</f>
        <v>-282.75</v>
      </c>
      <c r="F528" s="635">
        <f>Master!J$10</f>
        <v>-325.16249999999997</v>
      </c>
      <c r="G528" s="635"/>
      <c r="H528" s="635">
        <v>-200</v>
      </c>
      <c r="I528" s="635">
        <v>-300</v>
      </c>
      <c r="J528" s="635">
        <v>-450</v>
      </c>
      <c r="K528" s="635">
        <v>-607.5</v>
      </c>
      <c r="L528" s="635"/>
      <c r="M528" s="636">
        <f t="shared" si="16"/>
        <v>-0.13</v>
      </c>
      <c r="N528" s="636">
        <f t="shared" si="16"/>
        <v>-0.27500000000000002</v>
      </c>
      <c r="O528" s="636">
        <f t="shared" si="16"/>
        <v>-0.3716666666666667</v>
      </c>
      <c r="P528" s="636">
        <f t="shared" si="16"/>
        <v>-0.4647530864197531</v>
      </c>
      <c r="S528" s="636"/>
    </row>
    <row r="529" spans="2:19" x14ac:dyDescent="0.55000000000000004">
      <c r="B529" s="886" t="s">
        <v>90</v>
      </c>
      <c r="C529" s="884">
        <f>Master!G$12</f>
        <v>-1405</v>
      </c>
      <c r="D529" s="884">
        <f>Master!H$12</f>
        <v>-2462.84</v>
      </c>
      <c r="E529" s="884">
        <f>Master!I$12</f>
        <v>-3307.16</v>
      </c>
      <c r="F529" s="884">
        <f>Master!J$12</f>
        <v>-3957.8399999999997</v>
      </c>
      <c r="G529" s="884"/>
      <c r="H529" s="884">
        <v>-1282.1600000000001</v>
      </c>
      <c r="I529" s="884">
        <v>-1772.8400000000001</v>
      </c>
      <c r="J529" s="884">
        <v>-2257.16</v>
      </c>
      <c r="K529" s="884">
        <v>-2707.84</v>
      </c>
      <c r="L529" s="884"/>
      <c r="M529" s="885">
        <f t="shared" si="16"/>
        <v>9.5807075559992461E-2</v>
      </c>
      <c r="N529" s="885">
        <f t="shared" si="16"/>
        <v>0.38920601971977153</v>
      </c>
      <c r="O529" s="885">
        <f t="shared" si="16"/>
        <v>0.46518634035690876</v>
      </c>
      <c r="P529" s="885">
        <f t="shared" si="16"/>
        <v>0.46162254786102563</v>
      </c>
      <c r="S529" s="636"/>
    </row>
    <row r="530" spans="2:19" x14ac:dyDescent="0.55000000000000004">
      <c r="B530" s="568"/>
      <c r="C530" s="635"/>
      <c r="D530" s="635"/>
      <c r="E530" s="635"/>
      <c r="F530" s="635"/>
      <c r="G530" s="635"/>
      <c r="H530" s="635"/>
      <c r="I530" s="635"/>
      <c r="J530" s="635"/>
      <c r="K530" s="635"/>
      <c r="L530" s="635"/>
      <c r="M530" s="636"/>
      <c r="N530" s="636"/>
      <c r="O530" s="636"/>
      <c r="P530" s="636"/>
      <c r="S530" s="636"/>
    </row>
    <row r="531" spans="2:19" x14ac:dyDescent="0.55000000000000004">
      <c r="B531" s="886" t="s">
        <v>1078</v>
      </c>
      <c r="C531" s="884">
        <f>Master!G$13</f>
        <v>-3127</v>
      </c>
      <c r="D531" s="884">
        <f>Master!H$13</f>
        <v>-4549.9116505708153</v>
      </c>
      <c r="E531" s="884">
        <f>Master!I$13</f>
        <v>-5458.104806399926</v>
      </c>
      <c r="F531" s="884">
        <f>Master!J$13</f>
        <v>-6204.4487352435535</v>
      </c>
      <c r="G531" s="884"/>
      <c r="H531" s="884">
        <v>-2975.1360374959313</v>
      </c>
      <c r="I531" s="884">
        <v>-3839.3438677136314</v>
      </c>
      <c r="J531" s="884">
        <v>-4277.0075047259643</v>
      </c>
      <c r="K531" s="884">
        <v>-4755.5790390699249</v>
      </c>
      <c r="L531" s="884"/>
      <c r="M531" s="885">
        <f>C531/H531-1</f>
        <v>5.1044375984866663E-2</v>
      </c>
      <c r="N531" s="885">
        <f>D531/I531-1</f>
        <v>0.18507531686145473</v>
      </c>
      <c r="O531" s="885">
        <f>E531/J531-1</f>
        <v>0.27615039262121588</v>
      </c>
      <c r="P531" s="885">
        <f>F531/K531-1</f>
        <v>0.30466735686028934</v>
      </c>
      <c r="S531" s="636"/>
    </row>
    <row r="532" spans="2:19" x14ac:dyDescent="0.55000000000000004">
      <c r="B532" s="568"/>
      <c r="C532" s="635"/>
      <c r="D532" s="635"/>
      <c r="E532" s="635"/>
      <c r="F532" s="635"/>
      <c r="G532" s="635"/>
      <c r="H532" s="635"/>
      <c r="I532" s="635"/>
      <c r="J532" s="635"/>
      <c r="K532" s="635"/>
      <c r="L532" s="635"/>
      <c r="M532" s="636"/>
      <c r="N532" s="636"/>
      <c r="O532" s="636"/>
      <c r="P532" s="636"/>
      <c r="S532" s="636"/>
    </row>
    <row r="533" spans="2:19" x14ac:dyDescent="0.55000000000000004">
      <c r="B533" s="887" t="s">
        <v>11</v>
      </c>
      <c r="C533" s="888">
        <f>C521+C531</f>
        <v>1663.1710000000003</v>
      </c>
      <c r="D533" s="888">
        <f>D521+D531</f>
        <v>3182.8955863716346</v>
      </c>
      <c r="E533" s="888">
        <f>E521+E531</f>
        <v>4565.1962036227596</v>
      </c>
      <c r="F533" s="888">
        <f>F521+F531</f>
        <v>6348.3063126606576</v>
      </c>
      <c r="G533" s="888"/>
      <c r="H533" s="888">
        <v>1546.5277374834623</v>
      </c>
      <c r="I533" s="888">
        <v>2965.8530412250998</v>
      </c>
      <c r="J533" s="888">
        <v>4176.4450243091533</v>
      </c>
      <c r="K533" s="888">
        <v>5662.6033064928479</v>
      </c>
      <c r="L533" s="888"/>
      <c r="M533" s="889">
        <f>C533/H533-1</f>
        <v>7.5422677323810694E-2</v>
      </c>
      <c r="N533" s="889">
        <f>D533/I533-1</f>
        <v>7.3180478644647051E-2</v>
      </c>
      <c r="O533" s="889">
        <f>E533/J533-1</f>
        <v>9.308183803470782E-2</v>
      </c>
      <c r="P533" s="889">
        <f>F533/K533-1</f>
        <v>0.12109324440607905</v>
      </c>
      <c r="S533" s="860"/>
    </row>
    <row r="534" spans="2:19" x14ac:dyDescent="0.55000000000000004">
      <c r="B534" s="900"/>
      <c r="C534" s="899"/>
      <c r="D534" s="899"/>
      <c r="E534" s="899"/>
      <c r="F534" s="899"/>
      <c r="G534" s="899"/>
      <c r="H534" s="899"/>
      <c r="I534" s="899"/>
      <c r="J534" s="899"/>
      <c r="K534" s="899"/>
      <c r="L534" s="899"/>
      <c r="M534" s="859"/>
      <c r="N534" s="859"/>
      <c r="O534" s="859"/>
      <c r="P534" s="859"/>
      <c r="S534" s="859"/>
    </row>
    <row r="535" spans="2:19" x14ac:dyDescent="0.55000000000000004">
      <c r="B535" s="886" t="s">
        <v>779</v>
      </c>
      <c r="C535" s="884">
        <f>Master!G$42</f>
        <v>-307.82899999999972</v>
      </c>
      <c r="D535" s="884">
        <f>Master!H$42</f>
        <v>1297.1388337315589</v>
      </c>
      <c r="E535" s="884">
        <f>Master!I$42</f>
        <v>2182.2255762477103</v>
      </c>
      <c r="F535" s="884">
        <f>Master!J$42</f>
        <v>3457.7439510282611</v>
      </c>
      <c r="G535" s="884"/>
      <c r="H535" s="884">
        <v>-153.94585925891352</v>
      </c>
      <c r="I535" s="884">
        <v>481.95616946246309</v>
      </c>
      <c r="J535" s="884">
        <v>1302.271164437213</v>
      </c>
      <c r="K535" s="884">
        <v>2349.6213206038865</v>
      </c>
      <c r="L535" s="884"/>
      <c r="M535" s="885">
        <f>C535/H535-1</f>
        <v>0.99959259366812958</v>
      </c>
      <c r="N535" s="885">
        <f>D535/I535-1</f>
        <v>1.6914041481786359</v>
      </c>
      <c r="O535" s="885">
        <f>E535/J535-1</f>
        <v>0.67570751456420108</v>
      </c>
      <c r="P535" s="885">
        <f>F535/K535-1</f>
        <v>0.4716175413915511</v>
      </c>
      <c r="S535" s="636"/>
    </row>
    <row r="536" spans="2:19" x14ac:dyDescent="0.55000000000000004">
      <c r="B536" s="899"/>
      <c r="C536" s="899"/>
      <c r="D536" s="899"/>
      <c r="E536" s="899"/>
      <c r="F536" s="899"/>
      <c r="G536" s="899"/>
      <c r="H536" s="899"/>
      <c r="I536" s="899"/>
      <c r="J536" s="899"/>
      <c r="K536" s="899"/>
      <c r="L536" s="899"/>
      <c r="M536" s="859"/>
      <c r="N536" s="859"/>
      <c r="O536" s="859"/>
      <c r="P536" s="859"/>
      <c r="S536" s="859"/>
    </row>
    <row r="537" spans="2:19" x14ac:dyDescent="0.55000000000000004">
      <c r="B537" s="890" t="s">
        <v>14</v>
      </c>
      <c r="C537" s="890">
        <f>Master!G$56</f>
        <v>-363.82899999999972</v>
      </c>
      <c r="D537" s="890">
        <f>Master!H$56</f>
        <v>874.28470843288972</v>
      </c>
      <c r="E537" s="890">
        <f>Master!I$56</f>
        <v>1472.8902304990841</v>
      </c>
      <c r="F537" s="890">
        <f>Master!J$56</f>
        <v>2316.6884471889348</v>
      </c>
      <c r="G537" s="890"/>
      <c r="H537" s="890">
        <v>-182.64603276014992</v>
      </c>
      <c r="I537" s="890">
        <v>506.24199945409333</v>
      </c>
      <c r="J537" s="890">
        <v>1334.262441557805</v>
      </c>
      <c r="K537" s="890">
        <v>2019.5682771488898</v>
      </c>
      <c r="L537" s="890"/>
      <c r="M537" s="891">
        <f>C537/H537-1</f>
        <v>0.99198961237651728</v>
      </c>
      <c r="N537" s="891">
        <f>D537/I537-1</f>
        <v>0.72700943298990528</v>
      </c>
      <c r="O537" s="891">
        <f>E537/J537-1</f>
        <v>0.10389844203320719</v>
      </c>
      <c r="P537" s="891">
        <f>F537/K537-1</f>
        <v>0.14712063632703831</v>
      </c>
      <c r="S537" s="633"/>
    </row>
    <row r="538" spans="2:19" x14ac:dyDescent="0.55000000000000004">
      <c r="B538" s="899"/>
      <c r="C538" s="899"/>
      <c r="D538" s="899"/>
      <c r="E538" s="899"/>
      <c r="F538" s="899"/>
      <c r="G538" s="899"/>
      <c r="H538" s="899"/>
      <c r="I538" s="899"/>
      <c r="J538" s="899"/>
      <c r="K538" s="899"/>
      <c r="L538" s="899"/>
      <c r="M538" s="859"/>
      <c r="N538" s="859"/>
      <c r="O538" s="859"/>
      <c r="P538" s="859"/>
      <c r="S538" s="859"/>
    </row>
    <row r="539" spans="2:19" x14ac:dyDescent="0.55000000000000004">
      <c r="B539" s="886" t="s">
        <v>780</v>
      </c>
      <c r="C539" s="884">
        <f>C541+C543</f>
        <v>9906</v>
      </c>
      <c r="D539" s="884">
        <f>D541+D543</f>
        <v>15291.799957861384</v>
      </c>
      <c r="E539" s="884">
        <f>E541+E543</f>
        <v>20732.457611271278</v>
      </c>
      <c r="F539" s="884">
        <f>F541+F543</f>
        <v>25933.257246574743</v>
      </c>
      <c r="G539" s="884"/>
      <c r="H539" s="884">
        <v>10910.564957360184</v>
      </c>
      <c r="I539" s="884">
        <v>15480.41093598097</v>
      </c>
      <c r="J539" s="884">
        <v>22162.128180536882</v>
      </c>
      <c r="K539" s="884">
        <v>28546.940546221351</v>
      </c>
      <c r="L539" s="884"/>
      <c r="M539" s="885">
        <f>C539/H539-1</f>
        <v>-9.2072680130327433E-2</v>
      </c>
      <c r="N539" s="885">
        <f>D539/I539-1</f>
        <v>-1.2183848277644849E-2</v>
      </c>
      <c r="O539" s="885">
        <f>E539/J539-1</f>
        <v>-6.450962460009424E-2</v>
      </c>
      <c r="P539" s="885">
        <f>F539/K539-1</f>
        <v>-9.1557387574150106E-2</v>
      </c>
      <c r="S539" s="636"/>
    </row>
    <row r="540" spans="2:19" x14ac:dyDescent="0.55000000000000004">
      <c r="B540" s="568"/>
      <c r="C540" s="656"/>
      <c r="D540" s="656"/>
      <c r="E540" s="656"/>
      <c r="F540" s="656"/>
      <c r="G540" s="656"/>
      <c r="H540" s="635"/>
      <c r="I540" s="635"/>
      <c r="J540" s="635"/>
      <c r="K540" s="635"/>
      <c r="L540" s="635"/>
      <c r="M540" s="636"/>
      <c r="N540" s="636"/>
      <c r="O540" s="636"/>
      <c r="P540" s="636"/>
      <c r="S540" s="636"/>
    </row>
    <row r="541" spans="2:19" x14ac:dyDescent="0.55000000000000004">
      <c r="B541" s="893" t="s">
        <v>106</v>
      </c>
      <c r="C541" s="892">
        <f>Master!G$154</f>
        <v>8233</v>
      </c>
      <c r="D541" s="892">
        <f>Master!H$154</f>
        <v>12218.016153236456</v>
      </c>
      <c r="E541" s="892">
        <f>Master!I$154</f>
        <v>16387.137596849418</v>
      </c>
      <c r="F541" s="892">
        <f>Master!J$154</f>
        <v>19903.781491858783</v>
      </c>
      <c r="G541" s="892"/>
      <c r="H541" s="884">
        <v>8452.342400927917</v>
      </c>
      <c r="I541" s="884">
        <v>11546.582788744434</v>
      </c>
      <c r="J541" s="884">
        <v>16375.338567341092</v>
      </c>
      <c r="K541" s="884">
        <v>20565.9285400019</v>
      </c>
      <c r="L541" s="884"/>
      <c r="M541" s="885">
        <f>C541/H541-1</f>
        <v>-2.595048692109736E-2</v>
      </c>
      <c r="N541" s="885">
        <f>D541/I541-1</f>
        <v>5.8149963220852863E-2</v>
      </c>
      <c r="O541" s="885">
        <f>E541/J541-1</f>
        <v>7.2053652263770473E-4</v>
      </c>
      <c r="P541" s="885">
        <f>F541/K541-1</f>
        <v>-3.2196311820066992E-2</v>
      </c>
      <c r="S541" s="636"/>
    </row>
    <row r="542" spans="2:19" x14ac:dyDescent="0.55000000000000004">
      <c r="B542" s="568"/>
      <c r="C542" s="656"/>
      <c r="D542" s="656"/>
      <c r="E542" s="656"/>
      <c r="F542" s="656"/>
      <c r="G542" s="656"/>
      <c r="H542" s="635"/>
      <c r="I542" s="635"/>
      <c r="J542" s="635"/>
      <c r="K542" s="635"/>
      <c r="L542" s="635"/>
      <c r="M542" s="636"/>
      <c r="N542" s="636"/>
      <c r="O542" s="636"/>
      <c r="P542" s="636"/>
      <c r="S542" s="636"/>
    </row>
    <row r="543" spans="2:19" x14ac:dyDescent="0.55000000000000004">
      <c r="B543" s="893" t="s">
        <v>107</v>
      </c>
      <c r="C543" s="892">
        <f>Master!G$155</f>
        <v>1673</v>
      </c>
      <c r="D543" s="892">
        <f>Master!H$155</f>
        <v>3073.7838046249276</v>
      </c>
      <c r="E543" s="892">
        <f>Master!I$155</f>
        <v>4345.3200144218608</v>
      </c>
      <c r="F543" s="892">
        <f>Master!J$155</f>
        <v>6029.4757547159606</v>
      </c>
      <c r="G543" s="892"/>
      <c r="H543" s="884">
        <v>2458.2225564322666</v>
      </c>
      <c r="I543" s="884">
        <v>3933.8281472365356</v>
      </c>
      <c r="J543" s="884">
        <v>5786.7896131957905</v>
      </c>
      <c r="K543" s="884">
        <v>7981.012006219451</v>
      </c>
      <c r="L543" s="884"/>
      <c r="M543" s="885">
        <f>C543/H543-1</f>
        <v>-0.31942695927902343</v>
      </c>
      <c r="N543" s="885">
        <f>D543/I543-1</f>
        <v>-0.21862783792824769</v>
      </c>
      <c r="O543" s="885">
        <f>E543/J543-1</f>
        <v>-0.24909659675321583</v>
      </c>
      <c r="P543" s="885">
        <f>F543/K543-1</f>
        <v>-0.24452240517652335</v>
      </c>
      <c r="S543" s="636"/>
    </row>
    <row r="544" spans="2:19" x14ac:dyDescent="0.55000000000000004">
      <c r="B544" s="899"/>
      <c r="C544" s="899"/>
      <c r="D544" s="899"/>
      <c r="E544" s="899"/>
      <c r="F544" s="899"/>
      <c r="G544" s="899"/>
      <c r="H544" s="899"/>
      <c r="I544" s="899"/>
      <c r="J544" s="899"/>
      <c r="K544" s="899"/>
      <c r="L544" s="899"/>
      <c r="M544" s="859"/>
      <c r="N544" s="859"/>
      <c r="O544" s="859"/>
      <c r="P544" s="859"/>
      <c r="S544" s="859"/>
    </row>
    <row r="545" spans="2:19" x14ac:dyDescent="0.55000000000000004">
      <c r="B545" s="894" t="s">
        <v>782</v>
      </c>
      <c r="C545" s="895">
        <f>'Revenue and Expenses breakdown'!F$41</f>
        <v>115</v>
      </c>
      <c r="D545" s="895">
        <f>'Revenue and Expenses breakdown'!G$41</f>
        <v>166.13757176841568</v>
      </c>
      <c r="E545" s="895">
        <f>'Revenue and Expenses breakdown'!H$41</f>
        <v>231.51684240564978</v>
      </c>
      <c r="F545" s="895">
        <f>'Revenue and Expenses breakdown'!I$41</f>
        <v>322.71638885492803</v>
      </c>
      <c r="G545" s="892"/>
      <c r="H545" s="890">
        <v>210.48812983344845</v>
      </c>
      <c r="I545" s="890">
        <v>375.36962727527703</v>
      </c>
      <c r="J545" s="890">
        <v>468.9853055690088</v>
      </c>
      <c r="K545" s="890">
        <v>554.62427157836476</v>
      </c>
      <c r="L545" s="890"/>
      <c r="M545" s="891">
        <f>C545/H545-1</f>
        <v>-0.45365090140239606</v>
      </c>
      <c r="N545" s="891">
        <f>D545/I545-1</f>
        <v>-0.55740273134411367</v>
      </c>
      <c r="O545" s="891">
        <f>E545/J545-1</f>
        <v>-0.50634521027315371</v>
      </c>
      <c r="P545" s="891">
        <f>F545/K545-1</f>
        <v>-0.41813511345882326</v>
      </c>
      <c r="S545" s="633"/>
    </row>
    <row r="546" spans="2:19" x14ac:dyDescent="0.55000000000000004">
      <c r="B546" s="899"/>
      <c r="C546" s="899"/>
      <c r="D546" s="899"/>
      <c r="E546" s="899"/>
      <c r="F546" s="899"/>
      <c r="G546" s="899"/>
      <c r="H546" s="899"/>
      <c r="I546" s="899"/>
      <c r="J546" s="899"/>
      <c r="K546" s="899"/>
      <c r="L546" s="899"/>
      <c r="M546" s="859"/>
      <c r="N546" s="859"/>
      <c r="O546" s="859"/>
      <c r="P546" s="859"/>
      <c r="S546" s="859"/>
    </row>
    <row r="547" spans="2:19" x14ac:dyDescent="0.55000000000000004">
      <c r="B547" s="882" t="s">
        <v>781</v>
      </c>
      <c r="C547" s="896">
        <f>Valuation!G$9</f>
        <v>8.0563731560657796</v>
      </c>
      <c r="D547" s="890"/>
      <c r="E547" s="890"/>
      <c r="F547" s="890"/>
      <c r="G547" s="890"/>
      <c r="H547" s="897">
        <v>6.9323144958371916</v>
      </c>
      <c r="I547" s="890"/>
      <c r="J547" s="890"/>
      <c r="K547" s="890"/>
      <c r="L547" s="890"/>
      <c r="M547" s="891">
        <f>C547/H547-1</f>
        <v>0.16214767245536499</v>
      </c>
      <c r="N547" s="891"/>
      <c r="O547" s="891"/>
      <c r="P547" s="891"/>
      <c r="S547" s="633"/>
    </row>
    <row r="549" spans="2:19" x14ac:dyDescent="0.55000000000000004">
      <c r="B549" s="618" t="s">
        <v>1191</v>
      </c>
    </row>
    <row r="550" spans="2:19" x14ac:dyDescent="0.55000000000000004">
      <c r="B550" s="685"/>
      <c r="C550" s="1240" t="s">
        <v>777</v>
      </c>
      <c r="D550" s="1240"/>
      <c r="E550" s="1240"/>
      <c r="F550" s="1240"/>
      <c r="G550" s="1240"/>
      <c r="H550" s="1240" t="s">
        <v>1128</v>
      </c>
      <c r="I550" s="1240"/>
      <c r="J550" s="1240"/>
      <c r="K550" s="1240"/>
      <c r="L550" s="898"/>
      <c r="M550" s="685" t="s">
        <v>778</v>
      </c>
      <c r="N550" s="685" t="s">
        <v>778</v>
      </c>
      <c r="O550" s="685" t="s">
        <v>778</v>
      </c>
      <c r="P550" s="685" t="s">
        <v>778</v>
      </c>
    </row>
    <row r="551" spans="2:19" x14ac:dyDescent="0.55000000000000004">
      <c r="B551" s="597" t="s">
        <v>156</v>
      </c>
      <c r="C551" s="597">
        <v>2022</v>
      </c>
      <c r="D551" s="597">
        <f>C551+1</f>
        <v>2023</v>
      </c>
      <c r="E551" s="597">
        <f>D551+1</f>
        <v>2024</v>
      </c>
      <c r="F551" s="597">
        <f>E551+1</f>
        <v>2025</v>
      </c>
      <c r="G551" s="597"/>
      <c r="H551" s="597">
        <f>C551</f>
        <v>2022</v>
      </c>
      <c r="I551" s="597">
        <f>D551</f>
        <v>2023</v>
      </c>
      <c r="J551" s="597">
        <f>E551</f>
        <v>2024</v>
      </c>
      <c r="K551" s="597">
        <f>F551</f>
        <v>2025</v>
      </c>
      <c r="L551" s="597"/>
      <c r="M551" s="597">
        <f>H551</f>
        <v>2022</v>
      </c>
      <c r="N551" s="597">
        <f>I551</f>
        <v>2023</v>
      </c>
      <c r="O551" s="597">
        <f>J551</f>
        <v>2024</v>
      </c>
      <c r="P551" s="597">
        <f>K551</f>
        <v>2025</v>
      </c>
    </row>
    <row r="552" spans="2:19" x14ac:dyDescent="0.55000000000000004">
      <c r="B552" s="883" t="s">
        <v>357</v>
      </c>
      <c r="C552" s="884">
        <v>4801.6464475128514</v>
      </c>
      <c r="D552" s="884">
        <v>7491.2513639327772</v>
      </c>
      <c r="E552" s="884">
        <v>8172.8776838012291</v>
      </c>
      <c r="F552" s="884">
        <v>10125.621324221109</v>
      </c>
      <c r="G552" s="884"/>
      <c r="H552" s="884">
        <v>4802.5040231725307</v>
      </c>
      <c r="I552" s="884">
        <v>7699.4330090168587</v>
      </c>
      <c r="J552" s="884">
        <v>8488.2337214521267</v>
      </c>
      <c r="K552" s="884">
        <v>10493.751352412795</v>
      </c>
      <c r="L552" s="884"/>
      <c r="M552" s="885">
        <f>C552/H552-1</f>
        <v>-1.7856844170072161E-4</v>
      </c>
      <c r="N552" s="885">
        <f>D552/I552-1</f>
        <v>-2.7038568273829888E-2</v>
      </c>
      <c r="O552" s="885">
        <f>E552/J552-1</f>
        <v>-3.7152138831180515E-2</v>
      </c>
      <c r="P552" s="885">
        <f>F552/K552-1</f>
        <v>-3.508087964244011E-2</v>
      </c>
    </row>
    <row r="553" spans="2:19" x14ac:dyDescent="0.55000000000000004">
      <c r="B553" s="899"/>
      <c r="C553" s="899"/>
      <c r="D553" s="899"/>
      <c r="E553" s="899"/>
      <c r="F553" s="899"/>
      <c r="G553" s="899"/>
      <c r="H553" s="899"/>
      <c r="I553" s="899"/>
      <c r="J553" s="899"/>
      <c r="K553" s="899"/>
      <c r="L553" s="899"/>
      <c r="M553" s="859"/>
      <c r="N553" s="859"/>
      <c r="O553" s="859"/>
      <c r="P553" s="859"/>
    </row>
    <row r="554" spans="2:19" x14ac:dyDescent="0.55000000000000004">
      <c r="B554" s="886" t="s">
        <v>1077</v>
      </c>
      <c r="C554" s="884">
        <v>3502.1899716220228</v>
      </c>
      <c r="D554" s="884">
        <v>5644.1381622382569</v>
      </c>
      <c r="E554" s="884">
        <v>6017.1725439409975</v>
      </c>
      <c r="F554" s="884">
        <v>7569.0755334034784</v>
      </c>
      <c r="G554" s="884"/>
      <c r="H554" s="884">
        <v>3502.1899716220228</v>
      </c>
      <c r="I554" s="884">
        <v>5644.1381622382569</v>
      </c>
      <c r="J554" s="884">
        <v>6017.1725439409975</v>
      </c>
      <c r="K554" s="884">
        <v>7569.0755334034784</v>
      </c>
      <c r="L554" s="884"/>
      <c r="M554" s="885">
        <f t="shared" ref="M554:P556" si="17">C554/H554-1</f>
        <v>0</v>
      </c>
      <c r="N554" s="885">
        <f t="shared" si="17"/>
        <v>0</v>
      </c>
      <c r="O554" s="885">
        <f t="shared" si="17"/>
        <v>0</v>
      </c>
      <c r="P554" s="885">
        <f t="shared" si="17"/>
        <v>0</v>
      </c>
    </row>
    <row r="555" spans="2:19" x14ac:dyDescent="0.55000000000000004">
      <c r="B555" s="568" t="s">
        <v>88</v>
      </c>
      <c r="C555" s="635">
        <v>1064.9787934999047</v>
      </c>
      <c r="D555" s="635">
        <v>1419.8018661229748</v>
      </c>
      <c r="E555" s="635">
        <v>1629.5991249378451</v>
      </c>
      <c r="F555" s="635">
        <v>1925.2944799952049</v>
      </c>
      <c r="G555" s="635"/>
      <c r="H555" s="635">
        <v>1065.8363691595835</v>
      </c>
      <c r="I555" s="635">
        <v>1627.9835112070573</v>
      </c>
      <c r="J555" s="635">
        <v>1944.9551625887416</v>
      </c>
      <c r="K555" s="635">
        <v>2293.424508186893</v>
      </c>
      <c r="L555" s="635"/>
      <c r="M555" s="636">
        <f t="shared" si="17"/>
        <v>-8.0460348745181598E-4</v>
      </c>
      <c r="N555" s="636">
        <f t="shared" si="17"/>
        <v>-0.12787699853896406</v>
      </c>
      <c r="O555" s="636">
        <f t="shared" si="17"/>
        <v>-0.16214051805243501</v>
      </c>
      <c r="P555" s="636">
        <f t="shared" si="17"/>
        <v>-0.16051543309037009</v>
      </c>
    </row>
    <row r="556" spans="2:19" x14ac:dyDescent="0.55000000000000004">
      <c r="B556" s="886" t="s">
        <v>363</v>
      </c>
      <c r="C556" s="884">
        <v>234.47768239092437</v>
      </c>
      <c r="D556" s="884">
        <v>427.3113355715447</v>
      </c>
      <c r="E556" s="884">
        <v>526.10601492238698</v>
      </c>
      <c r="F556" s="884">
        <v>631.2513108224249</v>
      </c>
      <c r="G556" s="884"/>
      <c r="H556" s="884">
        <v>234.47768239092437</v>
      </c>
      <c r="I556" s="884">
        <v>427.3113355715447</v>
      </c>
      <c r="J556" s="884">
        <v>526.10601492238698</v>
      </c>
      <c r="K556" s="884">
        <v>631.2513108224249</v>
      </c>
      <c r="L556" s="884"/>
      <c r="M556" s="885">
        <f t="shared" si="17"/>
        <v>0</v>
      </c>
      <c r="N556" s="885">
        <f t="shared" si="17"/>
        <v>0</v>
      </c>
      <c r="O556" s="885">
        <f t="shared" si="17"/>
        <v>0</v>
      </c>
      <c r="P556" s="885">
        <f t="shared" si="17"/>
        <v>0</v>
      </c>
    </row>
    <row r="557" spans="2:19" x14ac:dyDescent="0.55000000000000004">
      <c r="B557" s="568"/>
      <c r="C557" s="635"/>
      <c r="D557" s="635"/>
      <c r="E557" s="635"/>
      <c r="F557" s="635"/>
      <c r="G557" s="635"/>
      <c r="H557" s="635"/>
      <c r="I557" s="635"/>
      <c r="J557" s="635"/>
      <c r="K557" s="635"/>
      <c r="L557" s="635"/>
      <c r="M557" s="636"/>
      <c r="N557" s="636"/>
      <c r="O557" s="636"/>
      <c r="P557" s="636"/>
    </row>
    <row r="558" spans="2:19" x14ac:dyDescent="0.55000000000000004">
      <c r="B558" s="886" t="s">
        <v>89</v>
      </c>
      <c r="C558" s="884">
        <v>-1618.9726513612293</v>
      </c>
      <c r="D558" s="884">
        <v>-2102.2508831687028</v>
      </c>
      <c r="E558" s="884">
        <v>-1766.0145292480106</v>
      </c>
      <c r="F558" s="884">
        <v>-1639.4395948737149</v>
      </c>
      <c r="G558" s="884"/>
      <c r="H558" s="884">
        <v>-1618.9726513612293</v>
      </c>
      <c r="I558" s="884">
        <v>-2102.2508831687028</v>
      </c>
      <c r="J558" s="884">
        <v>-1766.0145292480106</v>
      </c>
      <c r="K558" s="884">
        <v>-1639.4395948737149</v>
      </c>
      <c r="L558" s="884"/>
      <c r="M558" s="885">
        <f t="shared" ref="M558:P560" si="18">C558/H558-1</f>
        <v>0</v>
      </c>
      <c r="N558" s="885">
        <f t="shared" si="18"/>
        <v>0</v>
      </c>
      <c r="O558" s="885">
        <f t="shared" si="18"/>
        <v>0</v>
      </c>
      <c r="P558" s="885">
        <f t="shared" si="18"/>
        <v>0</v>
      </c>
    </row>
    <row r="559" spans="2:19" x14ac:dyDescent="0.55000000000000004">
      <c r="B559" s="568" t="s">
        <v>601</v>
      </c>
      <c r="C559" s="635">
        <v>-210</v>
      </c>
      <c r="D559" s="635">
        <v>-315</v>
      </c>
      <c r="E559" s="635">
        <v>-472.5</v>
      </c>
      <c r="F559" s="635">
        <v>-637.875</v>
      </c>
      <c r="G559" s="635"/>
      <c r="H559" s="635">
        <v>-210</v>
      </c>
      <c r="I559" s="635">
        <v>-315</v>
      </c>
      <c r="J559" s="635">
        <v>-472.5</v>
      </c>
      <c r="K559" s="635">
        <v>-637.875</v>
      </c>
      <c r="L559" s="635"/>
      <c r="M559" s="636">
        <f t="shared" si="18"/>
        <v>0</v>
      </c>
      <c r="N559" s="636">
        <f t="shared" si="18"/>
        <v>0</v>
      </c>
      <c r="O559" s="636">
        <f t="shared" si="18"/>
        <v>0</v>
      </c>
      <c r="P559" s="636">
        <f t="shared" si="18"/>
        <v>0</v>
      </c>
    </row>
    <row r="560" spans="2:19" x14ac:dyDescent="0.55000000000000004">
      <c r="B560" s="886" t="s">
        <v>90</v>
      </c>
      <c r="C560" s="884">
        <v>-1401.28</v>
      </c>
      <c r="D560" s="884">
        <v>-1912.8400000000001</v>
      </c>
      <c r="E560" s="884">
        <v>-2437.1600000000003</v>
      </c>
      <c r="F560" s="884">
        <v>-2922.84</v>
      </c>
      <c r="G560" s="884"/>
      <c r="H560" s="884">
        <v>-1401.28</v>
      </c>
      <c r="I560" s="884">
        <v>-1912.8400000000001</v>
      </c>
      <c r="J560" s="884">
        <v>-2437.1600000000003</v>
      </c>
      <c r="K560" s="884">
        <v>-2922.84</v>
      </c>
      <c r="L560" s="884"/>
      <c r="M560" s="885">
        <f t="shared" si="18"/>
        <v>0</v>
      </c>
      <c r="N560" s="885">
        <f t="shared" si="18"/>
        <v>0</v>
      </c>
      <c r="O560" s="885">
        <f t="shared" si="18"/>
        <v>0</v>
      </c>
      <c r="P560" s="885">
        <f t="shared" si="18"/>
        <v>0</v>
      </c>
    </row>
    <row r="561" spans="2:16" x14ac:dyDescent="0.55000000000000004">
      <c r="B561" s="568"/>
      <c r="C561" s="635"/>
      <c r="D561" s="635"/>
      <c r="E561" s="635"/>
      <c r="F561" s="635"/>
      <c r="G561" s="635"/>
      <c r="H561" s="635"/>
      <c r="I561" s="635"/>
      <c r="J561" s="635"/>
      <c r="K561" s="635"/>
      <c r="L561" s="635"/>
      <c r="M561" s="636"/>
      <c r="N561" s="636"/>
      <c r="O561" s="636"/>
      <c r="P561" s="636"/>
    </row>
    <row r="562" spans="2:16" x14ac:dyDescent="0.55000000000000004">
      <c r="B562" s="886" t="s">
        <v>1078</v>
      </c>
      <c r="C562" s="884">
        <v>-3230.2526513612293</v>
      </c>
      <c r="D562" s="884">
        <v>-4330.0908831687029</v>
      </c>
      <c r="E562" s="884">
        <v>-4675.6745292480109</v>
      </c>
      <c r="F562" s="884">
        <v>-5200.1545948737148</v>
      </c>
      <c r="G562" s="884"/>
      <c r="H562" s="884">
        <v>-3230.2526513612293</v>
      </c>
      <c r="I562" s="884">
        <v>-4330.0908831687029</v>
      </c>
      <c r="J562" s="884">
        <v>-4675.6745292480109</v>
      </c>
      <c r="K562" s="884">
        <v>-5200.1545948737148</v>
      </c>
      <c r="L562" s="884"/>
      <c r="M562" s="885">
        <f>C562/H562-1</f>
        <v>0</v>
      </c>
      <c r="N562" s="885">
        <f>D562/I562-1</f>
        <v>0</v>
      </c>
      <c r="O562" s="885">
        <f>E562/J562-1</f>
        <v>0</v>
      </c>
      <c r="P562" s="885">
        <f>F562/K562-1</f>
        <v>0</v>
      </c>
    </row>
    <row r="563" spans="2:16" x14ac:dyDescent="0.55000000000000004">
      <c r="B563" s="568"/>
      <c r="C563" s="635"/>
      <c r="D563" s="635"/>
      <c r="E563" s="635"/>
      <c r="F563" s="635"/>
      <c r="G563" s="635"/>
      <c r="H563" s="635"/>
      <c r="I563" s="635"/>
      <c r="J563" s="635"/>
      <c r="K563" s="635"/>
      <c r="L563" s="635"/>
      <c r="M563" s="636"/>
      <c r="N563" s="636"/>
      <c r="O563" s="636"/>
      <c r="P563" s="636"/>
    </row>
    <row r="564" spans="2:16" x14ac:dyDescent="0.55000000000000004">
      <c r="B564" s="887" t="s">
        <v>11</v>
      </c>
      <c r="C564" s="888">
        <v>1571.3937961516222</v>
      </c>
      <c r="D564" s="888">
        <v>3161.1604807640742</v>
      </c>
      <c r="E564" s="888">
        <v>3497.2031545532182</v>
      </c>
      <c r="F564" s="888">
        <v>4925.466729347394</v>
      </c>
      <c r="G564" s="888"/>
      <c r="H564" s="888">
        <v>1572.2513718113014</v>
      </c>
      <c r="I564" s="888">
        <v>3369.3421258481558</v>
      </c>
      <c r="J564" s="888">
        <v>3812.5591922041158</v>
      </c>
      <c r="K564" s="888">
        <v>5293.5967575390805</v>
      </c>
      <c r="L564" s="888"/>
      <c r="M564" s="889">
        <f>C564/H564-1</f>
        <v>-5.4544437044523608E-4</v>
      </c>
      <c r="N564" s="889">
        <f>D564/I564-1</f>
        <v>-6.1787030615561678E-2</v>
      </c>
      <c r="O564" s="889">
        <f>E564/J564-1</f>
        <v>-8.2715053525132087E-2</v>
      </c>
      <c r="P564" s="889">
        <f>F564/K564-1</f>
        <v>-6.9542514296616953E-2</v>
      </c>
    </row>
    <row r="565" spans="2:16" x14ac:dyDescent="0.55000000000000004">
      <c r="B565" s="900"/>
      <c r="C565" s="899"/>
      <c r="D565" s="899"/>
      <c r="E565" s="899"/>
      <c r="F565" s="899"/>
      <c r="G565" s="899"/>
      <c r="H565" s="899"/>
      <c r="I565" s="899"/>
      <c r="J565" s="899"/>
      <c r="K565" s="899"/>
      <c r="L565" s="899"/>
      <c r="M565" s="859"/>
      <c r="N565" s="859"/>
      <c r="O565" s="859"/>
      <c r="P565" s="859"/>
    </row>
    <row r="566" spans="2:16" x14ac:dyDescent="0.55000000000000004">
      <c r="B566" s="886" t="s">
        <v>779</v>
      </c>
      <c r="C566" s="884">
        <v>-61.521541919900301</v>
      </c>
      <c r="D566" s="884">
        <v>778.94254703345132</v>
      </c>
      <c r="E566" s="884">
        <v>1102.5499931994582</v>
      </c>
      <c r="F566" s="884">
        <v>2181.4233504834738</v>
      </c>
      <c r="G566" s="884"/>
      <c r="H566" s="884">
        <v>-60.932387441700939</v>
      </c>
      <c r="I566" s="884">
        <v>920.92242898079439</v>
      </c>
      <c r="J566" s="884">
        <v>1325.5067118186425</v>
      </c>
      <c r="K566" s="884">
        <v>2449.7901410352133</v>
      </c>
      <c r="L566" s="884"/>
      <c r="M566" s="885">
        <f>C566/H566-1</f>
        <v>9.6689872649919906E-3</v>
      </c>
      <c r="N566" s="885">
        <f>D566/I566-1</f>
        <v>-0.15417138021546006</v>
      </c>
      <c r="O566" s="885">
        <f>E566/J566-1</f>
        <v>-0.16820489600786692</v>
      </c>
      <c r="P566" s="885">
        <f>F566/K566-1</f>
        <v>-0.10954684895512523</v>
      </c>
    </row>
    <row r="567" spans="2:16" x14ac:dyDescent="0.55000000000000004">
      <c r="B567" s="899"/>
      <c r="C567" s="899"/>
      <c r="D567" s="899"/>
      <c r="E567" s="899"/>
      <c r="F567" s="899"/>
      <c r="G567" s="899"/>
      <c r="H567" s="899"/>
      <c r="I567" s="899"/>
      <c r="J567" s="899"/>
      <c r="K567" s="899"/>
      <c r="L567" s="899"/>
      <c r="M567" s="859"/>
      <c r="N567" s="859"/>
      <c r="O567" s="859"/>
      <c r="P567" s="859"/>
    </row>
    <row r="568" spans="2:16" x14ac:dyDescent="0.55000000000000004">
      <c r="B568" s="890" t="s">
        <v>14</v>
      </c>
      <c r="C568" s="890">
        <v>-81.521541919900301</v>
      </c>
      <c r="D568" s="890">
        <v>984.34033505271373</v>
      </c>
      <c r="E568" s="890">
        <v>1336.8538437147233</v>
      </c>
      <c r="F568" s="890">
        <v>2089.191913161394</v>
      </c>
      <c r="G568" s="890"/>
      <c r="H568" s="890">
        <v>-80.932387441700939</v>
      </c>
      <c r="I568" s="890">
        <v>1141.6458974446509</v>
      </c>
      <c r="J568" s="890">
        <v>1514.6071579453878</v>
      </c>
      <c r="K568" s="890">
        <v>2289.7773827944575</v>
      </c>
      <c r="L568" s="890"/>
      <c r="M568" s="891">
        <f>C568/H568-1</f>
        <v>7.2795885160776841E-3</v>
      </c>
      <c r="N568" s="891">
        <f>D568/I568-1</f>
        <v>-0.13778840071517329</v>
      </c>
      <c r="O568" s="891">
        <f>E568/J568-1</f>
        <v>-0.11735935176207168</v>
      </c>
      <c r="P568" s="891">
        <f>F568/K568-1</f>
        <v>-8.7600424015136236E-2</v>
      </c>
    </row>
    <row r="569" spans="2:16" x14ac:dyDescent="0.55000000000000004">
      <c r="B569" s="899"/>
      <c r="C569" s="899"/>
      <c r="D569" s="899"/>
      <c r="E569" s="899"/>
      <c r="F569" s="899"/>
      <c r="G569" s="899"/>
      <c r="H569" s="899"/>
      <c r="I569" s="899"/>
      <c r="J569" s="899"/>
      <c r="K569" s="899"/>
      <c r="L569" s="899"/>
      <c r="M569" s="859"/>
      <c r="N569" s="859"/>
      <c r="O569" s="859"/>
      <c r="P569" s="859"/>
    </row>
    <row r="570" spans="2:16" x14ac:dyDescent="0.55000000000000004">
      <c r="B570" s="886" t="s">
        <v>780</v>
      </c>
      <c r="C570" s="884">
        <v>10471.374327208256</v>
      </c>
      <c r="D570" s="884">
        <v>15810.762742732695</v>
      </c>
      <c r="E570" s="884">
        <v>22840.779326053886</v>
      </c>
      <c r="F570" s="884">
        <v>29973.999098835324</v>
      </c>
      <c r="G570" s="884"/>
      <c r="H570" s="884">
        <v>10471.374327208256</v>
      </c>
      <c r="I570" s="884">
        <v>15810.762742732695</v>
      </c>
      <c r="J570" s="884">
        <v>22840.779326053886</v>
      </c>
      <c r="K570" s="884">
        <v>29973.999098835324</v>
      </c>
      <c r="L570" s="884"/>
      <c r="M570" s="885">
        <f>C570/H570-1</f>
        <v>0</v>
      </c>
      <c r="N570" s="885">
        <f>D570/I570-1</f>
        <v>0</v>
      </c>
      <c r="O570" s="885">
        <f>E570/J570-1</f>
        <v>0</v>
      </c>
      <c r="P570" s="885">
        <f>F570/K570-1</f>
        <v>0</v>
      </c>
    </row>
    <row r="571" spans="2:16" x14ac:dyDescent="0.55000000000000004">
      <c r="B571" s="568"/>
      <c r="C571" s="656"/>
      <c r="D571" s="656"/>
      <c r="E571" s="656"/>
      <c r="F571" s="656"/>
      <c r="G571" s="656"/>
      <c r="H571" s="635"/>
      <c r="I571" s="635"/>
      <c r="J571" s="635"/>
      <c r="K571" s="635"/>
      <c r="L571" s="635"/>
      <c r="M571" s="636"/>
      <c r="N571" s="636"/>
      <c r="O571" s="636"/>
      <c r="P571" s="636"/>
    </row>
    <row r="572" spans="2:16" x14ac:dyDescent="0.55000000000000004">
      <c r="B572" s="893" t="s">
        <v>106</v>
      </c>
      <c r="C572" s="892">
        <v>8359.1229538228581</v>
      </c>
      <c r="D572" s="892">
        <v>12527.156510783097</v>
      </c>
      <c r="E572" s="892">
        <v>16866.849292565999</v>
      </c>
      <c r="F572" s="892">
        <v>19638.275564903575</v>
      </c>
      <c r="G572" s="892"/>
      <c r="H572" s="884">
        <v>8359.1229538228581</v>
      </c>
      <c r="I572" s="884">
        <v>12527.156510783097</v>
      </c>
      <c r="J572" s="884">
        <v>16866.849292565999</v>
      </c>
      <c r="K572" s="884">
        <v>19638.275564903575</v>
      </c>
      <c r="L572" s="884"/>
      <c r="M572" s="885">
        <f>C572/H572-1</f>
        <v>0</v>
      </c>
      <c r="N572" s="885">
        <f>D572/I572-1</f>
        <v>0</v>
      </c>
      <c r="O572" s="885">
        <f>E572/J572-1</f>
        <v>0</v>
      </c>
      <c r="P572" s="885">
        <f>F572/K572-1</f>
        <v>0</v>
      </c>
    </row>
    <row r="573" spans="2:16" x14ac:dyDescent="0.55000000000000004">
      <c r="B573" s="568"/>
      <c r="C573" s="656"/>
      <c r="D573" s="656"/>
      <c r="E573" s="656"/>
      <c r="F573" s="656"/>
      <c r="G573" s="656"/>
      <c r="H573" s="635"/>
      <c r="I573" s="635"/>
      <c r="J573" s="635"/>
      <c r="K573" s="635"/>
      <c r="L573" s="635"/>
      <c r="M573" s="636"/>
      <c r="N573" s="636"/>
      <c r="O573" s="636"/>
      <c r="P573" s="636"/>
    </row>
    <row r="574" spans="2:16" x14ac:dyDescent="0.55000000000000004">
      <c r="B574" s="893" t="s">
        <v>107</v>
      </c>
      <c r="C574" s="892">
        <v>2112.2513733853971</v>
      </c>
      <c r="D574" s="892">
        <v>3283.6062319495982</v>
      </c>
      <c r="E574" s="892">
        <v>5973.9300334878862</v>
      </c>
      <c r="F574" s="892">
        <v>10335.723533931749</v>
      </c>
      <c r="G574" s="892"/>
      <c r="H574" s="884">
        <v>2112.2513733853971</v>
      </c>
      <c r="I574" s="884">
        <v>3283.6062319495982</v>
      </c>
      <c r="J574" s="884">
        <v>5973.9300334878862</v>
      </c>
      <c r="K574" s="884">
        <v>10335.723533931749</v>
      </c>
      <c r="L574" s="884"/>
      <c r="M574" s="885">
        <f>C574/H574-1</f>
        <v>0</v>
      </c>
      <c r="N574" s="885">
        <f>D574/I574-1</f>
        <v>0</v>
      </c>
      <c r="O574" s="885">
        <f>E574/J574-1</f>
        <v>0</v>
      </c>
      <c r="P574" s="885">
        <f>F574/K574-1</f>
        <v>0</v>
      </c>
    </row>
    <row r="575" spans="2:16" x14ac:dyDescent="0.55000000000000004">
      <c r="B575" s="899"/>
      <c r="C575" s="899"/>
      <c r="D575" s="899"/>
      <c r="E575" s="899"/>
      <c r="F575" s="899"/>
      <c r="G575" s="899"/>
      <c r="H575" s="899"/>
      <c r="I575" s="899"/>
      <c r="J575" s="899"/>
      <c r="K575" s="899"/>
      <c r="L575" s="899"/>
      <c r="M575" s="859"/>
      <c r="N575" s="859"/>
      <c r="O575" s="859"/>
      <c r="P575" s="859"/>
    </row>
    <row r="576" spans="2:16" x14ac:dyDescent="0.55000000000000004">
      <c r="B576" s="894" t="s">
        <v>782</v>
      </c>
      <c r="C576" s="895">
        <v>234.47768239092437</v>
      </c>
      <c r="D576" s="895">
        <v>427.3113355715447</v>
      </c>
      <c r="E576" s="895">
        <v>526.10601492238698</v>
      </c>
      <c r="F576" s="895">
        <v>631.2513108224249</v>
      </c>
      <c r="G576" s="892"/>
      <c r="H576" s="890">
        <v>234.47768239092437</v>
      </c>
      <c r="I576" s="890">
        <v>427.3113355715447</v>
      </c>
      <c r="J576" s="890">
        <v>526.10601492238698</v>
      </c>
      <c r="K576" s="890">
        <v>631.2513108224249</v>
      </c>
      <c r="L576" s="890"/>
      <c r="M576" s="891">
        <f>C576/H576-1</f>
        <v>0</v>
      </c>
      <c r="N576" s="891">
        <f>D576/I576-1</f>
        <v>0</v>
      </c>
      <c r="O576" s="891">
        <f>E576/J576-1</f>
        <v>0</v>
      </c>
      <c r="P576" s="891">
        <f>F576/K576-1</f>
        <v>0</v>
      </c>
    </row>
    <row r="577" spans="2:26" x14ac:dyDescent="0.55000000000000004">
      <c r="B577" s="899"/>
      <c r="C577" s="899"/>
      <c r="D577" s="899"/>
      <c r="E577" s="899"/>
      <c r="F577" s="899"/>
      <c r="G577" s="899"/>
      <c r="H577" s="899"/>
      <c r="I577" s="899"/>
      <c r="J577" s="899"/>
      <c r="K577" s="899"/>
      <c r="L577" s="899"/>
      <c r="M577" s="859"/>
      <c r="N577" s="859"/>
      <c r="O577" s="859"/>
      <c r="P577" s="859"/>
    </row>
    <row r="578" spans="2:26" x14ac:dyDescent="0.55000000000000004">
      <c r="B578" s="882" t="s">
        <v>781</v>
      </c>
      <c r="C578" s="896">
        <v>7.5143405865355222</v>
      </c>
      <c r="D578" s="890"/>
      <c r="E578" s="890"/>
      <c r="F578" s="890"/>
      <c r="G578" s="890"/>
      <c r="H578" s="897">
        <v>7.9952926645681544</v>
      </c>
      <c r="I578" s="890"/>
      <c r="J578" s="890"/>
      <c r="K578" s="890"/>
      <c r="L578" s="890"/>
      <c r="M578" s="891">
        <f>C578/H578-1</f>
        <v>-6.0154405624701424E-2</v>
      </c>
      <c r="N578" s="891"/>
      <c r="O578" s="891"/>
      <c r="P578" s="891"/>
    </row>
    <row r="581" spans="2:26" x14ac:dyDescent="0.55000000000000004">
      <c r="B581" s="861" t="s">
        <v>1167</v>
      </c>
    </row>
    <row r="582" spans="2:26" x14ac:dyDescent="0.55000000000000004">
      <c r="B582" s="685"/>
      <c r="C582" s="1240" t="s">
        <v>777</v>
      </c>
      <c r="D582" s="1240"/>
      <c r="E582" s="1240"/>
      <c r="F582" s="1240"/>
      <c r="G582" s="1240"/>
      <c r="H582" s="1240" t="s">
        <v>1192</v>
      </c>
      <c r="I582" s="1240"/>
      <c r="J582" s="1240"/>
      <c r="K582" s="1240"/>
      <c r="L582" s="898"/>
      <c r="M582" s="685" t="s">
        <v>778</v>
      </c>
      <c r="N582" s="685" t="s">
        <v>778</v>
      </c>
      <c r="O582" s="685" t="s">
        <v>778</v>
      </c>
      <c r="P582" s="685" t="s">
        <v>778</v>
      </c>
      <c r="R582" s="1240" t="s">
        <v>1022</v>
      </c>
      <c r="S582" s="1240"/>
      <c r="T582" s="1240"/>
      <c r="U582" s="1240"/>
      <c r="V582" s="898"/>
      <c r="W582" s="685" t="s">
        <v>778</v>
      </c>
      <c r="X582" s="685" t="s">
        <v>778</v>
      </c>
      <c r="Y582" s="685" t="s">
        <v>778</v>
      </c>
      <c r="Z582" s="685" t="s">
        <v>778</v>
      </c>
    </row>
    <row r="583" spans="2:26" x14ac:dyDescent="0.55000000000000004">
      <c r="B583" s="597" t="s">
        <v>156</v>
      </c>
      <c r="C583" s="597">
        <v>2022</v>
      </c>
      <c r="D583" s="597">
        <f>C583+1</f>
        <v>2023</v>
      </c>
      <c r="E583" s="597">
        <f>D583+1</f>
        <v>2024</v>
      </c>
      <c r="F583" s="597">
        <f>E583+1</f>
        <v>2025</v>
      </c>
      <c r="G583" s="597"/>
      <c r="H583" s="597">
        <f>C583</f>
        <v>2022</v>
      </c>
      <c r="I583" s="597">
        <f>D583</f>
        <v>2023</v>
      </c>
      <c r="J583" s="597">
        <f>E583</f>
        <v>2024</v>
      </c>
      <c r="K583" s="597">
        <f>F583</f>
        <v>2025</v>
      </c>
      <c r="L583" s="597"/>
      <c r="M583" s="597">
        <f>H583</f>
        <v>2022</v>
      </c>
      <c r="N583" s="597">
        <f>I583</f>
        <v>2023</v>
      </c>
      <c r="O583" s="597">
        <f>J583</f>
        <v>2024</v>
      </c>
      <c r="P583" s="597">
        <f>K583</f>
        <v>2025</v>
      </c>
      <c r="Q583" s="597"/>
      <c r="R583" s="597">
        <f>M583</f>
        <v>2022</v>
      </c>
      <c r="S583" s="597">
        <f>N583</f>
        <v>2023</v>
      </c>
      <c r="T583" s="597">
        <f>O583</f>
        <v>2024</v>
      </c>
      <c r="U583" s="597">
        <f>P583</f>
        <v>2025</v>
      </c>
      <c r="V583" s="597"/>
      <c r="W583" s="597">
        <f>R583</f>
        <v>2022</v>
      </c>
      <c r="X583" s="597">
        <f>S583</f>
        <v>2023</v>
      </c>
      <c r="Y583" s="597">
        <f>T583</f>
        <v>2024</v>
      </c>
      <c r="Z583" s="597">
        <f>U583</f>
        <v>2025</v>
      </c>
    </row>
    <row r="584" spans="2:26" x14ac:dyDescent="0.55000000000000004">
      <c r="B584" s="883" t="s">
        <v>357</v>
      </c>
      <c r="C584" s="884">
        <f>Master!G$4</f>
        <v>4790.1710000000003</v>
      </c>
      <c r="D584" s="884">
        <f>Master!H$4</f>
        <v>7732.8072369424499</v>
      </c>
      <c r="E584" s="884">
        <f>Master!I$4</f>
        <v>10023.301010022686</v>
      </c>
      <c r="F584" s="884">
        <f>Master!J$4</f>
        <v>12552.755047904211</v>
      </c>
      <c r="G584" s="884"/>
      <c r="H584" s="884">
        <v>4801.6464475128514</v>
      </c>
      <c r="I584" s="884">
        <v>7491.2513639327772</v>
      </c>
      <c r="J584" s="884">
        <v>8172.8776838012291</v>
      </c>
      <c r="K584" s="884">
        <v>10125.621324221109</v>
      </c>
      <c r="L584" s="884"/>
      <c r="M584" s="885">
        <f>C584/H584-1</f>
        <v>-2.3898984730112982E-3</v>
      </c>
      <c r="N584" s="885">
        <f>D584/I584-1</f>
        <v>3.2245063110905914E-2</v>
      </c>
      <c r="O584" s="885">
        <f>E584/J584-1</f>
        <v>0.22641025570332762</v>
      </c>
      <c r="P584" s="885">
        <f>F584/K584-1</f>
        <v>0.23970220157031252</v>
      </c>
      <c r="Q584" s="884"/>
      <c r="R584" s="884">
        <v>4772.2212532561953</v>
      </c>
      <c r="S584" s="884">
        <v>6935.3281376948962</v>
      </c>
      <c r="T584" s="884">
        <v>9211.3543661378098</v>
      </c>
      <c r="U584" s="884">
        <v>12144.012965215716</v>
      </c>
      <c r="V584" s="884"/>
      <c r="W584" s="885">
        <f>C584/R584-1</f>
        <v>3.7612981023369407E-3</v>
      </c>
      <c r="X584" s="885">
        <f>D584/S584-1</f>
        <v>0.11498794050033401</v>
      </c>
      <c r="Y584" s="885">
        <f>E584/T584-1</f>
        <v>8.814628246956846E-2</v>
      </c>
      <c r="Z584" s="885">
        <f>F584/U584-1</f>
        <v>3.3657908951453042E-2</v>
      </c>
    </row>
    <row r="585" spans="2:26" x14ac:dyDescent="0.55000000000000004">
      <c r="B585" s="899"/>
      <c r="C585" s="899"/>
      <c r="D585" s="899"/>
      <c r="E585" s="899"/>
      <c r="F585" s="899"/>
      <c r="G585" s="899"/>
      <c r="H585" s="899"/>
      <c r="I585" s="899"/>
      <c r="J585" s="899"/>
      <c r="K585" s="899"/>
      <c r="L585" s="899"/>
      <c r="M585" s="859"/>
      <c r="N585" s="859"/>
      <c r="O585" s="859"/>
      <c r="P585" s="859"/>
      <c r="Q585" s="899"/>
      <c r="R585" s="899"/>
      <c r="S585" s="899"/>
      <c r="T585" s="899"/>
      <c r="U585" s="899"/>
      <c r="V585" s="899"/>
      <c r="W585" s="859"/>
      <c r="X585" s="859"/>
      <c r="Y585" s="859"/>
      <c r="Z585" s="859"/>
    </row>
    <row r="586" spans="2:26" x14ac:dyDescent="0.55000000000000004">
      <c r="B586" s="886" t="s">
        <v>1077</v>
      </c>
      <c r="C586" s="884">
        <f>Master!G$5</f>
        <v>3555.1709999999998</v>
      </c>
      <c r="D586" s="884">
        <f>Master!H$5</f>
        <v>6136.3464197242847</v>
      </c>
      <c r="E586" s="884">
        <f>Master!I$5</f>
        <v>8015.8005110030226</v>
      </c>
      <c r="F586" s="884">
        <f>Master!J$5</f>
        <v>9840.4789014433009</v>
      </c>
      <c r="G586" s="884"/>
      <c r="H586" s="884">
        <v>3502.1899716220228</v>
      </c>
      <c r="I586" s="884">
        <v>5644.1381622382569</v>
      </c>
      <c r="J586" s="884">
        <v>6017.1725439409975</v>
      </c>
      <c r="K586" s="884">
        <v>7569.0755334034784</v>
      </c>
      <c r="L586" s="884"/>
      <c r="M586" s="885">
        <f t="shared" ref="M586:P588" si="19">C586/H586-1</f>
        <v>1.5127971014501806E-2</v>
      </c>
      <c r="N586" s="885">
        <f t="shared" si="19"/>
        <v>8.720698241923186E-2</v>
      </c>
      <c r="O586" s="885">
        <f t="shared" si="19"/>
        <v>0.33215400629894631</v>
      </c>
      <c r="P586" s="885">
        <f t="shared" si="19"/>
        <v>0.30008993278185359</v>
      </c>
      <c r="Q586" s="884"/>
      <c r="R586" s="884">
        <v>3527.9310268281538</v>
      </c>
      <c r="S586" s="884">
        <v>5082.2932809793001</v>
      </c>
      <c r="T586" s="884">
        <v>6521.4947904133323</v>
      </c>
      <c r="U586" s="884">
        <v>8333.6049541390475</v>
      </c>
      <c r="V586" s="884"/>
      <c r="W586" s="885">
        <f t="shared" ref="W586:Z587" si="20">C586/R586-1</f>
        <v>7.7212317827926036E-3</v>
      </c>
      <c r="X586" s="885">
        <f t="shared" si="20"/>
        <v>0.20739714937149012</v>
      </c>
      <c r="Y586" s="885">
        <f t="shared" si="20"/>
        <v>0.22913546182484668</v>
      </c>
      <c r="Z586" s="885">
        <f t="shared" si="20"/>
        <v>0.180818979972867</v>
      </c>
    </row>
    <row r="587" spans="2:26" x14ac:dyDescent="0.55000000000000004">
      <c r="B587" s="568" t="s">
        <v>88</v>
      </c>
      <c r="C587" s="635" t="e">
        <f>Master!G$6+C588</f>
        <v>#REF!</v>
      </c>
      <c r="D587" s="635" t="e">
        <f>Master!H$6+D588</f>
        <v>#REF!</v>
      </c>
      <c r="E587" s="635" t="e">
        <f>Master!I$6+E588</f>
        <v>#REF!</v>
      </c>
      <c r="F587" s="635" t="e">
        <f>Master!J$6+F588</f>
        <v>#REF!</v>
      </c>
      <c r="G587" s="635"/>
      <c r="H587" s="635">
        <f>1064.9787934999+H588</f>
        <v>1299.4564758908243</v>
      </c>
      <c r="I587" s="635">
        <f>1419.80186612297+I588</f>
        <v>1847.1132016945148</v>
      </c>
      <c r="J587" s="635">
        <f>1629.59912493785+J588</f>
        <v>2155.7051398602371</v>
      </c>
      <c r="K587" s="635">
        <f>1925.2944799952+K588</f>
        <v>2556.5457908176249</v>
      </c>
      <c r="L587" s="635"/>
      <c r="M587" s="636" t="e">
        <f t="shared" si="19"/>
        <v>#REF!</v>
      </c>
      <c r="N587" s="636" t="e">
        <f t="shared" si="19"/>
        <v>#REF!</v>
      </c>
      <c r="O587" s="636" t="e">
        <f t="shared" si="19"/>
        <v>#REF!</v>
      </c>
      <c r="P587" s="636" t="e">
        <f t="shared" si="19"/>
        <v>#REF!</v>
      </c>
      <c r="Q587" s="635"/>
      <c r="R587" s="635">
        <v>1244.2902264280419</v>
      </c>
      <c r="S587" s="635">
        <v>1853.0348567155961</v>
      </c>
      <c r="T587" s="635">
        <v>2689.8595757244775</v>
      </c>
      <c r="U587" s="635">
        <v>3810.4080110766677</v>
      </c>
      <c r="V587" s="635"/>
      <c r="W587" s="636" t="e">
        <f t="shared" si="20"/>
        <v>#REF!</v>
      </c>
      <c r="X587" s="636" t="e">
        <f t="shared" si="20"/>
        <v>#REF!</v>
      </c>
      <c r="Y587" s="636" t="e">
        <f t="shared" si="20"/>
        <v>#REF!</v>
      </c>
      <c r="Z587" s="636" t="e">
        <f t="shared" si="20"/>
        <v>#REF!</v>
      </c>
    </row>
    <row r="588" spans="2:26" x14ac:dyDescent="0.55000000000000004">
      <c r="B588" s="886" t="s">
        <v>363</v>
      </c>
      <c r="C588" s="884" t="e">
        <f>Master!#REF!</f>
        <v>#REF!</v>
      </c>
      <c r="D588" s="884" t="e">
        <f>Master!#REF!</f>
        <v>#REF!</v>
      </c>
      <c r="E588" s="884" t="e">
        <f>Master!#REF!</f>
        <v>#REF!</v>
      </c>
      <c r="F588" s="884" t="e">
        <f>Master!#REF!</f>
        <v>#REF!</v>
      </c>
      <c r="G588" s="884"/>
      <c r="H588" s="884">
        <v>234.47768239092437</v>
      </c>
      <c r="I588" s="884">
        <v>427.3113355715447</v>
      </c>
      <c r="J588" s="884">
        <v>526.10601492238698</v>
      </c>
      <c r="K588" s="884">
        <v>631.2513108224249</v>
      </c>
      <c r="L588" s="884"/>
      <c r="M588" s="885" t="e">
        <f t="shared" si="19"/>
        <v>#REF!</v>
      </c>
      <c r="N588" s="885" t="e">
        <f t="shared" si="19"/>
        <v>#REF!</v>
      </c>
      <c r="O588" s="885" t="e">
        <f t="shared" si="19"/>
        <v>#REF!</v>
      </c>
      <c r="P588" s="885" t="e">
        <f t="shared" si="19"/>
        <v>#REF!</v>
      </c>
      <c r="Q588" s="884"/>
      <c r="R588" s="884"/>
      <c r="S588" s="884"/>
      <c r="T588" s="884"/>
      <c r="U588" s="884"/>
      <c r="V588" s="884"/>
      <c r="W588" s="885"/>
      <c r="X588" s="885"/>
      <c r="Y588" s="885"/>
      <c r="Z588" s="885"/>
    </row>
    <row r="589" spans="2:26" x14ac:dyDescent="0.55000000000000004">
      <c r="B589" s="568"/>
      <c r="C589" s="635"/>
      <c r="D589" s="635"/>
      <c r="E589" s="635"/>
      <c r="F589" s="635"/>
      <c r="G589" s="635"/>
      <c r="H589" s="635"/>
      <c r="I589" s="635"/>
      <c r="J589" s="635"/>
      <c r="K589" s="635"/>
      <c r="L589" s="635"/>
      <c r="M589" s="636"/>
      <c r="N589" s="636"/>
      <c r="O589" s="636"/>
      <c r="P589" s="636"/>
      <c r="Q589" s="635"/>
      <c r="R589" s="635"/>
      <c r="S589" s="635"/>
      <c r="T589" s="635"/>
      <c r="U589" s="635"/>
      <c r="V589" s="635"/>
      <c r="W589" s="636"/>
      <c r="X589" s="636"/>
      <c r="Y589" s="636"/>
      <c r="Z589" s="636"/>
    </row>
    <row r="590" spans="2:26" x14ac:dyDescent="0.55000000000000004">
      <c r="B590" s="886" t="s">
        <v>89</v>
      </c>
      <c r="C590" s="884">
        <f>Master!G$8</f>
        <v>-1548</v>
      </c>
      <c r="D590" s="884">
        <f>Master!H$8</f>
        <v>-1869.5716505708156</v>
      </c>
      <c r="E590" s="884">
        <f>Master!I$8</f>
        <v>-1868.1948063999262</v>
      </c>
      <c r="F590" s="884">
        <f>Master!J$8</f>
        <v>-1921.4462352435539</v>
      </c>
      <c r="G590" s="884"/>
      <c r="H590" s="884">
        <v>-1618.9726513612293</v>
      </c>
      <c r="I590" s="884">
        <v>-2102.2508831687028</v>
      </c>
      <c r="J590" s="884">
        <v>-1766.0145292480106</v>
      </c>
      <c r="K590" s="884">
        <v>-1639.4395948737149</v>
      </c>
      <c r="L590" s="884"/>
      <c r="M590" s="885">
        <f t="shared" ref="M590:P592" si="21">C590/H590-1</f>
        <v>-4.3838079229785332E-2</v>
      </c>
      <c r="N590" s="885">
        <f t="shared" si="21"/>
        <v>-0.11068100123576685</v>
      </c>
      <c r="O590" s="885">
        <f t="shared" si="21"/>
        <v>5.785925056654273E-2</v>
      </c>
      <c r="P590" s="885">
        <f t="shared" si="21"/>
        <v>0.17201404751454841</v>
      </c>
      <c r="Q590" s="884"/>
      <c r="R590" s="884">
        <v>-1601.7157778955</v>
      </c>
      <c r="S590" s="884">
        <v>-1963.9413885220699</v>
      </c>
      <c r="T590" s="884">
        <v>-1951.9302742156699</v>
      </c>
      <c r="U590" s="884">
        <v>-2202.2132020629601</v>
      </c>
      <c r="V590" s="884"/>
      <c r="W590" s="885">
        <f t="shared" ref="W590:Z592" si="22">C590/R590-1</f>
        <v>-3.3536398053141014E-2</v>
      </c>
      <c r="X590" s="885">
        <f t="shared" si="22"/>
        <v>-4.8051198728629396E-2</v>
      </c>
      <c r="Y590" s="885">
        <f t="shared" si="22"/>
        <v>-4.2898800700957751E-2</v>
      </c>
      <c r="Z590" s="885">
        <f t="shared" si="22"/>
        <v>-0.12749309038579604</v>
      </c>
    </row>
    <row r="591" spans="2:26" x14ac:dyDescent="0.55000000000000004">
      <c r="B591" s="568" t="s">
        <v>601</v>
      </c>
      <c r="C591" s="635">
        <f>Master!G$10</f>
        <v>-174</v>
      </c>
      <c r="D591" s="635">
        <f>Master!H$10</f>
        <v>-217.5</v>
      </c>
      <c r="E591" s="635">
        <f>Master!I$10</f>
        <v>-282.75</v>
      </c>
      <c r="F591" s="635">
        <f>Master!J$10</f>
        <v>-325.16249999999997</v>
      </c>
      <c r="G591" s="635"/>
      <c r="H591" s="635">
        <v>-210</v>
      </c>
      <c r="I591" s="635">
        <v>-315</v>
      </c>
      <c r="J591" s="635">
        <v>-472.5</v>
      </c>
      <c r="K591" s="635">
        <v>-637.875</v>
      </c>
      <c r="L591" s="635"/>
      <c r="M591" s="636">
        <f t="shared" si="21"/>
        <v>-0.17142857142857137</v>
      </c>
      <c r="N591" s="636">
        <f t="shared" si="21"/>
        <v>-0.30952380952380953</v>
      </c>
      <c r="O591" s="636">
        <f t="shared" si="21"/>
        <v>-0.4015873015873016</v>
      </c>
      <c r="P591" s="636">
        <f t="shared" si="21"/>
        <v>-0.49024103468547919</v>
      </c>
      <c r="Q591" s="635"/>
      <c r="R591" s="635">
        <v>-174.8213147481186</v>
      </c>
      <c r="S591" s="635">
        <v>-232.2156282785138</v>
      </c>
      <c r="T591" s="635">
        <v>-289.83097367701077</v>
      </c>
      <c r="U591" s="635">
        <v>-337.97586128397751</v>
      </c>
      <c r="V591" s="635"/>
      <c r="W591" s="636">
        <f t="shared" si="22"/>
        <v>-4.6980240899225922E-3</v>
      </c>
      <c r="X591" s="636">
        <f t="shared" si="22"/>
        <v>-6.3370533618281044E-2</v>
      </c>
      <c r="Y591" s="636">
        <f t="shared" si="22"/>
        <v>-2.4431390431382427E-2</v>
      </c>
      <c r="Z591" s="636">
        <f t="shared" si="22"/>
        <v>-3.7912060451001817E-2</v>
      </c>
    </row>
    <row r="592" spans="2:26" x14ac:dyDescent="0.55000000000000004">
      <c r="B592" s="886" t="s">
        <v>90</v>
      </c>
      <c r="C592" s="884">
        <f>Master!G$12</f>
        <v>-1405</v>
      </c>
      <c r="D592" s="884">
        <f>Master!H$12</f>
        <v>-2462.84</v>
      </c>
      <c r="E592" s="884">
        <f>Master!I$12</f>
        <v>-3307.16</v>
      </c>
      <c r="F592" s="884">
        <f>Master!J$12</f>
        <v>-3957.8399999999997</v>
      </c>
      <c r="G592" s="884"/>
      <c r="H592" s="884">
        <v>-1401.28</v>
      </c>
      <c r="I592" s="884">
        <v>-1912.8400000000001</v>
      </c>
      <c r="J592" s="884">
        <v>-2437.1600000000003</v>
      </c>
      <c r="K592" s="884">
        <v>-2922.84</v>
      </c>
      <c r="L592" s="884"/>
      <c r="M592" s="885">
        <f t="shared" si="21"/>
        <v>2.6547156885132761E-3</v>
      </c>
      <c r="N592" s="885">
        <f t="shared" si="21"/>
        <v>0.28753058279835209</v>
      </c>
      <c r="O592" s="885">
        <f t="shared" si="21"/>
        <v>0.35697287006187506</v>
      </c>
      <c r="P592" s="885">
        <f t="shared" si="21"/>
        <v>0.35410764872521239</v>
      </c>
      <c r="Q592" s="884"/>
      <c r="R592" s="884">
        <v>-1449.4215476416759</v>
      </c>
      <c r="S592" s="884">
        <v>-2107.2764020354962</v>
      </c>
      <c r="T592" s="884">
        <v>-2548.6992191867475</v>
      </c>
      <c r="U592" s="884">
        <v>-2869.3119133615951</v>
      </c>
      <c r="V592" s="884"/>
      <c r="W592" s="885">
        <f t="shared" si="22"/>
        <v>-3.0647776496736445E-2</v>
      </c>
      <c r="X592" s="885">
        <f t="shared" si="22"/>
        <v>0.16873135276466433</v>
      </c>
      <c r="Y592" s="885">
        <f t="shared" si="22"/>
        <v>0.29758740266545303</v>
      </c>
      <c r="Z592" s="885">
        <f t="shared" si="22"/>
        <v>0.37936903324083704</v>
      </c>
    </row>
    <row r="593" spans="2:26" x14ac:dyDescent="0.55000000000000004">
      <c r="B593" s="568"/>
      <c r="C593" s="635"/>
      <c r="D593" s="635"/>
      <c r="E593" s="635"/>
      <c r="F593" s="635"/>
      <c r="G593" s="635"/>
      <c r="H593" s="635"/>
      <c r="I593" s="635"/>
      <c r="J593" s="635"/>
      <c r="K593" s="635"/>
      <c r="L593" s="635"/>
      <c r="M593" s="636"/>
      <c r="N593" s="636"/>
      <c r="O593" s="636"/>
      <c r="P593" s="636"/>
      <c r="Q593" s="635"/>
      <c r="R593" s="635"/>
      <c r="S593" s="635"/>
      <c r="T593" s="635"/>
      <c r="U593" s="635"/>
      <c r="V593" s="635"/>
      <c r="W593" s="636"/>
      <c r="X593" s="636"/>
      <c r="Y593" s="636"/>
      <c r="Z593" s="636"/>
    </row>
    <row r="594" spans="2:26" x14ac:dyDescent="0.55000000000000004">
      <c r="B594" s="886" t="s">
        <v>1078</v>
      </c>
      <c r="C594" s="884">
        <f>Master!G$13</f>
        <v>-3127</v>
      </c>
      <c r="D594" s="884">
        <f>Master!H$13</f>
        <v>-4549.9116505708153</v>
      </c>
      <c r="E594" s="884">
        <f>Master!I$13</f>
        <v>-5458.104806399926</v>
      </c>
      <c r="F594" s="884">
        <f>Master!J$13</f>
        <v>-6204.4487352435535</v>
      </c>
      <c r="G594" s="884"/>
      <c r="H594" s="884">
        <v>-3230.2526513612293</v>
      </c>
      <c r="I594" s="884">
        <v>-4330.0908831687029</v>
      </c>
      <c r="J594" s="884">
        <v>-4675.6745292480109</v>
      </c>
      <c r="K594" s="884">
        <v>-5200.1545948737148</v>
      </c>
      <c r="L594" s="884"/>
      <c r="M594" s="885">
        <f>C594/H594-1</f>
        <v>-3.1964264874983828E-2</v>
      </c>
      <c r="N594" s="885">
        <f>D594/I594-1</f>
        <v>5.0765855344184097E-2</v>
      </c>
      <c r="O594" s="885">
        <f>E594/J594-1</f>
        <v>0.16734062053668075</v>
      </c>
      <c r="P594" s="885">
        <f>F594/K594-1</f>
        <v>0.19312774688657663</v>
      </c>
      <c r="Q594" s="884"/>
      <c r="R594" s="884">
        <v>-3225.9586402852983</v>
      </c>
      <c r="S594" s="884">
        <v>-4303.4334188360763</v>
      </c>
      <c r="T594" s="884">
        <v>-4790.4604670794306</v>
      </c>
      <c r="U594" s="884">
        <v>-5409.5009767085321</v>
      </c>
      <c r="V594" s="884"/>
      <c r="W594" s="885">
        <f>C594/R594-1</f>
        <v>-3.0675731253810068E-2</v>
      </c>
      <c r="X594" s="885">
        <f>D594/S594-1</f>
        <v>5.7274786837855363E-2</v>
      </c>
      <c r="Y594" s="885">
        <f>E594/T594-1</f>
        <v>0.13936955411877849</v>
      </c>
      <c r="Z594" s="885">
        <f>F594/U594-1</f>
        <v>0.14695399112742491</v>
      </c>
    </row>
    <row r="595" spans="2:26" x14ac:dyDescent="0.55000000000000004">
      <c r="B595" s="568"/>
      <c r="C595" s="635"/>
      <c r="D595" s="635"/>
      <c r="E595" s="635"/>
      <c r="F595" s="635"/>
      <c r="G595" s="635"/>
      <c r="H595" s="635"/>
      <c r="I595" s="635"/>
      <c r="J595" s="635"/>
      <c r="K595" s="635"/>
      <c r="L595" s="635"/>
      <c r="M595" s="636"/>
      <c r="N595" s="636"/>
      <c r="O595" s="636"/>
      <c r="P595" s="636"/>
      <c r="Q595" s="635"/>
      <c r="R595" s="635"/>
      <c r="S595" s="635"/>
      <c r="T595" s="635"/>
      <c r="U595" s="635"/>
      <c r="V595" s="635"/>
      <c r="W595" s="636"/>
      <c r="X595" s="636"/>
      <c r="Y595" s="636"/>
      <c r="Z595" s="636"/>
    </row>
    <row r="596" spans="2:26" x14ac:dyDescent="0.55000000000000004">
      <c r="B596" s="886" t="s">
        <v>409</v>
      </c>
      <c r="C596" s="884">
        <f>Master!G$15</f>
        <v>1663.1710000000003</v>
      </c>
      <c r="D596" s="884">
        <f>Master!H$15</f>
        <v>3182.8955863716346</v>
      </c>
      <c r="E596" s="884">
        <f>Master!I$15</f>
        <v>4565.1962036227596</v>
      </c>
      <c r="F596" s="884">
        <f>Master!J$15</f>
        <v>6348.3063126606576</v>
      </c>
      <c r="G596" s="884"/>
      <c r="H596" s="884">
        <v>1571.3937961516222</v>
      </c>
      <c r="I596" s="884">
        <v>3161.1604807640742</v>
      </c>
      <c r="J596" s="884">
        <v>3497.2031545532182</v>
      </c>
      <c r="K596" s="884">
        <v>4925.466729347394</v>
      </c>
      <c r="L596" s="884"/>
      <c r="M596" s="885">
        <f>C596/H596-1</f>
        <v>5.8404967661920493E-2</v>
      </c>
      <c r="N596" s="885">
        <f>D596/I596-1</f>
        <v>6.8756729497980729E-3</v>
      </c>
      <c r="O596" s="885">
        <f>E596/J596-1</f>
        <v>0.30538490384210526</v>
      </c>
      <c r="P596" s="885">
        <f>F596/K596-1</f>
        <v>0.28887406239809987</v>
      </c>
      <c r="Q596" s="884"/>
      <c r="R596" s="884"/>
      <c r="S596" s="884"/>
      <c r="T596" s="884"/>
      <c r="U596" s="884"/>
      <c r="V596" s="884"/>
      <c r="W596" s="885"/>
      <c r="X596" s="885"/>
      <c r="Y596" s="885"/>
      <c r="Z596" s="885"/>
    </row>
    <row r="597" spans="2:26" x14ac:dyDescent="0.55000000000000004">
      <c r="B597" s="568"/>
      <c r="C597" s="635"/>
      <c r="D597" s="635"/>
      <c r="E597" s="635"/>
      <c r="F597" s="635"/>
      <c r="G597" s="635"/>
      <c r="H597" s="635"/>
      <c r="I597" s="635"/>
      <c r="J597" s="635"/>
      <c r="K597" s="635"/>
      <c r="L597" s="635"/>
      <c r="M597" s="636"/>
      <c r="N597" s="636"/>
      <c r="O597" s="636"/>
      <c r="P597" s="636"/>
      <c r="Q597" s="635"/>
      <c r="R597" s="635"/>
      <c r="S597" s="635"/>
      <c r="T597" s="635"/>
      <c r="U597" s="635"/>
      <c r="V597" s="635"/>
      <c r="W597" s="636"/>
      <c r="X597" s="636"/>
      <c r="Y597" s="636"/>
      <c r="Z597" s="636"/>
    </row>
    <row r="598" spans="2:26" hidden="1" x14ac:dyDescent="0.55000000000000004">
      <c r="B598" s="887" t="s">
        <v>11</v>
      </c>
      <c r="C598" s="888">
        <f>C584+C594</f>
        <v>1663.1710000000003</v>
      </c>
      <c r="D598" s="888">
        <f>D584+D594</f>
        <v>3182.8955863716346</v>
      </c>
      <c r="E598" s="888">
        <f>E584+E594</f>
        <v>4565.1962036227596</v>
      </c>
      <c r="F598" s="888">
        <f>F584+F594</f>
        <v>6348.3063126606576</v>
      </c>
      <c r="G598" s="888"/>
      <c r="H598" s="888">
        <v>1571.3937961516222</v>
      </c>
      <c r="I598" s="888">
        <v>3161.1604807640742</v>
      </c>
      <c r="J598" s="888">
        <v>3497.2031545532182</v>
      </c>
      <c r="K598" s="888">
        <v>4925.466729347394</v>
      </c>
      <c r="L598" s="888"/>
      <c r="M598" s="889">
        <f>C598/H598-1</f>
        <v>5.8404967661920493E-2</v>
      </c>
      <c r="N598" s="889">
        <f>D598/I598-1</f>
        <v>6.8756729497980729E-3</v>
      </c>
      <c r="O598" s="889">
        <f>E598/J598-1</f>
        <v>0.30538490384210526</v>
      </c>
      <c r="P598" s="889">
        <f>F598/K598-1</f>
        <v>0.28887406239809987</v>
      </c>
      <c r="Q598" s="888"/>
      <c r="R598" s="888">
        <f>R584+R594</f>
        <v>1546.262612970897</v>
      </c>
      <c r="S598" s="888">
        <f>S584+S594</f>
        <v>2631.8947188588199</v>
      </c>
      <c r="T598" s="888">
        <f>T584+T594</f>
        <v>4420.8938990583792</v>
      </c>
      <c r="U598" s="888">
        <f>U584+U594</f>
        <v>6734.5119885071836</v>
      </c>
      <c r="V598" s="888"/>
      <c r="W598" s="889">
        <f>C598/R598-1</f>
        <v>7.5607070913059626E-2</v>
      </c>
      <c r="X598" s="889">
        <f>D598/S598-1</f>
        <v>0.20935520846051414</v>
      </c>
      <c r="Y598" s="889">
        <f>E598/T598-1</f>
        <v>3.2640978919470598E-2</v>
      </c>
      <c r="Z598" s="889">
        <f>F598/U598-1</f>
        <v>-5.7347240082964768E-2</v>
      </c>
    </row>
    <row r="599" spans="2:26" hidden="1" x14ac:dyDescent="0.55000000000000004">
      <c r="B599" s="900"/>
      <c r="C599" s="899"/>
      <c r="D599" s="899"/>
      <c r="E599" s="899"/>
      <c r="F599" s="899"/>
      <c r="G599" s="899"/>
      <c r="H599" s="899"/>
      <c r="I599" s="899"/>
      <c r="J599" s="899"/>
      <c r="K599" s="899"/>
      <c r="L599" s="899"/>
      <c r="M599" s="859"/>
      <c r="N599" s="859"/>
      <c r="O599" s="859"/>
      <c r="P599" s="859"/>
      <c r="Q599" s="899"/>
      <c r="R599" s="899"/>
      <c r="S599" s="899"/>
      <c r="T599" s="899"/>
      <c r="U599" s="899"/>
      <c r="V599" s="899"/>
      <c r="W599" s="859"/>
      <c r="X599" s="859"/>
      <c r="Y599" s="859"/>
      <c r="Z599" s="859"/>
    </row>
    <row r="600" spans="2:26" x14ac:dyDescent="0.55000000000000004">
      <c r="B600" s="911" t="s">
        <v>97</v>
      </c>
      <c r="C600" s="912">
        <f>Master!G$40</f>
        <v>-1971</v>
      </c>
      <c r="D600" s="912">
        <f>Master!H$40</f>
        <v>-1885.7567526400758</v>
      </c>
      <c r="E600" s="912">
        <f>Master!I$40</f>
        <v>-2382.9706273750494</v>
      </c>
      <c r="F600" s="912">
        <f>Master!J$40</f>
        <v>-2890.5623616323965</v>
      </c>
      <c r="G600" s="912"/>
      <c r="H600" s="912">
        <v>-1632.9153380715225</v>
      </c>
      <c r="I600" s="912">
        <v>-2382.2179337306229</v>
      </c>
      <c r="J600" s="912">
        <v>-2394.65316135376</v>
      </c>
      <c r="K600" s="912">
        <v>-2744.0433788639202</v>
      </c>
      <c r="L600" s="912"/>
      <c r="M600" s="885">
        <f>C600/H600-1</f>
        <v>0.20704359500214897</v>
      </c>
      <c r="N600" s="885">
        <f>D600/I600-1</f>
        <v>-0.20840292320068066</v>
      </c>
      <c r="O600" s="885">
        <f>E600/J600-1</f>
        <v>-4.8785912579114576E-3</v>
      </c>
      <c r="P600" s="885">
        <f>F600/K600-1</f>
        <v>5.3395286640525841E-2</v>
      </c>
      <c r="Q600" s="912"/>
      <c r="R600" s="912">
        <v>-1695.9374627266197</v>
      </c>
      <c r="S600" s="912">
        <v>-2444.3755384835026</v>
      </c>
      <c r="T600" s="912">
        <v>-3175.0177522376439</v>
      </c>
      <c r="U600" s="912">
        <v>-4170.1362128686933</v>
      </c>
      <c r="V600" s="912"/>
      <c r="W600" s="885">
        <f>C600/R600-1</f>
        <v>0.16218908026900491</v>
      </c>
      <c r="X600" s="885">
        <f>D600/S600-1</f>
        <v>-0.22853230898800247</v>
      </c>
      <c r="Y600" s="885">
        <f>E600/T600-1</f>
        <v>-0.24946226656666304</v>
      </c>
      <c r="Z600" s="885">
        <f>F600/U600-1</f>
        <v>-0.30684221951494972</v>
      </c>
    </row>
    <row r="601" spans="2:26" x14ac:dyDescent="0.55000000000000004">
      <c r="B601" s="900"/>
      <c r="C601" s="899"/>
      <c r="D601" s="899"/>
      <c r="E601" s="899"/>
      <c r="F601" s="899"/>
      <c r="G601" s="899"/>
      <c r="H601" s="899"/>
      <c r="I601" s="899"/>
      <c r="J601" s="899"/>
      <c r="K601" s="899"/>
      <c r="L601" s="899"/>
      <c r="M601" s="859"/>
      <c r="N601" s="859"/>
      <c r="O601" s="859"/>
      <c r="P601" s="859"/>
      <c r="Q601" s="899"/>
      <c r="R601" s="899"/>
      <c r="S601" s="899"/>
      <c r="T601" s="899"/>
      <c r="U601" s="899"/>
      <c r="V601" s="899"/>
      <c r="W601" s="859"/>
      <c r="X601" s="859"/>
      <c r="Y601" s="859"/>
      <c r="Z601" s="859"/>
    </row>
    <row r="602" spans="2:26" x14ac:dyDescent="0.55000000000000004">
      <c r="B602" s="886" t="s">
        <v>779</v>
      </c>
      <c r="C602" s="884">
        <f>Master!G$42</f>
        <v>-307.82899999999972</v>
      </c>
      <c r="D602" s="884">
        <f>Master!H$42</f>
        <v>1297.1388337315589</v>
      </c>
      <c r="E602" s="884">
        <f>Master!I$42</f>
        <v>2182.2255762477103</v>
      </c>
      <c r="F602" s="884">
        <f>Master!J$42</f>
        <v>3457.7439510282611</v>
      </c>
      <c r="G602" s="884"/>
      <c r="H602" s="884">
        <v>-61.521541919900301</v>
      </c>
      <c r="I602" s="884">
        <v>778.94254703345132</v>
      </c>
      <c r="J602" s="884">
        <v>1102.5499931994582</v>
      </c>
      <c r="K602" s="884">
        <v>2181.4233504834738</v>
      </c>
      <c r="L602" s="884"/>
      <c r="M602" s="885">
        <f>C602/H602-1</f>
        <v>4.0035969579693944</v>
      </c>
      <c r="N602" s="885">
        <f>D602/I602-1</f>
        <v>0.66525610736198981</v>
      </c>
      <c r="O602" s="885">
        <f>E602/J602-1</f>
        <v>0.97925317646157017</v>
      </c>
      <c r="P602" s="885">
        <f>F602/K602-1</f>
        <v>0.58508615499229588</v>
      </c>
      <c r="Q602" s="884"/>
      <c r="R602" s="884">
        <v>-139.12992860471525</v>
      </c>
      <c r="S602" s="884">
        <v>281.78051508071525</v>
      </c>
      <c r="T602" s="884">
        <v>1120.0108712496331</v>
      </c>
      <c r="U602" s="884">
        <v>2305.2347321453499</v>
      </c>
      <c r="V602" s="884"/>
      <c r="W602" s="885">
        <f>C602/R602-1</f>
        <v>1.2125289870203173</v>
      </c>
      <c r="X602" s="885">
        <f>D602/S602-1</f>
        <v>3.6033659685801807</v>
      </c>
      <c r="Y602" s="885">
        <f>E602/T602-1</f>
        <v>0.94839678101778535</v>
      </c>
      <c r="Z602" s="885">
        <f>F602/U602-1</f>
        <v>0.49995308625700652</v>
      </c>
    </row>
    <row r="603" spans="2:26" x14ac:dyDescent="0.55000000000000004">
      <c r="B603" s="899"/>
      <c r="C603" s="899"/>
      <c r="D603" s="899"/>
      <c r="E603" s="899"/>
      <c r="F603" s="899"/>
      <c r="G603" s="899"/>
      <c r="H603" s="899"/>
      <c r="I603" s="899"/>
      <c r="J603" s="899"/>
      <c r="K603" s="899"/>
      <c r="L603" s="899"/>
      <c r="M603" s="859"/>
      <c r="N603" s="859"/>
      <c r="O603" s="859"/>
      <c r="P603" s="859"/>
      <c r="Q603" s="899"/>
      <c r="R603" s="899"/>
      <c r="S603" s="899"/>
      <c r="T603" s="899"/>
      <c r="U603" s="899"/>
      <c r="V603" s="899"/>
      <c r="W603" s="859"/>
      <c r="X603" s="859"/>
      <c r="Y603" s="859"/>
      <c r="Z603" s="859"/>
    </row>
    <row r="604" spans="2:26" x14ac:dyDescent="0.55000000000000004">
      <c r="B604" s="890" t="s">
        <v>14</v>
      </c>
      <c r="C604" s="890">
        <f>Master!G$56</f>
        <v>-363.82899999999972</v>
      </c>
      <c r="D604" s="890">
        <f>Master!H$56</f>
        <v>874.28470843288972</v>
      </c>
      <c r="E604" s="890">
        <f>Master!I$56</f>
        <v>1472.8902304990841</v>
      </c>
      <c r="F604" s="890">
        <f>Master!J$56</f>
        <v>2316.6884471889348</v>
      </c>
      <c r="G604" s="890"/>
      <c r="H604" s="890">
        <v>-81.521541919900301</v>
      </c>
      <c r="I604" s="890">
        <v>984.34033505271373</v>
      </c>
      <c r="J604" s="890">
        <v>1336.8538437147233</v>
      </c>
      <c r="K604" s="890">
        <v>2089.191913161394</v>
      </c>
      <c r="L604" s="890"/>
      <c r="M604" s="891">
        <f>C604/H604-1</f>
        <v>3.4629798631321655</v>
      </c>
      <c r="N604" s="891">
        <f>D604/I604-1</f>
        <v>-0.11180647861385284</v>
      </c>
      <c r="O604" s="891">
        <f>E604/J604-1</f>
        <v>0.10175860841029238</v>
      </c>
      <c r="P604" s="891">
        <f>F604/K604-1</f>
        <v>0.10889211881128236</v>
      </c>
      <c r="Q604" s="890"/>
      <c r="R604" s="890">
        <v>-102.6287875991295</v>
      </c>
      <c r="S604" s="890">
        <v>177.59898485703724</v>
      </c>
      <c r="T604" s="890">
        <v>718.4239750777657</v>
      </c>
      <c r="U604" s="890">
        <v>1515.3421148625555</v>
      </c>
      <c r="V604" s="890"/>
      <c r="W604" s="891">
        <f>C604/R604-1</f>
        <v>2.5450969314879224</v>
      </c>
      <c r="X604" s="891">
        <f>D604/S604-1</f>
        <v>3.9228023974161061</v>
      </c>
      <c r="Y604" s="891">
        <f>E604/T604-1</f>
        <v>1.0501685377908654</v>
      </c>
      <c r="Z604" s="891">
        <f>F604/U604-1</f>
        <v>0.5288220557369403</v>
      </c>
    </row>
    <row r="605" spans="2:26" x14ac:dyDescent="0.55000000000000004">
      <c r="B605" s="899"/>
      <c r="C605" s="899"/>
      <c r="D605" s="899"/>
      <c r="E605" s="899"/>
      <c r="F605" s="899"/>
      <c r="G605" s="899"/>
      <c r="H605" s="899"/>
      <c r="I605" s="899"/>
      <c r="J605" s="899"/>
      <c r="K605" s="899"/>
      <c r="L605" s="899"/>
      <c r="M605" s="859"/>
      <c r="N605" s="859"/>
      <c r="O605" s="859"/>
      <c r="P605" s="859"/>
      <c r="Q605" s="899"/>
      <c r="R605" s="899"/>
      <c r="S605" s="899"/>
      <c r="T605" s="899"/>
      <c r="U605" s="899"/>
      <c r="V605" s="899"/>
      <c r="W605" s="859"/>
      <c r="X605" s="859"/>
      <c r="Y605" s="859"/>
      <c r="Z605" s="859"/>
    </row>
    <row r="606" spans="2:26" x14ac:dyDescent="0.55000000000000004">
      <c r="B606" s="886" t="s">
        <v>780</v>
      </c>
      <c r="C606" s="884">
        <f>C608+C610</f>
        <v>9906</v>
      </c>
      <c r="D606" s="884">
        <f>D608+D610</f>
        <v>15291.799957861384</v>
      </c>
      <c r="E606" s="884">
        <f>E608+E610</f>
        <v>20732.457611271278</v>
      </c>
      <c r="F606" s="884">
        <f>F608+F610</f>
        <v>25933.257246574743</v>
      </c>
      <c r="G606" s="884"/>
      <c r="H606" s="884">
        <v>10471.374327208256</v>
      </c>
      <c r="I606" s="884">
        <v>15810.762742732695</v>
      </c>
      <c r="J606" s="884">
        <v>22840.779326053886</v>
      </c>
      <c r="K606" s="884">
        <v>29973.999098835324</v>
      </c>
      <c r="L606" s="884"/>
      <c r="M606" s="885">
        <f>C606/H606-1</f>
        <v>-5.3992370966933878E-2</v>
      </c>
      <c r="N606" s="885">
        <f>D606/I606-1</f>
        <v>-3.2823387038038332E-2</v>
      </c>
      <c r="O606" s="885">
        <f>E606/J606-1</f>
        <v>-9.2305156697420565E-2</v>
      </c>
      <c r="P606" s="885">
        <f>F606/K606-1</f>
        <v>-0.13480823292670308</v>
      </c>
      <c r="Q606" s="884"/>
      <c r="R606" s="884">
        <f>R608+R610</f>
        <v>10438.386047049447</v>
      </c>
      <c r="S606" s="884">
        <f>S608+S610</f>
        <v>15566.226703383643</v>
      </c>
      <c r="T606" s="884">
        <f>T608+T610</f>
        <v>19787.477355243114</v>
      </c>
      <c r="U606" s="884">
        <f>U608+U610</f>
        <v>23462.284452038155</v>
      </c>
      <c r="V606" s="884"/>
      <c r="W606" s="885">
        <f>C606/R606-1</f>
        <v>-5.1002716765771838E-2</v>
      </c>
      <c r="X606" s="885">
        <f>D606/S606-1</f>
        <v>-1.762962539037205E-2</v>
      </c>
      <c r="Y606" s="885">
        <f>E606/T606-1</f>
        <v>4.7756479467443214E-2</v>
      </c>
      <c r="Z606" s="885">
        <f>F606/U606-1</f>
        <v>0.10531680321188563</v>
      </c>
    </row>
    <row r="607" spans="2:26" x14ac:dyDescent="0.55000000000000004">
      <c r="B607" s="568"/>
      <c r="C607" s="656"/>
      <c r="D607" s="656"/>
      <c r="E607" s="656"/>
      <c r="F607" s="656"/>
      <c r="G607" s="656"/>
      <c r="H607" s="635"/>
      <c r="I607" s="635"/>
      <c r="J607" s="635"/>
      <c r="K607" s="635"/>
      <c r="L607" s="635"/>
      <c r="M607" s="636"/>
      <c r="N607" s="636"/>
      <c r="O607" s="636"/>
      <c r="P607" s="636"/>
      <c r="Q607" s="656"/>
      <c r="R607" s="635"/>
      <c r="S607" s="635"/>
      <c r="T607" s="635"/>
      <c r="U607" s="635"/>
      <c r="V607" s="635"/>
      <c r="W607" s="636"/>
      <c r="X607" s="636"/>
      <c r="Y607" s="636"/>
      <c r="Z607" s="636"/>
    </row>
    <row r="608" spans="2:26" x14ac:dyDescent="0.55000000000000004">
      <c r="B608" s="886" t="s">
        <v>106</v>
      </c>
      <c r="C608" s="884">
        <f>Master!G$154</f>
        <v>8233</v>
      </c>
      <c r="D608" s="884">
        <f>Master!H$154</f>
        <v>12218.016153236456</v>
      </c>
      <c r="E608" s="884">
        <f>Master!I$154</f>
        <v>16387.137596849418</v>
      </c>
      <c r="F608" s="884">
        <f>Master!J$154</f>
        <v>19903.781491858783</v>
      </c>
      <c r="G608" s="884"/>
      <c r="H608" s="884">
        <v>8359.1229538228581</v>
      </c>
      <c r="I608" s="884">
        <v>12527.156510783097</v>
      </c>
      <c r="J608" s="884">
        <v>16866.849292565999</v>
      </c>
      <c r="K608" s="884">
        <v>19638.275564903575</v>
      </c>
      <c r="L608" s="884"/>
      <c r="M608" s="885">
        <f>C608/H608-1</f>
        <v>-1.5088060615878196E-2</v>
      </c>
      <c r="N608" s="885">
        <f>D608/I608-1</f>
        <v>-2.4677615968199951E-2</v>
      </c>
      <c r="O608" s="885">
        <f>E608/J608-1</f>
        <v>-2.8441096934921473E-2</v>
      </c>
      <c r="P608" s="885">
        <f>F608/K608-1</f>
        <v>1.3519818788453319E-2</v>
      </c>
      <c r="Q608" s="884"/>
      <c r="R608" s="884">
        <v>8632.4909764426829</v>
      </c>
      <c r="S608" s="884">
        <v>12582.479197013976</v>
      </c>
      <c r="T608" s="884">
        <v>15520.601759852734</v>
      </c>
      <c r="U608" s="884">
        <v>16940.955523928635</v>
      </c>
      <c r="V608" s="884"/>
      <c r="W608" s="885">
        <f>C608/R608-1</f>
        <v>-4.627760139371806E-2</v>
      </c>
      <c r="X608" s="885">
        <f>D608/S608-1</f>
        <v>-2.8965916658460489E-2</v>
      </c>
      <c r="Y608" s="885">
        <f>E608/T608-1</f>
        <v>5.5831329893287984E-2</v>
      </c>
      <c r="Z608" s="885">
        <f>F608/U608-1</f>
        <v>0.17489131376003186</v>
      </c>
    </row>
    <row r="609" spans="2:26" x14ac:dyDescent="0.55000000000000004">
      <c r="B609" s="568"/>
      <c r="C609" s="656"/>
      <c r="D609" s="656"/>
      <c r="E609" s="656"/>
      <c r="F609" s="656"/>
      <c r="G609" s="656"/>
      <c r="H609" s="635"/>
      <c r="I609" s="635"/>
      <c r="J609" s="635"/>
      <c r="K609" s="635"/>
      <c r="L609" s="635"/>
      <c r="M609" s="636"/>
      <c r="N609" s="636"/>
      <c r="O609" s="636"/>
      <c r="P609" s="636"/>
      <c r="Q609" s="656"/>
      <c r="R609" s="635"/>
      <c r="S609" s="635"/>
      <c r="T609" s="635"/>
      <c r="U609" s="635"/>
      <c r="V609" s="635"/>
      <c r="W609" s="636"/>
      <c r="X609" s="636"/>
      <c r="Y609" s="636"/>
      <c r="Z609" s="636"/>
    </row>
    <row r="610" spans="2:26" x14ac:dyDescent="0.55000000000000004">
      <c r="B610" s="886" t="s">
        <v>107</v>
      </c>
      <c r="C610" s="884">
        <f>Master!G$155</f>
        <v>1673</v>
      </c>
      <c r="D610" s="884">
        <f>Master!H$155</f>
        <v>3073.7838046249276</v>
      </c>
      <c r="E610" s="884">
        <f>Master!I$155</f>
        <v>4345.3200144218608</v>
      </c>
      <c r="F610" s="884">
        <f>Master!J$155</f>
        <v>6029.4757547159606</v>
      </c>
      <c r="G610" s="884"/>
      <c r="H610" s="884">
        <v>2112.2513733853971</v>
      </c>
      <c r="I610" s="884">
        <v>3283.6062319495982</v>
      </c>
      <c r="J610" s="884">
        <v>5973.9300334878862</v>
      </c>
      <c r="K610" s="884">
        <v>10335.723533931749</v>
      </c>
      <c r="L610" s="884"/>
      <c r="M610" s="885">
        <f>C610/H610-1</f>
        <v>-0.20795411896520144</v>
      </c>
      <c r="N610" s="885">
        <f>D610/I610-1</f>
        <v>-6.3899996681420324E-2</v>
      </c>
      <c r="O610" s="885">
        <f>E610/J610-1</f>
        <v>-0.27261953352928026</v>
      </c>
      <c r="P610" s="885">
        <f>F610/K610-1</f>
        <v>-0.41663728379329767</v>
      </c>
      <c r="Q610" s="884"/>
      <c r="R610" s="884">
        <v>1805.8950706067651</v>
      </c>
      <c r="S610" s="884">
        <v>2983.7475063696675</v>
      </c>
      <c r="T610" s="884">
        <v>4266.8755953903801</v>
      </c>
      <c r="U610" s="884">
        <v>6521.3289281095203</v>
      </c>
      <c r="V610" s="884"/>
      <c r="W610" s="885">
        <f>C610/R610-1</f>
        <v>-7.3589586000760043E-2</v>
      </c>
      <c r="X610" s="885">
        <f>D610/S610-1</f>
        <v>3.0175575534810317E-2</v>
      </c>
      <c r="Y610" s="885">
        <f>E610/T610-1</f>
        <v>1.8384510463868686E-2</v>
      </c>
      <c r="Z610" s="885">
        <f>F610/U610-1</f>
        <v>-7.5422230471074214E-2</v>
      </c>
    </row>
    <row r="611" spans="2:26" x14ac:dyDescent="0.55000000000000004">
      <c r="B611" s="899"/>
      <c r="C611" s="899"/>
      <c r="D611" s="899"/>
      <c r="E611" s="899"/>
      <c r="F611" s="899"/>
      <c r="G611" s="899"/>
      <c r="H611" s="899"/>
      <c r="I611" s="899"/>
      <c r="J611" s="899"/>
      <c r="K611" s="899"/>
      <c r="L611" s="899"/>
      <c r="M611" s="859"/>
      <c r="N611" s="859"/>
      <c r="O611" s="859"/>
      <c r="P611" s="859"/>
      <c r="Q611" s="899"/>
      <c r="R611" s="899"/>
      <c r="S611" s="899"/>
      <c r="T611" s="899"/>
      <c r="U611" s="899"/>
      <c r="V611" s="899"/>
      <c r="W611" s="859"/>
      <c r="X611" s="859"/>
      <c r="Y611" s="859"/>
      <c r="Z611" s="859"/>
    </row>
    <row r="612" spans="2:26" x14ac:dyDescent="0.55000000000000004">
      <c r="B612" s="894" t="s">
        <v>782</v>
      </c>
      <c r="C612" s="895">
        <f>'Revenue and Expenses breakdown'!F$41</f>
        <v>115</v>
      </c>
      <c r="D612" s="895">
        <f>'Revenue and Expenses breakdown'!G$41</f>
        <v>166.13757176841568</v>
      </c>
      <c r="E612" s="895">
        <f>'Revenue and Expenses breakdown'!H$41</f>
        <v>231.51684240564978</v>
      </c>
      <c r="F612" s="895">
        <f>'Revenue and Expenses breakdown'!I$41</f>
        <v>322.71638885492803</v>
      </c>
      <c r="G612" s="892"/>
      <c r="H612" s="890">
        <v>234.47768239092437</v>
      </c>
      <c r="I612" s="890">
        <v>427.3113355715447</v>
      </c>
      <c r="J612" s="890">
        <v>526.10601492238698</v>
      </c>
      <c r="K612" s="890">
        <v>631.2513108224249</v>
      </c>
      <c r="L612" s="890"/>
      <c r="M612" s="891">
        <f>C612/H612-1</f>
        <v>-0.50954820592148964</v>
      </c>
      <c r="N612" s="891">
        <f>D612/I612-1</f>
        <v>-0.61120251690444727</v>
      </c>
      <c r="O612" s="891">
        <f>E612/J612-1</f>
        <v>-0.55994260502837245</v>
      </c>
      <c r="P612" s="891">
        <f>F612/K612-1</f>
        <v>-0.48876717826616878</v>
      </c>
      <c r="Q612" s="892"/>
      <c r="R612" s="890"/>
      <c r="S612" s="890"/>
      <c r="T612" s="890"/>
      <c r="U612" s="890"/>
      <c r="V612" s="890"/>
      <c r="W612" s="891"/>
      <c r="X612" s="891"/>
      <c r="Y612" s="891"/>
      <c r="Z612" s="891"/>
    </row>
    <row r="613" spans="2:26" x14ac:dyDescent="0.55000000000000004">
      <c r="B613" s="568"/>
      <c r="C613" s="656"/>
      <c r="D613" s="656"/>
      <c r="E613" s="656"/>
      <c r="F613" s="656"/>
      <c r="G613" s="656"/>
      <c r="H613" s="635"/>
      <c r="I613" s="635"/>
      <c r="J613" s="635"/>
      <c r="K613" s="635"/>
      <c r="L613" s="635"/>
      <c r="M613" s="636"/>
      <c r="N613" s="636"/>
      <c r="O613" s="636"/>
      <c r="P613" s="636"/>
      <c r="Q613" s="656"/>
      <c r="R613" s="635"/>
      <c r="S613" s="635"/>
      <c r="T613" s="635"/>
      <c r="U613" s="635"/>
      <c r="V613" s="635"/>
      <c r="W613" s="636"/>
      <c r="X613" s="636"/>
      <c r="Y613" s="636"/>
      <c r="Z613" s="636"/>
    </row>
    <row r="614" spans="2:26" x14ac:dyDescent="0.55000000000000004">
      <c r="B614" s="886" t="s">
        <v>47</v>
      </c>
      <c r="C614" s="884">
        <f>Master!G$173</f>
        <v>15808</v>
      </c>
      <c r="D614" s="884">
        <f>Master!H$173</f>
        <v>20856.916775599129</v>
      </c>
      <c r="E614" s="884">
        <f>Master!I$173</f>
        <v>25060.774268441615</v>
      </c>
      <c r="F614" s="884">
        <f>Master!J$173</f>
        <v>31360.455139591166</v>
      </c>
      <c r="G614" s="892"/>
      <c r="H614" s="884">
        <v>16336.449917662811</v>
      </c>
      <c r="I614" s="884">
        <v>21772.057311935358</v>
      </c>
      <c r="J614" s="884">
        <v>26092.64352372209</v>
      </c>
      <c r="K614" s="884">
        <v>30930.119249378458</v>
      </c>
      <c r="L614" s="884"/>
      <c r="M614" s="885">
        <f>C614/H614-1</f>
        <v>-3.2347904246408876E-2</v>
      </c>
      <c r="N614" s="885">
        <f>D614/I614-1</f>
        <v>-4.2032800264334758E-2</v>
      </c>
      <c r="O614" s="885">
        <f>E614/J614-1</f>
        <v>-3.9546366942174838E-2</v>
      </c>
      <c r="P614" s="885">
        <f>F614/K614-1</f>
        <v>1.3913166216497963E-2</v>
      </c>
      <c r="Q614" s="892"/>
      <c r="R614" s="884">
        <v>16090.09939264274</v>
      </c>
      <c r="S614" s="884">
        <v>20575.2299862377</v>
      </c>
      <c r="T614" s="884">
        <v>26073.274598623851</v>
      </c>
      <c r="U614" s="884">
        <v>32221.245337023276</v>
      </c>
      <c r="V614" s="884"/>
      <c r="W614" s="885">
        <f>C614/R614-1</f>
        <v>-1.7532482911307046E-2</v>
      </c>
      <c r="X614" s="885">
        <f>D614/S614-1</f>
        <v>1.3690577920628E-2</v>
      </c>
      <c r="Y614" s="885">
        <f>E614/T614-1</f>
        <v>-3.8832879481723204E-2</v>
      </c>
      <c r="Z614" s="885">
        <f>F614/U614-1</f>
        <v>-2.6714988462690936E-2</v>
      </c>
    </row>
    <row r="615" spans="2:26" x14ac:dyDescent="0.55000000000000004">
      <c r="B615" s="899"/>
      <c r="C615" s="899"/>
      <c r="D615" s="899"/>
      <c r="E615" s="899"/>
      <c r="F615" s="899"/>
      <c r="G615" s="899"/>
      <c r="H615" s="899"/>
      <c r="I615" s="899"/>
      <c r="J615" s="899"/>
      <c r="K615" s="899"/>
      <c r="L615" s="899"/>
      <c r="M615" s="859"/>
      <c r="N615" s="859"/>
      <c r="O615" s="859"/>
      <c r="P615" s="859"/>
      <c r="Q615" s="899"/>
      <c r="V615" s="899"/>
      <c r="W615" s="859"/>
      <c r="X615" s="859"/>
      <c r="Y615" s="859"/>
      <c r="Z615" s="859"/>
    </row>
    <row r="616" spans="2:26" x14ac:dyDescent="0.55000000000000004">
      <c r="B616" s="882" t="s">
        <v>781</v>
      </c>
      <c r="C616" s="896">
        <f>Valuation!G$9</f>
        <v>8.0563731560657796</v>
      </c>
      <c r="D616" s="890"/>
      <c r="E616" s="890"/>
      <c r="F616" s="890"/>
      <c r="G616" s="890"/>
      <c r="H616" s="897">
        <v>7.5143405865355222</v>
      </c>
      <c r="I616" s="890"/>
      <c r="J616" s="890"/>
      <c r="K616" s="890"/>
      <c r="L616" s="890"/>
      <c r="M616" s="891">
        <f>C616/H616-1</f>
        <v>7.2133085170705602E-2</v>
      </c>
      <c r="N616" s="891"/>
      <c r="O616" s="891"/>
      <c r="P616" s="891"/>
      <c r="Q616" s="890"/>
      <c r="R616" s="890"/>
      <c r="S616" s="890"/>
      <c r="T616" s="890"/>
      <c r="U616" s="890"/>
      <c r="V616" s="890"/>
      <c r="W616" s="891"/>
      <c r="X616" s="891"/>
      <c r="Y616" s="891"/>
      <c r="Z616" s="891"/>
    </row>
    <row r="619" spans="2:26" x14ac:dyDescent="0.55000000000000004">
      <c r="B619" s="861" t="s">
        <v>1194</v>
      </c>
    </row>
    <row r="620" spans="2:26" x14ac:dyDescent="0.55000000000000004">
      <c r="B620" s="685"/>
      <c r="C620" s="1240" t="s">
        <v>777</v>
      </c>
      <c r="D620" s="1240"/>
      <c r="E620" s="1240"/>
      <c r="F620" s="1240"/>
      <c r="G620" s="1240"/>
      <c r="H620" s="1240" t="s">
        <v>1192</v>
      </c>
      <c r="I620" s="1240"/>
      <c r="J620" s="1240"/>
      <c r="K620" s="1240"/>
      <c r="L620" s="898"/>
      <c r="M620" s="685" t="s">
        <v>778</v>
      </c>
      <c r="N620" s="685" t="s">
        <v>778</v>
      </c>
      <c r="O620" s="685" t="s">
        <v>778</v>
      </c>
      <c r="P620" s="685" t="s">
        <v>778</v>
      </c>
      <c r="R620" s="1240" t="s">
        <v>1022</v>
      </c>
      <c r="S620" s="1240"/>
      <c r="T620" s="1240"/>
      <c r="U620" s="1240"/>
      <c r="V620" s="898"/>
      <c r="W620" s="685" t="s">
        <v>778</v>
      </c>
      <c r="X620" s="685" t="s">
        <v>778</v>
      </c>
      <c r="Y620" s="685" t="s">
        <v>778</v>
      </c>
      <c r="Z620" s="685" t="s">
        <v>778</v>
      </c>
    </row>
    <row r="621" spans="2:26" x14ac:dyDescent="0.55000000000000004">
      <c r="B621" s="597" t="s">
        <v>156</v>
      </c>
      <c r="C621" s="597">
        <v>2022</v>
      </c>
      <c r="D621" s="597">
        <f>C621+1</f>
        <v>2023</v>
      </c>
      <c r="E621" s="597">
        <f>D621+1</f>
        <v>2024</v>
      </c>
      <c r="F621" s="597">
        <f>E621+1</f>
        <v>2025</v>
      </c>
      <c r="G621" s="597"/>
      <c r="H621" s="597">
        <f>C621</f>
        <v>2022</v>
      </c>
      <c r="I621" s="597">
        <f>D621</f>
        <v>2023</v>
      </c>
      <c r="J621" s="597">
        <f>E621</f>
        <v>2024</v>
      </c>
      <c r="K621" s="597">
        <f>F621</f>
        <v>2025</v>
      </c>
      <c r="L621" s="597"/>
      <c r="M621" s="597">
        <f>H621</f>
        <v>2022</v>
      </c>
      <c r="N621" s="597">
        <f>I621</f>
        <v>2023</v>
      </c>
      <c r="O621" s="597">
        <f>J621</f>
        <v>2024</v>
      </c>
      <c r="P621" s="597">
        <f>K621</f>
        <v>2025</v>
      </c>
      <c r="Q621" s="597"/>
      <c r="R621" s="597">
        <f>M621</f>
        <v>2022</v>
      </c>
      <c r="S621" s="597">
        <f>N621</f>
        <v>2023</v>
      </c>
      <c r="T621" s="597">
        <f>O621</f>
        <v>2024</v>
      </c>
      <c r="U621" s="597">
        <f>P621</f>
        <v>2025</v>
      </c>
      <c r="V621" s="597"/>
      <c r="W621" s="597">
        <f>R621</f>
        <v>2022</v>
      </c>
      <c r="X621" s="597">
        <f>S621</f>
        <v>2023</v>
      </c>
      <c r="Y621" s="597">
        <f>T621</f>
        <v>2024</v>
      </c>
      <c r="Z621" s="597">
        <f>U621</f>
        <v>2025</v>
      </c>
    </row>
    <row r="622" spans="2:26" x14ac:dyDescent="0.55000000000000004">
      <c r="B622" s="883" t="s">
        <v>357</v>
      </c>
      <c r="C622" s="884">
        <f>Master!G$4</f>
        <v>4790.1710000000003</v>
      </c>
      <c r="D622" s="884">
        <f>Master!H$4</f>
        <v>7732.8072369424499</v>
      </c>
      <c r="E622" s="884">
        <f>Master!I$4</f>
        <v>10023.301010022686</v>
      </c>
      <c r="F622" s="884">
        <f>Master!J$4</f>
        <v>12552.755047904211</v>
      </c>
      <c r="G622" s="884"/>
      <c r="H622" s="884">
        <v>4778.8745818130992</v>
      </c>
      <c r="I622" s="884">
        <v>7209.6738749430733</v>
      </c>
      <c r="J622" s="884">
        <v>8858.0500207860696</v>
      </c>
      <c r="K622" s="884">
        <v>10756.44875716374</v>
      </c>
      <c r="L622" s="884"/>
      <c r="M622" s="885">
        <f>C622/H622-1</f>
        <v>2.3638239492393964E-3</v>
      </c>
      <c r="N622" s="885">
        <f>D622/I622-1</f>
        <v>7.2559920333914896E-2</v>
      </c>
      <c r="O622" s="885">
        <f>E622/J622-1</f>
        <v>0.13154712227886134</v>
      </c>
      <c r="P622" s="885">
        <f>F622/K622-1</f>
        <v>0.16699808006282191</v>
      </c>
      <c r="Q622" s="884"/>
      <c r="R622" s="884">
        <v>4772.2212532561953</v>
      </c>
      <c r="S622" s="884">
        <v>6935.3281376948962</v>
      </c>
      <c r="T622" s="884">
        <v>9211.3543661378098</v>
      </c>
      <c r="U622" s="884">
        <v>12144.012965215716</v>
      </c>
      <c r="V622" s="884"/>
      <c r="W622" s="885">
        <f>C622/R622-1</f>
        <v>3.7612981023369407E-3</v>
      </c>
      <c r="X622" s="885">
        <f>D622/S622-1</f>
        <v>0.11498794050033401</v>
      </c>
      <c r="Y622" s="885">
        <f>E622/T622-1</f>
        <v>8.814628246956846E-2</v>
      </c>
      <c r="Z622" s="885">
        <f>F622/U622-1</f>
        <v>3.3657908951453042E-2</v>
      </c>
    </row>
    <row r="623" spans="2:26" x14ac:dyDescent="0.55000000000000004">
      <c r="B623" s="899"/>
      <c r="C623" s="899"/>
      <c r="D623" s="899"/>
      <c r="E623" s="899"/>
      <c r="F623" s="899"/>
      <c r="G623" s="899"/>
      <c r="H623" s="899"/>
      <c r="I623" s="899"/>
      <c r="J623" s="899"/>
      <c r="K623" s="899"/>
      <c r="L623" s="899"/>
      <c r="M623" s="859"/>
      <c r="N623" s="859"/>
      <c r="O623" s="859"/>
      <c r="P623" s="859"/>
      <c r="Q623" s="899"/>
      <c r="R623" s="899"/>
      <c r="S623" s="899"/>
      <c r="T623" s="899"/>
      <c r="U623" s="899"/>
      <c r="V623" s="899"/>
      <c r="W623" s="859"/>
      <c r="X623" s="859"/>
      <c r="Y623" s="859"/>
      <c r="Z623" s="859"/>
    </row>
    <row r="624" spans="2:26" x14ac:dyDescent="0.55000000000000004">
      <c r="B624" s="886" t="s">
        <v>1077</v>
      </c>
      <c r="C624" s="884">
        <f>Master!G$5</f>
        <v>3555.1709999999998</v>
      </c>
      <c r="D624" s="884">
        <f>Master!H$5</f>
        <v>6136.3464197242847</v>
      </c>
      <c r="E624" s="884">
        <f>Master!I$5</f>
        <v>8015.8005110030226</v>
      </c>
      <c r="F624" s="884">
        <f>Master!J$5</f>
        <v>9840.4789014433009</v>
      </c>
      <c r="G624" s="884"/>
      <c r="H624" s="884">
        <v>3549.0852332152072</v>
      </c>
      <c r="I624" s="884">
        <v>5656.6322065825498</v>
      </c>
      <c r="J624" s="884">
        <v>6833.8492535499026</v>
      </c>
      <c r="K624" s="884">
        <v>8282.6637740697697</v>
      </c>
      <c r="L624" s="884"/>
      <c r="M624" s="885">
        <f t="shared" ref="M624:P626" si="23">C624/H624-1</f>
        <v>1.7147423589147781E-3</v>
      </c>
      <c r="N624" s="885">
        <f t="shared" si="23"/>
        <v>8.4805622077302134E-2</v>
      </c>
      <c r="O624" s="885">
        <f t="shared" si="23"/>
        <v>0.17295541847651164</v>
      </c>
      <c r="P624" s="885">
        <f t="shared" si="23"/>
        <v>0.18808141557677693</v>
      </c>
      <c r="Q624" s="884"/>
      <c r="R624" s="884">
        <v>3527.9310268281538</v>
      </c>
      <c r="S624" s="884">
        <v>5082.2932809793001</v>
      </c>
      <c r="T624" s="884">
        <v>6521.4947904133323</v>
      </c>
      <c r="U624" s="884">
        <v>8333.6049541390475</v>
      </c>
      <c r="V624" s="884"/>
      <c r="W624" s="885">
        <f t="shared" ref="W624:Z625" si="24">C624/R624-1</f>
        <v>7.7212317827926036E-3</v>
      </c>
      <c r="X624" s="885">
        <f t="shared" si="24"/>
        <v>0.20739714937149012</v>
      </c>
      <c r="Y624" s="885">
        <f t="shared" si="24"/>
        <v>0.22913546182484668</v>
      </c>
      <c r="Z624" s="885">
        <f t="shared" si="24"/>
        <v>0.180818979972867</v>
      </c>
    </row>
    <row r="625" spans="2:26" x14ac:dyDescent="0.55000000000000004">
      <c r="B625" s="568" t="s">
        <v>88</v>
      </c>
      <c r="C625" s="635" t="e">
        <f>Master!G$6+C626</f>
        <v>#REF!</v>
      </c>
      <c r="D625" s="635" t="e">
        <f>Master!H$6+D626</f>
        <v>#REF!</v>
      </c>
      <c r="E625" s="635" t="e">
        <f>Master!I$6+E626</f>
        <v>#REF!</v>
      </c>
      <c r="F625" s="635" t="e">
        <f>Master!J$6+F626</f>
        <v>#REF!</v>
      </c>
      <c r="G625" s="635"/>
      <c r="H625" s="635">
        <v>1229.7893485978921</v>
      </c>
      <c r="I625" s="635">
        <v>1553.0416683605238</v>
      </c>
      <c r="J625" s="635">
        <v>2024.2007672361658</v>
      </c>
      <c r="K625" s="635">
        <v>2473.7849830939713</v>
      </c>
      <c r="L625" s="635"/>
      <c r="M625" s="636" t="e">
        <f t="shared" si="23"/>
        <v>#REF!</v>
      </c>
      <c r="N625" s="636" t="e">
        <f t="shared" si="23"/>
        <v>#REF!</v>
      </c>
      <c r="O625" s="636" t="e">
        <f t="shared" si="23"/>
        <v>#REF!</v>
      </c>
      <c r="P625" s="636" t="e">
        <f t="shared" si="23"/>
        <v>#REF!</v>
      </c>
      <c r="Q625" s="635"/>
      <c r="R625" s="635">
        <v>1244.2902264280419</v>
      </c>
      <c r="S625" s="635">
        <v>1853.0348567155961</v>
      </c>
      <c r="T625" s="635">
        <v>2689.8595757244775</v>
      </c>
      <c r="U625" s="635">
        <v>3810.4080110766677</v>
      </c>
      <c r="V625" s="635"/>
      <c r="W625" s="636" t="e">
        <f t="shared" si="24"/>
        <v>#REF!</v>
      </c>
      <c r="X625" s="636" t="e">
        <f t="shared" si="24"/>
        <v>#REF!</v>
      </c>
      <c r="Y625" s="636" t="e">
        <f t="shared" si="24"/>
        <v>#REF!</v>
      </c>
      <c r="Z625" s="636" t="e">
        <f t="shared" si="24"/>
        <v>#REF!</v>
      </c>
    </row>
    <row r="626" spans="2:26" x14ac:dyDescent="0.55000000000000004">
      <c r="B626" s="886" t="s">
        <v>363</v>
      </c>
      <c r="C626" s="884" t="e">
        <f>Master!#REF!</f>
        <v>#REF!</v>
      </c>
      <c r="D626" s="884" t="e">
        <f>Master!#REF!</f>
        <v>#REF!</v>
      </c>
      <c r="E626" s="884" t="e">
        <f>Master!#REF!</f>
        <v>#REF!</v>
      </c>
      <c r="F626" s="884" t="e">
        <f>Master!#REF!</f>
        <v>#REF!</v>
      </c>
      <c r="G626" s="884"/>
      <c r="H626" s="884">
        <v>227.47834858821017</v>
      </c>
      <c r="I626" s="884">
        <v>357.6111217317569</v>
      </c>
      <c r="J626" s="884">
        <v>443.62564429674171</v>
      </c>
      <c r="K626" s="884">
        <v>536.64900975340436</v>
      </c>
      <c r="L626" s="884"/>
      <c r="M626" s="885" t="e">
        <f t="shared" si="23"/>
        <v>#REF!</v>
      </c>
      <c r="N626" s="885" t="e">
        <f t="shared" si="23"/>
        <v>#REF!</v>
      </c>
      <c r="O626" s="885" t="e">
        <f t="shared" si="23"/>
        <v>#REF!</v>
      </c>
      <c r="P626" s="885" t="e">
        <f t="shared" si="23"/>
        <v>#REF!</v>
      </c>
      <c r="Q626" s="884"/>
      <c r="R626" s="884"/>
      <c r="S626" s="884"/>
      <c r="T626" s="884"/>
      <c r="U626" s="884"/>
      <c r="V626" s="884"/>
      <c r="W626" s="885"/>
      <c r="X626" s="885"/>
      <c r="Y626" s="885"/>
      <c r="Z626" s="885"/>
    </row>
    <row r="627" spans="2:26" x14ac:dyDescent="0.55000000000000004">
      <c r="B627" s="568"/>
      <c r="C627" s="635"/>
      <c r="D627" s="635"/>
      <c r="E627" s="635"/>
      <c r="F627" s="635"/>
      <c r="G627" s="635"/>
      <c r="H627" s="635"/>
      <c r="I627" s="635"/>
      <c r="J627" s="635"/>
      <c r="K627" s="635"/>
      <c r="L627" s="635"/>
      <c r="M627" s="636"/>
      <c r="N627" s="636"/>
      <c r="O627" s="636"/>
      <c r="P627" s="636"/>
      <c r="Q627" s="635"/>
      <c r="R627" s="635"/>
      <c r="S627" s="635"/>
      <c r="T627" s="635"/>
      <c r="U627" s="635"/>
      <c r="V627" s="635"/>
      <c r="W627" s="636"/>
      <c r="X627" s="636"/>
      <c r="Y627" s="636"/>
      <c r="Z627" s="636"/>
    </row>
    <row r="628" spans="2:26" x14ac:dyDescent="0.55000000000000004">
      <c r="B628" s="886" t="s">
        <v>89</v>
      </c>
      <c r="C628" s="884">
        <f>Master!G$8</f>
        <v>-1548</v>
      </c>
      <c r="D628" s="884">
        <f>Master!H$8</f>
        <v>-1869.5716505708156</v>
      </c>
      <c r="E628" s="884">
        <f>Master!I$8</f>
        <v>-1868.1948063999262</v>
      </c>
      <c r="F628" s="884">
        <f>Master!J$8</f>
        <v>-1921.4462352435539</v>
      </c>
      <c r="G628" s="884"/>
      <c r="H628" s="884">
        <v>-1592.3160871774749</v>
      </c>
      <c r="I628" s="884">
        <v>-1964.7321618679778</v>
      </c>
      <c r="J628" s="884">
        <v>-2065.7614362091981</v>
      </c>
      <c r="K628" s="884">
        <v>-2083.705488072877</v>
      </c>
      <c r="L628" s="884"/>
      <c r="M628" s="885">
        <f t="shared" ref="M628:P630" si="25">C628/H628-1</f>
        <v>-2.7831212366904556E-2</v>
      </c>
      <c r="N628" s="885">
        <f t="shared" si="25"/>
        <v>-4.8434342931856889E-2</v>
      </c>
      <c r="O628" s="885">
        <f t="shared" si="25"/>
        <v>-9.5638647496401719E-2</v>
      </c>
      <c r="P628" s="885">
        <f t="shared" si="25"/>
        <v>-7.7870531012225297E-2</v>
      </c>
      <c r="Q628" s="884"/>
      <c r="R628" s="884">
        <v>-1601.7157778955</v>
      </c>
      <c r="S628" s="884">
        <v>-1963.9413885220699</v>
      </c>
      <c r="T628" s="884">
        <v>-1951.9302742156699</v>
      </c>
      <c r="U628" s="884">
        <v>-2202.2132020629601</v>
      </c>
      <c r="V628" s="884"/>
      <c r="W628" s="885">
        <f t="shared" ref="W628:Z630" si="26">C628/R628-1</f>
        <v>-3.3536398053141014E-2</v>
      </c>
      <c r="X628" s="885">
        <f t="shared" si="26"/>
        <v>-4.8051198728629396E-2</v>
      </c>
      <c r="Y628" s="885">
        <f t="shared" si="26"/>
        <v>-4.2898800700957751E-2</v>
      </c>
      <c r="Z628" s="885">
        <f t="shared" si="26"/>
        <v>-0.12749309038579604</v>
      </c>
    </row>
    <row r="629" spans="2:26" x14ac:dyDescent="0.55000000000000004">
      <c r="B629" s="568" t="s">
        <v>601</v>
      </c>
      <c r="C629" s="635">
        <f>Master!G$10</f>
        <v>-174</v>
      </c>
      <c r="D629" s="635">
        <f>Master!H$10</f>
        <v>-217.5</v>
      </c>
      <c r="E629" s="635">
        <f>Master!I$10</f>
        <v>-282.75</v>
      </c>
      <c r="F629" s="635">
        <f>Master!J$10</f>
        <v>-325.16249999999997</v>
      </c>
      <c r="G629" s="635"/>
      <c r="H629" s="635">
        <v>-180</v>
      </c>
      <c r="I629" s="635">
        <v>-225</v>
      </c>
      <c r="J629" s="635">
        <v>-292.5</v>
      </c>
      <c r="K629" s="635">
        <v>-336.375</v>
      </c>
      <c r="L629" s="635"/>
      <c r="M629" s="636">
        <f t="shared" si="25"/>
        <v>-3.3333333333333326E-2</v>
      </c>
      <c r="N629" s="636">
        <f t="shared" si="25"/>
        <v>-3.3333333333333326E-2</v>
      </c>
      <c r="O629" s="636">
        <f t="shared" si="25"/>
        <v>-3.3333333333333326E-2</v>
      </c>
      <c r="P629" s="636">
        <f t="shared" si="25"/>
        <v>-3.3333333333333437E-2</v>
      </c>
      <c r="Q629" s="635"/>
      <c r="R629" s="635">
        <v>-174.8213147481186</v>
      </c>
      <c r="S629" s="635">
        <v>-232.2156282785138</v>
      </c>
      <c r="T629" s="635">
        <v>-289.83097367701077</v>
      </c>
      <c r="U629" s="635">
        <v>-337.97586128397751</v>
      </c>
      <c r="V629" s="635"/>
      <c r="W629" s="636">
        <f t="shared" si="26"/>
        <v>-4.6980240899225922E-3</v>
      </c>
      <c r="X629" s="636">
        <f t="shared" si="26"/>
        <v>-6.3370533618281044E-2</v>
      </c>
      <c r="Y629" s="636">
        <f t="shared" si="26"/>
        <v>-2.4431390431382427E-2</v>
      </c>
      <c r="Z629" s="636">
        <f t="shared" si="26"/>
        <v>-3.7912060451001817E-2</v>
      </c>
    </row>
    <row r="630" spans="2:26" x14ac:dyDescent="0.55000000000000004">
      <c r="B630" s="886" t="s">
        <v>90</v>
      </c>
      <c r="C630" s="884">
        <f>Master!G$12</f>
        <v>-1405</v>
      </c>
      <c r="D630" s="884">
        <f>Master!H$12</f>
        <v>-2462.84</v>
      </c>
      <c r="E630" s="884">
        <f>Master!I$12</f>
        <v>-3307.16</v>
      </c>
      <c r="F630" s="884">
        <f>Master!J$12</f>
        <v>-3957.8399999999997</v>
      </c>
      <c r="G630" s="884"/>
      <c r="H630" s="884">
        <v>-1401.28</v>
      </c>
      <c r="I630" s="884">
        <v>-2117.84</v>
      </c>
      <c r="J630" s="884">
        <v>-2692.16</v>
      </c>
      <c r="K630" s="884">
        <v>-3225.34</v>
      </c>
      <c r="L630" s="884"/>
      <c r="M630" s="885">
        <f t="shared" si="25"/>
        <v>2.6547156885132761E-3</v>
      </c>
      <c r="N630" s="885">
        <f t="shared" si="25"/>
        <v>0.16290182450043433</v>
      </c>
      <c r="O630" s="885">
        <f t="shared" si="25"/>
        <v>0.22844110305479615</v>
      </c>
      <c r="P630" s="885">
        <f t="shared" si="25"/>
        <v>0.22710783979363391</v>
      </c>
      <c r="Q630" s="884"/>
      <c r="R630" s="884">
        <v>-1449.4215476416759</v>
      </c>
      <c r="S630" s="884">
        <v>-2107.2764020354962</v>
      </c>
      <c r="T630" s="884">
        <v>-2548.6992191867475</v>
      </c>
      <c r="U630" s="884">
        <v>-2869.3119133615951</v>
      </c>
      <c r="V630" s="884"/>
      <c r="W630" s="885">
        <f t="shared" si="26"/>
        <v>-3.0647776496736445E-2</v>
      </c>
      <c r="X630" s="885">
        <f t="shared" si="26"/>
        <v>0.16873135276466433</v>
      </c>
      <c r="Y630" s="885">
        <f t="shared" si="26"/>
        <v>0.29758740266545303</v>
      </c>
      <c r="Z630" s="885">
        <f t="shared" si="26"/>
        <v>0.37936903324083704</v>
      </c>
    </row>
    <row r="631" spans="2:26" x14ac:dyDescent="0.55000000000000004">
      <c r="B631" s="568"/>
      <c r="C631" s="635"/>
      <c r="D631" s="635"/>
      <c r="E631" s="635"/>
      <c r="F631" s="635"/>
      <c r="G631" s="635"/>
      <c r="H631" s="635"/>
      <c r="I631" s="635"/>
      <c r="J631" s="635"/>
      <c r="K631" s="635"/>
      <c r="L631" s="635"/>
      <c r="M631" s="636"/>
      <c r="N631" s="636"/>
      <c r="O631" s="636"/>
      <c r="P631" s="636"/>
      <c r="Q631" s="635"/>
      <c r="R631" s="635"/>
      <c r="S631" s="635"/>
      <c r="T631" s="635"/>
      <c r="U631" s="635"/>
      <c r="V631" s="635"/>
      <c r="W631" s="636"/>
      <c r="X631" s="636"/>
      <c r="Y631" s="636"/>
      <c r="Z631" s="636"/>
    </row>
    <row r="632" spans="2:26" x14ac:dyDescent="0.55000000000000004">
      <c r="B632" s="886" t="s">
        <v>1078</v>
      </c>
      <c r="C632" s="884">
        <f>Master!G$13</f>
        <v>-3127</v>
      </c>
      <c r="D632" s="884">
        <f>Master!H$13</f>
        <v>-4549.9116505708153</v>
      </c>
      <c r="E632" s="884">
        <f>Master!I$13</f>
        <v>-5458.104806399926</v>
      </c>
      <c r="F632" s="884">
        <f>Master!J$13</f>
        <v>-6204.4487352435535</v>
      </c>
      <c r="G632" s="884"/>
      <c r="H632" s="884">
        <v>-3173.5960871774751</v>
      </c>
      <c r="I632" s="884">
        <v>-4307.5721618679781</v>
      </c>
      <c r="J632" s="884">
        <v>-5050.421436209198</v>
      </c>
      <c r="K632" s="884">
        <v>-5645.4204880728776</v>
      </c>
      <c r="L632" s="884"/>
      <c r="M632" s="885">
        <f>C632/H632-1</f>
        <v>-1.4682425203932148E-2</v>
      </c>
      <c r="N632" s="885">
        <f>D632/I632-1</f>
        <v>5.6258950424117105E-2</v>
      </c>
      <c r="O632" s="885">
        <f>E632/J632-1</f>
        <v>8.0722643712032749E-2</v>
      </c>
      <c r="P632" s="885">
        <f>F632/K632-1</f>
        <v>9.9023314268926299E-2</v>
      </c>
      <c r="Q632" s="884"/>
      <c r="R632" s="884">
        <v>-3225.9586402852983</v>
      </c>
      <c r="S632" s="884">
        <v>-4303.4334188360763</v>
      </c>
      <c r="T632" s="884">
        <v>-4790.4604670794306</v>
      </c>
      <c r="U632" s="884">
        <v>-5409.5009767085321</v>
      </c>
      <c r="V632" s="884"/>
      <c r="W632" s="885">
        <f>C632/R632-1</f>
        <v>-3.0675731253810068E-2</v>
      </c>
      <c r="X632" s="885">
        <f>D632/S632-1</f>
        <v>5.7274786837855363E-2</v>
      </c>
      <c r="Y632" s="885">
        <f>E632/T632-1</f>
        <v>0.13936955411877849</v>
      </c>
      <c r="Z632" s="885">
        <f>F632/U632-1</f>
        <v>0.14695399112742491</v>
      </c>
    </row>
    <row r="633" spans="2:26" x14ac:dyDescent="0.55000000000000004">
      <c r="B633" s="568"/>
      <c r="C633" s="635"/>
      <c r="D633" s="635"/>
      <c r="E633" s="635"/>
      <c r="F633" s="635"/>
      <c r="G633" s="635"/>
      <c r="H633" s="635"/>
      <c r="I633" s="635"/>
      <c r="J633" s="635"/>
      <c r="K633" s="635"/>
      <c r="L633" s="635"/>
      <c r="M633" s="636"/>
      <c r="N633" s="636"/>
      <c r="O633" s="636"/>
      <c r="P633" s="636"/>
      <c r="Q633" s="635"/>
      <c r="R633" s="635"/>
      <c r="S633" s="635"/>
      <c r="T633" s="635"/>
      <c r="U633" s="635"/>
      <c r="V633" s="635"/>
      <c r="W633" s="636"/>
      <c r="X633" s="636"/>
      <c r="Y633" s="636"/>
      <c r="Z633" s="636"/>
    </row>
    <row r="634" spans="2:26" x14ac:dyDescent="0.55000000000000004">
      <c r="B634" s="886" t="s">
        <v>409</v>
      </c>
      <c r="C634" s="884">
        <f>Master!G$15</f>
        <v>1663.1710000000003</v>
      </c>
      <c r="D634" s="884">
        <f>Master!H$15</f>
        <v>3182.8955863716346</v>
      </c>
      <c r="E634" s="884">
        <f>Master!I$15</f>
        <v>4565.1962036227596</v>
      </c>
      <c r="F634" s="884">
        <f>Master!J$15</f>
        <v>6348.3063126606576</v>
      </c>
      <c r="G634" s="884"/>
      <c r="H634" s="884">
        <v>1605.2784946356242</v>
      </c>
      <c r="I634" s="884">
        <v>2902.1017130750952</v>
      </c>
      <c r="J634" s="884">
        <v>3807.6285845768716</v>
      </c>
      <c r="K634" s="884">
        <v>5111.0282690908625</v>
      </c>
      <c r="L634" s="884"/>
      <c r="M634" s="885">
        <f>C634/H634-1</f>
        <v>3.6063839114419238E-2</v>
      </c>
      <c r="N634" s="885">
        <f>D634/I634-1</f>
        <v>9.675535217509923E-2</v>
      </c>
      <c r="O634" s="885">
        <f>E634/J634-1</f>
        <v>0.19896048215271867</v>
      </c>
      <c r="P634" s="885">
        <f>F634/K634-1</f>
        <v>0.24208006264654824</v>
      </c>
      <c r="Q634" s="884"/>
      <c r="R634" s="884"/>
      <c r="S634" s="884"/>
      <c r="T634" s="884"/>
      <c r="U634" s="884"/>
      <c r="V634" s="884"/>
      <c r="W634" s="885"/>
      <c r="X634" s="885"/>
      <c r="Y634" s="885"/>
      <c r="Z634" s="885"/>
    </row>
    <row r="635" spans="2:26" x14ac:dyDescent="0.55000000000000004">
      <c r="B635" s="568"/>
      <c r="C635" s="635"/>
      <c r="D635" s="635"/>
      <c r="E635" s="635"/>
      <c r="F635" s="635"/>
      <c r="G635" s="635"/>
      <c r="H635" s="635"/>
      <c r="I635" s="635"/>
      <c r="J635" s="635"/>
      <c r="K635" s="635"/>
      <c r="L635" s="635"/>
      <c r="M635" s="636"/>
      <c r="N635" s="636"/>
      <c r="O635" s="636"/>
      <c r="P635" s="636"/>
      <c r="Q635" s="635"/>
      <c r="R635" s="635"/>
      <c r="S635" s="635"/>
      <c r="T635" s="635"/>
      <c r="U635" s="635"/>
      <c r="V635" s="635"/>
      <c r="W635" s="636"/>
      <c r="X635" s="636"/>
      <c r="Y635" s="636"/>
      <c r="Z635" s="636"/>
    </row>
    <row r="636" spans="2:26" x14ac:dyDescent="0.55000000000000004">
      <c r="B636" s="887" t="s">
        <v>11</v>
      </c>
      <c r="C636" s="888">
        <f>C622+C632</f>
        <v>1663.1710000000003</v>
      </c>
      <c r="D636" s="888">
        <f>D622+D632</f>
        <v>3182.8955863716346</v>
      </c>
      <c r="E636" s="888">
        <f>E622+E632</f>
        <v>4565.1962036227596</v>
      </c>
      <c r="F636" s="888">
        <f>F622+F632</f>
        <v>6348.3063126606576</v>
      </c>
      <c r="G636" s="888"/>
      <c r="H636" s="888">
        <v>1605.2784946356242</v>
      </c>
      <c r="I636" s="888">
        <v>2902.1017130750952</v>
      </c>
      <c r="J636" s="888">
        <v>3807.6285845768716</v>
      </c>
      <c r="K636" s="888">
        <v>5111.0282690908625</v>
      </c>
      <c r="L636" s="888"/>
      <c r="M636" s="889">
        <f>C636/H636-1</f>
        <v>3.6063839114419238E-2</v>
      </c>
      <c r="N636" s="889">
        <f>D636/I636-1</f>
        <v>9.675535217509923E-2</v>
      </c>
      <c r="O636" s="889">
        <f>E636/J636-1</f>
        <v>0.19896048215271867</v>
      </c>
      <c r="P636" s="889">
        <f>F636/K636-1</f>
        <v>0.24208006264654824</v>
      </c>
      <c r="Q636" s="888"/>
      <c r="R636" s="888">
        <f>R622+R632</f>
        <v>1546.262612970897</v>
      </c>
      <c r="S636" s="888">
        <f>S622+S632</f>
        <v>2631.8947188588199</v>
      </c>
      <c r="T636" s="888">
        <f>T622+T632</f>
        <v>4420.8938990583792</v>
      </c>
      <c r="U636" s="888">
        <f>U622+U632</f>
        <v>6734.5119885071836</v>
      </c>
      <c r="V636" s="888"/>
      <c r="W636" s="889">
        <f>C636/R636-1</f>
        <v>7.5607070913059626E-2</v>
      </c>
      <c r="X636" s="889">
        <f>D636/S636-1</f>
        <v>0.20935520846051414</v>
      </c>
      <c r="Y636" s="889">
        <f>E636/T636-1</f>
        <v>3.2640978919470598E-2</v>
      </c>
      <c r="Z636" s="889">
        <f>F636/U636-1</f>
        <v>-5.7347240082964768E-2</v>
      </c>
    </row>
    <row r="637" spans="2:26" x14ac:dyDescent="0.55000000000000004">
      <c r="B637" s="900"/>
      <c r="C637" s="899"/>
      <c r="D637" s="899"/>
      <c r="E637" s="899"/>
      <c r="F637" s="899"/>
      <c r="G637" s="899"/>
      <c r="H637" s="899"/>
      <c r="I637" s="899"/>
      <c r="J637" s="899"/>
      <c r="K637" s="899"/>
      <c r="L637" s="899"/>
      <c r="M637" s="859"/>
      <c r="N637" s="859"/>
      <c r="O637" s="859"/>
      <c r="P637" s="859"/>
      <c r="Q637" s="899"/>
      <c r="R637" s="899"/>
      <c r="S637" s="899"/>
      <c r="T637" s="899"/>
      <c r="U637" s="899"/>
      <c r="V637" s="899"/>
      <c r="W637" s="859"/>
      <c r="X637" s="859"/>
      <c r="Y637" s="859"/>
      <c r="Z637" s="859"/>
    </row>
    <row r="638" spans="2:26" x14ac:dyDescent="0.55000000000000004">
      <c r="B638" s="911" t="s">
        <v>97</v>
      </c>
      <c r="C638" s="912">
        <f>Master!G$40</f>
        <v>-1971</v>
      </c>
      <c r="D638" s="912">
        <f>Master!H$40</f>
        <v>-1885.7567526400758</v>
      </c>
      <c r="E638" s="912">
        <f>Master!I$40</f>
        <v>-2382.9706273750494</v>
      </c>
      <c r="F638" s="912">
        <f>Master!J$40</f>
        <v>-2890.5623616323965</v>
      </c>
      <c r="G638" s="912"/>
      <c r="H638" s="912">
        <v>-1657.734930562033</v>
      </c>
      <c r="I638" s="912">
        <v>-2418.8455850434011</v>
      </c>
      <c r="J638" s="912">
        <v>-2839.0050316619354</v>
      </c>
      <c r="K638" s="912">
        <v>-3232.312851527704</v>
      </c>
      <c r="L638" s="912"/>
      <c r="M638" s="885">
        <f>C638/H638-1</f>
        <v>0.18897174913950732</v>
      </c>
      <c r="N638" s="885">
        <f>D638/I638-1</f>
        <v>-0.22038977423759776</v>
      </c>
      <c r="O638" s="885">
        <f>E638/J638-1</f>
        <v>-0.16063177035650633</v>
      </c>
      <c r="P638" s="885">
        <f>F638/K638-1</f>
        <v>-0.10572939736751785</v>
      </c>
      <c r="Q638" s="912"/>
      <c r="R638" s="912">
        <v>-1695.9374627266197</v>
      </c>
      <c r="S638" s="912">
        <v>-2444.3755384835026</v>
      </c>
      <c r="T638" s="912">
        <v>-3175.0177522376439</v>
      </c>
      <c r="U638" s="912">
        <v>-4170.1362128686933</v>
      </c>
      <c r="V638" s="912"/>
      <c r="W638" s="885">
        <f>C638/R638-1</f>
        <v>0.16218908026900491</v>
      </c>
      <c r="X638" s="885">
        <f>D638/S638-1</f>
        <v>-0.22853230898800247</v>
      </c>
      <c r="Y638" s="885">
        <f>E638/T638-1</f>
        <v>-0.24946226656666304</v>
      </c>
      <c r="Z638" s="885">
        <f>F638/U638-1</f>
        <v>-0.30684221951494972</v>
      </c>
    </row>
    <row r="639" spans="2:26" x14ac:dyDescent="0.55000000000000004">
      <c r="B639" s="900"/>
      <c r="C639" s="899"/>
      <c r="D639" s="899"/>
      <c r="E639" s="899"/>
      <c r="F639" s="899"/>
      <c r="G639" s="899"/>
      <c r="H639" s="899"/>
      <c r="I639" s="899"/>
      <c r="J639" s="899"/>
      <c r="K639" s="899"/>
      <c r="L639" s="899"/>
      <c r="M639" s="859"/>
      <c r="N639" s="859"/>
      <c r="O639" s="859"/>
      <c r="P639" s="859"/>
      <c r="Q639" s="899"/>
      <c r="R639" s="899"/>
      <c r="S639" s="899"/>
      <c r="T639" s="899"/>
      <c r="U639" s="899"/>
      <c r="V639" s="899"/>
      <c r="W639" s="859"/>
      <c r="X639" s="859"/>
      <c r="Y639" s="859"/>
      <c r="Z639" s="859"/>
    </row>
    <row r="640" spans="2:26" x14ac:dyDescent="0.55000000000000004">
      <c r="B640" s="886" t="s">
        <v>779</v>
      </c>
      <c r="C640" s="884">
        <f>Master!G$42</f>
        <v>-307.82899999999972</v>
      </c>
      <c r="D640" s="884">
        <f>Master!H$42</f>
        <v>1297.1388337315589</v>
      </c>
      <c r="E640" s="884">
        <f>Master!I$42</f>
        <v>2182.2255762477103</v>
      </c>
      <c r="F640" s="884">
        <f>Master!J$42</f>
        <v>3457.7439510282611</v>
      </c>
      <c r="G640" s="884"/>
      <c r="H640" s="884">
        <v>-52.456435926408858</v>
      </c>
      <c r="I640" s="884">
        <v>483.25612803169406</v>
      </c>
      <c r="J640" s="884">
        <v>968.62355291493623</v>
      </c>
      <c r="K640" s="884">
        <v>1878.7154175631586</v>
      </c>
      <c r="L640" s="884"/>
      <c r="M640" s="885">
        <f>C640/H640-1</f>
        <v>4.8682789740395833</v>
      </c>
      <c r="N640" s="885">
        <f>D640/I640-1</f>
        <v>1.6841642733322706</v>
      </c>
      <c r="O640" s="885">
        <f>E640/J640-1</f>
        <v>1.2529140135820667</v>
      </c>
      <c r="P640" s="885">
        <f>F640/K640-1</f>
        <v>0.84048308684943174</v>
      </c>
      <c r="Q640" s="884"/>
      <c r="R640" s="884">
        <v>-139.12992860471525</v>
      </c>
      <c r="S640" s="884">
        <v>281.78051508071525</v>
      </c>
      <c r="T640" s="884">
        <v>1120.0108712496331</v>
      </c>
      <c r="U640" s="884">
        <v>2305.2347321453499</v>
      </c>
      <c r="V640" s="884"/>
      <c r="W640" s="885">
        <f>C640/R640-1</f>
        <v>1.2125289870203173</v>
      </c>
      <c r="X640" s="885">
        <f>D640/S640-1</f>
        <v>3.6033659685801807</v>
      </c>
      <c r="Y640" s="885">
        <f>E640/T640-1</f>
        <v>0.94839678101778535</v>
      </c>
      <c r="Z640" s="885">
        <f>F640/U640-1</f>
        <v>0.49995308625700652</v>
      </c>
    </row>
    <row r="641" spans="2:26" x14ac:dyDescent="0.55000000000000004">
      <c r="B641" s="899"/>
      <c r="C641" s="899"/>
      <c r="D641" s="899"/>
      <c r="E641" s="899"/>
      <c r="F641" s="899"/>
      <c r="G641" s="899"/>
      <c r="H641" s="899"/>
      <c r="I641" s="899"/>
      <c r="J641" s="899"/>
      <c r="K641" s="899"/>
      <c r="L641" s="899"/>
      <c r="M641" s="859"/>
      <c r="N641" s="859"/>
      <c r="O641" s="859"/>
      <c r="P641" s="859"/>
      <c r="Q641" s="899"/>
      <c r="R641" s="899"/>
      <c r="S641" s="899"/>
      <c r="T641" s="899"/>
      <c r="U641" s="899"/>
      <c r="V641" s="899"/>
      <c r="W641" s="859"/>
      <c r="X641" s="859"/>
      <c r="Y641" s="859"/>
      <c r="Z641" s="859"/>
    </row>
    <row r="642" spans="2:26" x14ac:dyDescent="0.55000000000000004">
      <c r="B642" s="890" t="s">
        <v>14</v>
      </c>
      <c r="C642" s="890">
        <f>Master!G$56</f>
        <v>-363.82899999999972</v>
      </c>
      <c r="D642" s="890">
        <f>Master!H$56</f>
        <v>874.28470843288972</v>
      </c>
      <c r="E642" s="890">
        <f>Master!I$56</f>
        <v>1472.8902304990841</v>
      </c>
      <c r="F642" s="890">
        <f>Master!J$56</f>
        <v>2316.6884471889348</v>
      </c>
      <c r="G642" s="890"/>
      <c r="H642" s="890">
        <v>-52.456435926408858</v>
      </c>
      <c r="I642" s="890">
        <v>367.2746573040875</v>
      </c>
      <c r="J642" s="890">
        <v>726.46766468620217</v>
      </c>
      <c r="K642" s="890">
        <v>1409.0365631723689</v>
      </c>
      <c r="L642" s="890"/>
      <c r="M642" s="891">
        <f>C642/H642-1</f>
        <v>5.9358314871108568</v>
      </c>
      <c r="N642" s="891">
        <f>D642/I642-1</f>
        <v>1.3804656570927514</v>
      </c>
      <c r="O642" s="891">
        <f>E642/J642-1</f>
        <v>1.0274683954932793</v>
      </c>
      <c r="P642" s="891">
        <f>F642/K642-1</f>
        <v>0.64416489091882556</v>
      </c>
      <c r="Q642" s="890"/>
      <c r="R642" s="890">
        <v>-102.6287875991295</v>
      </c>
      <c r="S642" s="890">
        <v>177.59898485703724</v>
      </c>
      <c r="T642" s="890">
        <v>718.4239750777657</v>
      </c>
      <c r="U642" s="890">
        <v>1515.3421148625555</v>
      </c>
      <c r="V642" s="890"/>
      <c r="W642" s="891">
        <f>C642/R642-1</f>
        <v>2.5450969314879224</v>
      </c>
      <c r="X642" s="891">
        <f>D642/S642-1</f>
        <v>3.9228023974161061</v>
      </c>
      <c r="Y642" s="891">
        <f>E642/T642-1</f>
        <v>1.0501685377908654</v>
      </c>
      <c r="Z642" s="891">
        <f>F642/U642-1</f>
        <v>0.5288220557369403</v>
      </c>
    </row>
    <row r="643" spans="2:26" x14ac:dyDescent="0.55000000000000004">
      <c r="B643" s="899"/>
      <c r="C643" s="899"/>
      <c r="D643" s="899"/>
      <c r="E643" s="899"/>
      <c r="F643" s="899"/>
      <c r="G643" s="899"/>
      <c r="H643" s="899"/>
      <c r="I643" s="899"/>
      <c r="J643" s="899"/>
      <c r="K643" s="899"/>
      <c r="L643" s="899"/>
      <c r="M643" s="859"/>
      <c r="N643" s="859"/>
      <c r="O643" s="859"/>
      <c r="P643" s="859"/>
      <c r="Q643" s="899"/>
      <c r="R643" s="899"/>
      <c r="S643" s="899"/>
      <c r="T643" s="899"/>
      <c r="U643" s="899"/>
      <c r="V643" s="899"/>
      <c r="W643" s="859"/>
      <c r="X643" s="859"/>
      <c r="Y643" s="859"/>
      <c r="Z643" s="859"/>
    </row>
    <row r="644" spans="2:26" x14ac:dyDescent="0.55000000000000004">
      <c r="B644" s="886" t="s">
        <v>780</v>
      </c>
      <c r="C644" s="884">
        <f>C646+C648</f>
        <v>9906</v>
      </c>
      <c r="D644" s="884">
        <f>D646+D648</f>
        <v>15291.799957861384</v>
      </c>
      <c r="E644" s="884">
        <f>E646+E648</f>
        <v>20732.457611271278</v>
      </c>
      <c r="F644" s="884">
        <f>F646+F648</f>
        <v>25933.257246574743</v>
      </c>
      <c r="G644" s="884"/>
      <c r="H644" s="884">
        <v>9240.5332120741987</v>
      </c>
      <c r="I644" s="884">
        <v>15215.738202871458</v>
      </c>
      <c r="J644" s="884">
        <v>19430.143320842089</v>
      </c>
      <c r="K644" s="884">
        <v>23026.269732947199</v>
      </c>
      <c r="L644" s="884"/>
      <c r="M644" s="885">
        <f>C644/H644-1</f>
        <v>7.2016059317471459E-2</v>
      </c>
      <c r="N644" s="885">
        <f>D644/I644-1</f>
        <v>4.9988869403372327E-3</v>
      </c>
      <c r="O644" s="885">
        <f>E644/J644-1</f>
        <v>6.7025459819034738E-2</v>
      </c>
      <c r="P644" s="885">
        <f>F644/K644-1</f>
        <v>0.12624656739202855</v>
      </c>
      <c r="Q644" s="884"/>
      <c r="R644" s="884">
        <f>R646+R648</f>
        <v>10438.386047049447</v>
      </c>
      <c r="S644" s="884">
        <f>S646+S648</f>
        <v>15566.226703383643</v>
      </c>
      <c r="T644" s="884">
        <f>T646+T648</f>
        <v>19787.477355243114</v>
      </c>
      <c r="U644" s="884">
        <f>U646+U648</f>
        <v>23462.284452038155</v>
      </c>
      <c r="V644" s="884"/>
      <c r="W644" s="885">
        <f>C644/R644-1</f>
        <v>-5.1002716765771838E-2</v>
      </c>
      <c r="X644" s="885">
        <f>D644/S644-1</f>
        <v>-1.762962539037205E-2</v>
      </c>
      <c r="Y644" s="885">
        <f>E644/T644-1</f>
        <v>4.7756479467443214E-2</v>
      </c>
      <c r="Z644" s="885">
        <f>F644/U644-1</f>
        <v>0.10531680321188563</v>
      </c>
    </row>
    <row r="645" spans="2:26" x14ac:dyDescent="0.55000000000000004">
      <c r="B645" s="568"/>
      <c r="C645" s="656"/>
      <c r="D645" s="656"/>
      <c r="E645" s="656"/>
      <c r="F645" s="656"/>
      <c r="G645" s="656"/>
      <c r="H645" s="635"/>
      <c r="I645" s="635"/>
      <c r="J645" s="635"/>
      <c r="K645" s="635"/>
      <c r="L645" s="635"/>
      <c r="M645" s="636"/>
      <c r="N645" s="636"/>
      <c r="O645" s="636"/>
      <c r="P645" s="636"/>
      <c r="Q645" s="656"/>
      <c r="R645" s="635"/>
      <c r="S645" s="635"/>
      <c r="T645" s="635"/>
      <c r="U645" s="635"/>
      <c r="V645" s="635"/>
      <c r="W645" s="636"/>
      <c r="X645" s="636"/>
      <c r="Y645" s="636"/>
      <c r="Z645" s="636"/>
    </row>
    <row r="646" spans="2:26" x14ac:dyDescent="0.55000000000000004">
      <c r="B646" s="886" t="s">
        <v>106</v>
      </c>
      <c r="C646" s="884">
        <f>Master!G$154</f>
        <v>8233</v>
      </c>
      <c r="D646" s="884">
        <f>Master!H$154</f>
        <v>12218.016153236456</v>
      </c>
      <c r="E646" s="884">
        <f>Master!I$154</f>
        <v>16387.137596849418</v>
      </c>
      <c r="F646" s="884">
        <f>Master!J$154</f>
        <v>19903.781491858783</v>
      </c>
      <c r="G646" s="884"/>
      <c r="H646" s="884">
        <v>7544.6443070401183</v>
      </c>
      <c r="I646" s="884">
        <v>12248.775254987921</v>
      </c>
      <c r="J646" s="884">
        <v>15117.69455111471</v>
      </c>
      <c r="K646" s="884">
        <v>16763.536813780127</v>
      </c>
      <c r="L646" s="884"/>
      <c r="M646" s="885">
        <f>C646/H646-1</f>
        <v>9.1237660113089536E-2</v>
      </c>
      <c r="N646" s="885">
        <f>D646/I646-1</f>
        <v>-2.5111981492956792E-3</v>
      </c>
      <c r="O646" s="885">
        <f>E646/J646-1</f>
        <v>8.3970676973434744E-2</v>
      </c>
      <c r="P646" s="885">
        <f>F646/K646-1</f>
        <v>0.18732590341539868</v>
      </c>
      <c r="Q646" s="884"/>
      <c r="R646" s="884">
        <v>8632.4909764426829</v>
      </c>
      <c r="S646" s="884">
        <v>12582.479197013976</v>
      </c>
      <c r="T646" s="884">
        <v>15520.601759852734</v>
      </c>
      <c r="U646" s="884">
        <v>16940.955523928635</v>
      </c>
      <c r="V646" s="884"/>
      <c r="W646" s="885">
        <f>C646/R646-1</f>
        <v>-4.627760139371806E-2</v>
      </c>
      <c r="X646" s="885">
        <f>D646/S646-1</f>
        <v>-2.8965916658460489E-2</v>
      </c>
      <c r="Y646" s="885">
        <f>E646/T646-1</f>
        <v>5.5831329893287984E-2</v>
      </c>
      <c r="Z646" s="885">
        <f>F646/U646-1</f>
        <v>0.17489131376003186</v>
      </c>
    </row>
    <row r="647" spans="2:26" x14ac:dyDescent="0.55000000000000004">
      <c r="B647" s="568"/>
      <c r="C647" s="656"/>
      <c r="D647" s="656"/>
      <c r="E647" s="656"/>
      <c r="F647" s="656"/>
      <c r="G647" s="656"/>
      <c r="H647" s="635"/>
      <c r="I647" s="635"/>
      <c r="J647" s="635"/>
      <c r="K647" s="635"/>
      <c r="L647" s="635"/>
      <c r="M647" s="636"/>
      <c r="N647" s="636"/>
      <c r="O647" s="636"/>
      <c r="P647" s="636"/>
      <c r="Q647" s="656"/>
      <c r="R647" s="635"/>
      <c r="S647" s="635"/>
      <c r="T647" s="635"/>
      <c r="U647" s="635"/>
      <c r="V647" s="635"/>
      <c r="W647" s="636"/>
      <c r="X647" s="636"/>
      <c r="Y647" s="636"/>
      <c r="Z647" s="636"/>
    </row>
    <row r="648" spans="2:26" x14ac:dyDescent="0.55000000000000004">
      <c r="B648" s="886" t="s">
        <v>107</v>
      </c>
      <c r="C648" s="884">
        <f>Master!G$155</f>
        <v>1673</v>
      </c>
      <c r="D648" s="884">
        <f>Master!H$155</f>
        <v>3073.7838046249276</v>
      </c>
      <c r="E648" s="884">
        <f>Master!I$155</f>
        <v>4345.3200144218608</v>
      </c>
      <c r="F648" s="884">
        <f>Master!J$155</f>
        <v>6029.4757547159606</v>
      </c>
      <c r="G648" s="884"/>
      <c r="H648" s="884">
        <v>1695.8889050340813</v>
      </c>
      <c r="I648" s="884">
        <v>2966.9629478835382</v>
      </c>
      <c r="J648" s="884">
        <v>4312.4487697273807</v>
      </c>
      <c r="K648" s="884">
        <v>6262.7329191670706</v>
      </c>
      <c r="L648" s="884"/>
      <c r="M648" s="885">
        <f>C648/H648-1</f>
        <v>-1.3496700736786327E-2</v>
      </c>
      <c r="N648" s="885">
        <f>D648/I648-1</f>
        <v>3.6003434696610936E-2</v>
      </c>
      <c r="O648" s="885">
        <f>E648/J648-1</f>
        <v>7.6224081605862359E-3</v>
      </c>
      <c r="P648" s="885">
        <f>F648/K648-1</f>
        <v>-3.7245267754789202E-2</v>
      </c>
      <c r="Q648" s="884"/>
      <c r="R648" s="884">
        <v>1805.8950706067651</v>
      </c>
      <c r="S648" s="884">
        <v>2983.7475063696675</v>
      </c>
      <c r="T648" s="884">
        <v>4266.8755953903801</v>
      </c>
      <c r="U648" s="884">
        <v>6521.3289281095203</v>
      </c>
      <c r="V648" s="884"/>
      <c r="W648" s="885">
        <f>C648/R648-1</f>
        <v>-7.3589586000760043E-2</v>
      </c>
      <c r="X648" s="885">
        <f>D648/S648-1</f>
        <v>3.0175575534810317E-2</v>
      </c>
      <c r="Y648" s="885">
        <f>E648/T648-1</f>
        <v>1.8384510463868686E-2</v>
      </c>
      <c r="Z648" s="885">
        <f>F648/U648-1</f>
        <v>-7.5422230471074214E-2</v>
      </c>
    </row>
    <row r="649" spans="2:26" x14ac:dyDescent="0.55000000000000004">
      <c r="B649" s="899"/>
      <c r="C649" s="899"/>
      <c r="D649" s="899"/>
      <c r="E649" s="899"/>
      <c r="F649" s="899"/>
      <c r="G649" s="899"/>
      <c r="H649" s="899"/>
      <c r="I649" s="899"/>
      <c r="J649" s="899"/>
      <c r="K649" s="899"/>
      <c r="L649" s="899"/>
      <c r="M649" s="859"/>
      <c r="N649" s="859"/>
      <c r="O649" s="859"/>
      <c r="P649" s="859"/>
      <c r="Q649" s="899"/>
      <c r="R649" s="899"/>
      <c r="S649" s="899"/>
      <c r="T649" s="899"/>
      <c r="U649" s="899"/>
      <c r="V649" s="899"/>
      <c r="W649" s="859"/>
      <c r="X649" s="859"/>
      <c r="Y649" s="859"/>
      <c r="Z649" s="859"/>
    </row>
    <row r="650" spans="2:26" x14ac:dyDescent="0.55000000000000004">
      <c r="B650" s="894" t="s">
        <v>782</v>
      </c>
      <c r="C650" s="895">
        <f>'Revenue and Expenses breakdown'!F$41</f>
        <v>115</v>
      </c>
      <c r="D650" s="895">
        <f>'Revenue and Expenses breakdown'!G$41</f>
        <v>166.13757176841568</v>
      </c>
      <c r="E650" s="895">
        <f>'Revenue and Expenses breakdown'!H$41</f>
        <v>231.51684240564978</v>
      </c>
      <c r="F650" s="895">
        <f>'Revenue and Expenses breakdown'!I$41</f>
        <v>322.71638885492803</v>
      </c>
      <c r="G650" s="892"/>
      <c r="H650" s="890">
        <v>227.47834858821017</v>
      </c>
      <c r="I650" s="890">
        <v>357.6111217317569</v>
      </c>
      <c r="J650" s="890">
        <v>443.62564429674171</v>
      </c>
      <c r="K650" s="890">
        <v>536.64900975340436</v>
      </c>
      <c r="L650" s="890"/>
      <c r="M650" s="891">
        <f>C650/H650-1</f>
        <v>-0.49445738148830454</v>
      </c>
      <c r="N650" s="891">
        <f>D650/I650-1</f>
        <v>-0.53542392371947811</v>
      </c>
      <c r="O650" s="891">
        <f>E650/J650-1</f>
        <v>-0.47812565530862794</v>
      </c>
      <c r="P650" s="891">
        <f>F650/K650-1</f>
        <v>-0.39864532871639979</v>
      </c>
      <c r="Q650" s="892"/>
      <c r="R650" s="890"/>
      <c r="S650" s="890"/>
      <c r="T650" s="890"/>
      <c r="U650" s="890"/>
      <c r="V650" s="890"/>
      <c r="W650" s="891"/>
      <c r="X650" s="891"/>
      <c r="Y650" s="891"/>
      <c r="Z650" s="891"/>
    </row>
    <row r="651" spans="2:26" x14ac:dyDescent="0.55000000000000004">
      <c r="B651" s="568"/>
      <c r="C651" s="656"/>
      <c r="D651" s="656"/>
      <c r="E651" s="656"/>
      <c r="F651" s="656"/>
      <c r="G651" s="656"/>
      <c r="H651" s="635"/>
      <c r="I651" s="635"/>
      <c r="J651" s="635"/>
      <c r="K651" s="635"/>
      <c r="L651" s="635"/>
      <c r="M651" s="636"/>
      <c r="N651" s="636"/>
      <c r="O651" s="636"/>
      <c r="P651" s="636"/>
      <c r="Q651" s="656"/>
      <c r="R651" s="635"/>
      <c r="S651" s="635"/>
      <c r="T651" s="635"/>
      <c r="U651" s="635"/>
      <c r="V651" s="635"/>
      <c r="W651" s="636"/>
      <c r="X651" s="636"/>
      <c r="Y651" s="636"/>
      <c r="Z651" s="636"/>
    </row>
    <row r="652" spans="2:26" x14ac:dyDescent="0.55000000000000004">
      <c r="B652" s="886" t="s">
        <v>47</v>
      </c>
      <c r="C652" s="884">
        <f>Master!G$173</f>
        <v>15808</v>
      </c>
      <c r="D652" s="884">
        <f>Master!H$173</f>
        <v>20856.916775599129</v>
      </c>
      <c r="E652" s="884">
        <f>Master!I$173</f>
        <v>25060.774268441615</v>
      </c>
      <c r="F652" s="884">
        <f>Master!J$173</f>
        <v>31360.455139591166</v>
      </c>
      <c r="G652" s="892"/>
      <c r="H652" s="884">
        <v>15094.090186895271</v>
      </c>
      <c r="I652" s="884">
        <v>19981.282035196087</v>
      </c>
      <c r="J652" s="884">
        <v>26123.449478295552</v>
      </c>
      <c r="K652" s="884">
        <v>30966.636509413143</v>
      </c>
      <c r="L652" s="884"/>
      <c r="M652" s="885">
        <f>C652/H652-1</f>
        <v>4.7297306711771681E-2</v>
      </c>
      <c r="N652" s="885">
        <f>D652/I652-1</f>
        <v>4.3822750655371001E-2</v>
      </c>
      <c r="O652" s="885">
        <f>E652/J652-1</f>
        <v>-4.0678977358516555E-2</v>
      </c>
      <c r="P652" s="885">
        <f>F652/K652-1</f>
        <v>1.2717513897846588E-2</v>
      </c>
      <c r="Q652" s="892"/>
      <c r="R652" s="884">
        <v>16090.09939264274</v>
      </c>
      <c r="S652" s="884">
        <v>20575.2299862377</v>
      </c>
      <c r="T652" s="884">
        <v>26073.274598623851</v>
      </c>
      <c r="U652" s="884">
        <v>32221.245337023276</v>
      </c>
      <c r="V652" s="884"/>
      <c r="W652" s="885">
        <f>C652/R652-1</f>
        <v>-1.7532482911307046E-2</v>
      </c>
      <c r="X652" s="885">
        <f>D652/S652-1</f>
        <v>1.3690577920628E-2</v>
      </c>
      <c r="Y652" s="885">
        <f>E652/T652-1</f>
        <v>-3.8832879481723204E-2</v>
      </c>
      <c r="Z652" s="885">
        <f>F652/U652-1</f>
        <v>-2.6714988462690936E-2</v>
      </c>
    </row>
    <row r="653" spans="2:26" x14ac:dyDescent="0.55000000000000004">
      <c r="B653" s="899"/>
      <c r="C653" s="899"/>
      <c r="D653" s="899"/>
      <c r="E653" s="899"/>
      <c r="F653" s="899"/>
      <c r="G653" s="899"/>
      <c r="H653" s="899"/>
      <c r="I653" s="899"/>
      <c r="J653" s="899"/>
      <c r="K653" s="899"/>
      <c r="L653" s="899"/>
      <c r="M653" s="859"/>
      <c r="N653" s="859"/>
      <c r="O653" s="859"/>
      <c r="P653" s="859"/>
      <c r="Q653" s="899"/>
      <c r="V653" s="899"/>
      <c r="W653" s="859"/>
      <c r="X653" s="859"/>
      <c r="Y653" s="859"/>
      <c r="Z653" s="859"/>
    </row>
    <row r="654" spans="2:26" x14ac:dyDescent="0.55000000000000004">
      <c r="B654" s="882" t="s">
        <v>781</v>
      </c>
      <c r="C654" s="896">
        <f>Valuation!G$9</f>
        <v>8.0563731560657796</v>
      </c>
      <c r="D654" s="890"/>
      <c r="E654" s="890"/>
      <c r="F654" s="890"/>
      <c r="G654" s="890"/>
      <c r="H654" s="897">
        <v>7.0653707819730105</v>
      </c>
      <c r="I654" s="890"/>
      <c r="J654" s="890"/>
      <c r="K654" s="890"/>
      <c r="L654" s="890"/>
      <c r="M654" s="891">
        <f>C654/H654-1</f>
        <v>0.14026190622879531</v>
      </c>
      <c r="N654" s="891"/>
      <c r="O654" s="891"/>
      <c r="P654" s="891"/>
      <c r="Q654" s="890"/>
      <c r="R654" s="890"/>
      <c r="S654" s="890"/>
      <c r="T654" s="890"/>
      <c r="U654" s="890"/>
      <c r="V654" s="890"/>
      <c r="W654" s="891"/>
      <c r="X654" s="891"/>
      <c r="Y654" s="891"/>
      <c r="Z654" s="891"/>
    </row>
    <row r="659" spans="2:17" x14ac:dyDescent="0.55000000000000004">
      <c r="B659" s="557" t="s">
        <v>356</v>
      </c>
    </row>
    <row r="662" spans="2:17" x14ac:dyDescent="0.55000000000000004">
      <c r="B662" s="618" t="s">
        <v>972</v>
      </c>
      <c r="C662" s="1239" t="s">
        <v>973</v>
      </c>
      <c r="D662" s="1239"/>
      <c r="E662" s="1239"/>
      <c r="F662" s="1239"/>
      <c r="G662" s="1239"/>
      <c r="H662" s="1239" t="s">
        <v>974</v>
      </c>
      <c r="I662" s="1239"/>
      <c r="J662" s="1239"/>
      <c r="K662" s="1239"/>
      <c r="L662" s="1239"/>
      <c r="M662" s="1239" t="s">
        <v>976</v>
      </c>
      <c r="N662" s="1239"/>
      <c r="O662" s="1239"/>
      <c r="P662" s="1239"/>
      <c r="Q662" s="1239"/>
    </row>
    <row r="663" spans="2:17" x14ac:dyDescent="0.55000000000000004">
      <c r="C663" s="618">
        <v>2022</v>
      </c>
      <c r="D663" s="618">
        <v>2023</v>
      </c>
      <c r="E663" s="618">
        <v>2024</v>
      </c>
      <c r="F663" s="618">
        <v>2025</v>
      </c>
      <c r="G663" s="611">
        <v>2026</v>
      </c>
      <c r="H663" s="618">
        <v>2022</v>
      </c>
      <c r="I663" s="618">
        <v>2023</v>
      </c>
      <c r="J663" s="618">
        <v>2024</v>
      </c>
      <c r="K663" s="618">
        <v>2025</v>
      </c>
      <c r="L663" s="611">
        <v>2026</v>
      </c>
      <c r="M663" s="618">
        <v>2022</v>
      </c>
      <c r="N663" s="618">
        <v>2023</v>
      </c>
      <c r="O663" s="618">
        <v>2024</v>
      </c>
      <c r="P663" s="618">
        <v>2025</v>
      </c>
      <c r="Q663" s="611">
        <v>2026</v>
      </c>
    </row>
    <row r="664" spans="2:17" x14ac:dyDescent="0.55000000000000004">
      <c r="B664" s="557" t="s">
        <v>89</v>
      </c>
      <c r="C664" s="573">
        <v>-1479.745933812969</v>
      </c>
      <c r="D664" s="573">
        <v>-1832.29587191204</v>
      </c>
      <c r="E664" s="573">
        <v>-1704.1848935602727</v>
      </c>
      <c r="F664" s="573">
        <v>-1750.237139266635</v>
      </c>
      <c r="G664" s="573">
        <v>-2001.4317222280051</v>
      </c>
      <c r="H664" s="573">
        <v>-1479.745933812969</v>
      </c>
      <c r="I664" s="572">
        <v>-1480.0080799300317</v>
      </c>
      <c r="J664" s="572">
        <v>-1317.5932335048572</v>
      </c>
      <c r="K664" s="572">
        <v>-1288.1979566190248</v>
      </c>
      <c r="L664" s="572">
        <v>-1390.6318868602473</v>
      </c>
      <c r="M664" s="708">
        <f>H664/C664-1</f>
        <v>0</v>
      </c>
      <c r="N664" s="708">
        <f>I664/D664-1</f>
        <v>-0.19226577835073566</v>
      </c>
      <c r="O664" s="708">
        <f>J664/E664-1</f>
        <v>-0.22684842561171481</v>
      </c>
      <c r="P664" s="708">
        <f>K664/F664-1</f>
        <v>-0.26398661774552945</v>
      </c>
      <c r="Q664" s="708">
        <f>L664/G664-1</f>
        <v>-0.30518145015100095</v>
      </c>
    </row>
    <row r="665" spans="2:17" x14ac:dyDescent="0.55000000000000004">
      <c r="M665" s="708"/>
      <c r="N665" s="708"/>
      <c r="O665" s="708"/>
      <c r="P665" s="708"/>
      <c r="Q665" s="708"/>
    </row>
    <row r="666" spans="2:17" x14ac:dyDescent="0.55000000000000004">
      <c r="B666" s="557" t="s">
        <v>11</v>
      </c>
      <c r="C666" s="572">
        <v>1771.8848390276289</v>
      </c>
      <c r="D666" s="572">
        <v>3258.290268126897</v>
      </c>
      <c r="E666" s="572">
        <v>4675.4282723842998</v>
      </c>
      <c r="F666" s="572">
        <v>6187.4445749890929</v>
      </c>
      <c r="G666" s="572">
        <v>7705.7618961232974</v>
      </c>
      <c r="H666" s="572">
        <v>1771.8848390276289</v>
      </c>
      <c r="I666" s="572">
        <v>3610.578060108905</v>
      </c>
      <c r="J666" s="572">
        <v>5062.0199324397154</v>
      </c>
      <c r="K666" s="572">
        <v>6649.4837576367036</v>
      </c>
      <c r="L666" s="572">
        <v>8316.561731491056</v>
      </c>
      <c r="M666" s="708">
        <f>H666/C666-1</f>
        <v>0</v>
      </c>
      <c r="N666" s="708">
        <f>I666/D666-1</f>
        <v>0.10812044446381641</v>
      </c>
      <c r="O666" s="708">
        <f>J666/E666-1</f>
        <v>8.2685828448880949E-2</v>
      </c>
      <c r="P666" s="708">
        <f>K666/F666-1</f>
        <v>7.4673668110946334E-2</v>
      </c>
      <c r="Q666" s="708">
        <f>L666/G666-1</f>
        <v>7.9265339832917281E-2</v>
      </c>
    </row>
    <row r="667" spans="2:17" x14ac:dyDescent="0.55000000000000004">
      <c r="G667" s="557"/>
      <c r="H667" s="557"/>
      <c r="M667" s="708"/>
      <c r="N667" s="708"/>
      <c r="O667" s="708"/>
      <c r="P667" s="708"/>
      <c r="Q667" s="708"/>
    </row>
    <row r="668" spans="2:17" x14ac:dyDescent="0.55000000000000004">
      <c r="B668" s="557" t="s">
        <v>705</v>
      </c>
      <c r="C668" s="572">
        <v>1765.7111610868226</v>
      </c>
      <c r="D668" s="572">
        <v>3377.0616234629379</v>
      </c>
      <c r="E668" s="572">
        <v>5154.8034695958841</v>
      </c>
      <c r="F668" s="572">
        <v>7099.7041966483193</v>
      </c>
      <c r="G668" s="572">
        <v>8931.5756476233837</v>
      </c>
      <c r="H668" s="572">
        <v>1765.7111610868226</v>
      </c>
      <c r="I668" s="572">
        <v>3729.3494154449459</v>
      </c>
      <c r="J668" s="572">
        <v>5541.3951296512996</v>
      </c>
      <c r="K668" s="572">
        <v>7561.74337929593</v>
      </c>
      <c r="L668" s="572">
        <v>9542.3754829911413</v>
      </c>
      <c r="M668" s="708">
        <f>H668/C668-1</f>
        <v>0</v>
      </c>
      <c r="N668" s="708">
        <f>I668/D668-1</f>
        <v>0.10431784529319943</v>
      </c>
      <c r="O668" s="708">
        <f>J668/E668-1</f>
        <v>7.4996391683138652E-2</v>
      </c>
      <c r="P668" s="708">
        <f>K668/F668-1</f>
        <v>6.5078652553684391E-2</v>
      </c>
      <c r="Q668" s="708">
        <f>L668/G668-1</f>
        <v>6.8386571358244774E-2</v>
      </c>
    </row>
    <row r="669" spans="2:17" x14ac:dyDescent="0.55000000000000004">
      <c r="G669" s="557"/>
      <c r="H669" s="557"/>
      <c r="M669" s="708"/>
      <c r="N669" s="708"/>
      <c r="O669" s="708"/>
      <c r="P669" s="708"/>
      <c r="Q669" s="708"/>
    </row>
    <row r="670" spans="2:17" x14ac:dyDescent="0.55000000000000004">
      <c r="B670" s="557" t="s">
        <v>14</v>
      </c>
      <c r="C670" s="572">
        <v>-136.86792915473359</v>
      </c>
      <c r="D670" s="572">
        <v>431.31689610592827</v>
      </c>
      <c r="E670" s="572">
        <v>1323.9351846659029</v>
      </c>
      <c r="F670" s="572">
        <v>1920.1963461867813</v>
      </c>
      <c r="G670" s="572">
        <v>2512.2738113157543</v>
      </c>
      <c r="H670" s="572">
        <v>-136.86792915473359</v>
      </c>
      <c r="I670" s="572">
        <v>783.60468808793621</v>
      </c>
      <c r="J670" s="572">
        <v>1594.5493467046936</v>
      </c>
      <c r="K670" s="572">
        <v>2225.1422067342041</v>
      </c>
      <c r="L670" s="572">
        <v>2915.4017026584752</v>
      </c>
      <c r="M670" s="708">
        <f>H670/C670-1</f>
        <v>0</v>
      </c>
      <c r="N670" s="708">
        <f>I670/D670-1</f>
        <v>0.81677252888207907</v>
      </c>
      <c r="O670" s="708">
        <f>J670/E670-1</f>
        <v>0.20440136735778403</v>
      </c>
      <c r="P670" s="708">
        <f>K670/F670-1</f>
        <v>0.1588097285743717</v>
      </c>
      <c r="Q670" s="708">
        <f>L670/G670-1</f>
        <v>0.16046335774665832</v>
      </c>
    </row>
    <row r="671" spans="2:17" x14ac:dyDescent="0.55000000000000004">
      <c r="H671" s="557"/>
      <c r="M671" s="708"/>
      <c r="N671" s="708"/>
      <c r="O671" s="708"/>
      <c r="P671" s="708"/>
      <c r="Q671" s="708"/>
    </row>
    <row r="672" spans="2:17" x14ac:dyDescent="0.55000000000000004">
      <c r="B672" s="557" t="s">
        <v>6</v>
      </c>
      <c r="C672" s="709">
        <v>8.8903738498997864</v>
      </c>
      <c r="D672" s="618"/>
      <c r="E672" s="618"/>
      <c r="F672" s="618"/>
      <c r="G672" s="611"/>
      <c r="H672" s="709">
        <v>11.050412728876854</v>
      </c>
      <c r="I672" s="611"/>
      <c r="J672" s="611"/>
      <c r="K672" s="611"/>
      <c r="L672" s="611"/>
      <c r="M672" s="710">
        <f>H672/C672-1</f>
        <v>0.24296378481332548</v>
      </c>
      <c r="N672" s="710"/>
      <c r="O672" s="730"/>
      <c r="P672" s="710"/>
      <c r="Q672" s="710"/>
    </row>
    <row r="675" spans="2:17" x14ac:dyDescent="0.55000000000000004">
      <c r="B675" s="618" t="s">
        <v>972</v>
      </c>
      <c r="C675" s="1239" t="s">
        <v>973</v>
      </c>
      <c r="D675" s="1239"/>
      <c r="E675" s="1239"/>
      <c r="F675" s="1239"/>
      <c r="G675" s="1239"/>
      <c r="H675" s="1239" t="s">
        <v>975</v>
      </c>
      <c r="I675" s="1239"/>
      <c r="J675" s="1239"/>
      <c r="K675" s="1239"/>
      <c r="L675" s="1239"/>
      <c r="M675" s="1239" t="s">
        <v>976</v>
      </c>
      <c r="N675" s="1239"/>
      <c r="O675" s="1239"/>
      <c r="P675" s="1239"/>
      <c r="Q675" s="1239"/>
    </row>
    <row r="676" spans="2:17" x14ac:dyDescent="0.55000000000000004">
      <c r="C676" s="618">
        <v>2022</v>
      </c>
      <c r="D676" s="618">
        <v>2023</v>
      </c>
      <c r="E676" s="618">
        <v>2024</v>
      </c>
      <c r="F676" s="618">
        <v>2025</v>
      </c>
      <c r="G676" s="611">
        <v>2026</v>
      </c>
      <c r="H676" s="618">
        <v>2022</v>
      </c>
      <c r="I676" s="618">
        <v>2023</v>
      </c>
      <c r="J676" s="618">
        <v>2024</v>
      </c>
      <c r="K676" s="618">
        <v>2025</v>
      </c>
      <c r="L676" s="611">
        <v>2026</v>
      </c>
      <c r="M676" s="618">
        <v>2022</v>
      </c>
      <c r="N676" s="618">
        <v>2023</v>
      </c>
      <c r="O676" s="618">
        <v>2024</v>
      </c>
      <c r="P676" s="618">
        <v>2025</v>
      </c>
      <c r="Q676" s="611">
        <v>2026</v>
      </c>
    </row>
    <row r="677" spans="2:17" x14ac:dyDescent="0.55000000000000004">
      <c r="B677" s="557" t="s">
        <v>89</v>
      </c>
      <c r="C677" s="573">
        <v>-1479.745933812969</v>
      </c>
      <c r="D677" s="573">
        <v>-1832.29587191204</v>
      </c>
      <c r="E677" s="573">
        <v>-1704.1848935602727</v>
      </c>
      <c r="F677" s="573">
        <v>-1750.237139266635</v>
      </c>
      <c r="G677" s="573">
        <v>-2001.4317222280051</v>
      </c>
      <c r="H677" s="573">
        <v>-1479.745933812969</v>
      </c>
      <c r="I677" s="572">
        <v>-1088.5771999500228</v>
      </c>
      <c r="J677" s="572">
        <v>-949.41070011874751</v>
      </c>
      <c r="K677" s="572">
        <v>-903.16530441268321</v>
      </c>
      <c r="L677" s="572">
        <v>-938.18756436561227</v>
      </c>
      <c r="M677" s="708">
        <f>H677/C677-1</f>
        <v>0</v>
      </c>
      <c r="N677" s="708">
        <f>I677/D677-1</f>
        <v>-0.40589442096266415</v>
      </c>
      <c r="O677" s="708">
        <f>J677/E677-1</f>
        <v>-0.44289454524191907</v>
      </c>
      <c r="P677" s="708">
        <f>K677/F677-1</f>
        <v>-0.48397546586680384</v>
      </c>
      <c r="Q677" s="708">
        <f>L677/G677-1</f>
        <v>-0.53124178359618657</v>
      </c>
    </row>
    <row r="678" spans="2:17" x14ac:dyDescent="0.55000000000000004">
      <c r="M678" s="708"/>
      <c r="N678" s="708"/>
      <c r="O678" s="708"/>
      <c r="P678" s="708"/>
      <c r="Q678" s="708"/>
    </row>
    <row r="679" spans="2:17" x14ac:dyDescent="0.55000000000000004">
      <c r="B679" s="557" t="s">
        <v>11</v>
      </c>
      <c r="C679" s="572">
        <v>1771.8848390276289</v>
      </c>
      <c r="D679" s="572">
        <v>3258.290268126897</v>
      </c>
      <c r="E679" s="572">
        <v>4675.4282723842998</v>
      </c>
      <c r="F679" s="572">
        <v>6187.4445749890929</v>
      </c>
      <c r="G679" s="572">
        <v>7705.7618961232974</v>
      </c>
      <c r="H679" s="572">
        <v>1771.8848390276289</v>
      </c>
      <c r="I679" s="572">
        <v>4002.0089400889137</v>
      </c>
      <c r="J679" s="572">
        <v>5430.2024658258251</v>
      </c>
      <c r="K679" s="572">
        <v>7034.516409843045</v>
      </c>
      <c r="L679" s="572">
        <v>8769.0060539856895</v>
      </c>
      <c r="M679" s="708">
        <f>H679/C679-1</f>
        <v>0</v>
      </c>
      <c r="N679" s="708">
        <f>I679/D679-1</f>
        <v>0.22825427164583489</v>
      </c>
      <c r="O679" s="708">
        <f>J679/E679-1</f>
        <v>0.16143423649543398</v>
      </c>
      <c r="P679" s="708">
        <f>K679/F679-1</f>
        <v>0.13690172487006813</v>
      </c>
      <c r="Q679" s="708">
        <f>L679/G679-1</f>
        <v>0.13798040637581876</v>
      </c>
    </row>
    <row r="680" spans="2:17" x14ac:dyDescent="0.55000000000000004">
      <c r="G680" s="557"/>
      <c r="H680" s="557"/>
      <c r="M680" s="708"/>
      <c r="N680" s="708"/>
      <c r="O680" s="708"/>
      <c r="P680" s="708"/>
      <c r="Q680" s="708"/>
    </row>
    <row r="681" spans="2:17" x14ac:dyDescent="0.55000000000000004">
      <c r="B681" s="557" t="s">
        <v>705</v>
      </c>
      <c r="C681" s="572">
        <v>1765.7111610868226</v>
      </c>
      <c r="D681" s="572">
        <v>3377.0616234629379</v>
      </c>
      <c r="E681" s="572">
        <v>5154.8034695958841</v>
      </c>
      <c r="F681" s="572">
        <v>7099.7041966483193</v>
      </c>
      <c r="G681" s="572">
        <v>8931.5756476233837</v>
      </c>
      <c r="H681" s="572">
        <v>1765.7111610868226</v>
      </c>
      <c r="I681" s="572">
        <v>4120.7802954249546</v>
      </c>
      <c r="J681" s="572">
        <v>5909.5776630374094</v>
      </c>
      <c r="K681" s="572">
        <v>7946.7760315022715</v>
      </c>
      <c r="L681" s="572">
        <v>9994.8198054857749</v>
      </c>
      <c r="M681" s="708">
        <f>H681/C681-1</f>
        <v>0</v>
      </c>
      <c r="N681" s="708">
        <f>I681/D681-1</f>
        <v>0.22022656228564341</v>
      </c>
      <c r="O681" s="708">
        <f>J681/E681-1</f>
        <v>0.14642152661946128</v>
      </c>
      <c r="P681" s="708">
        <f>K681/F681-1</f>
        <v>0.11931086301508786</v>
      </c>
      <c r="Q681" s="708">
        <f>L681/G681-1</f>
        <v>0.11904329088287025</v>
      </c>
    </row>
    <row r="682" spans="2:17" x14ac:dyDescent="0.55000000000000004">
      <c r="G682" s="557"/>
      <c r="H682" s="557"/>
      <c r="M682" s="708"/>
      <c r="N682" s="708"/>
      <c r="O682" s="708"/>
      <c r="P682" s="708"/>
      <c r="Q682" s="708"/>
    </row>
    <row r="683" spans="2:17" x14ac:dyDescent="0.55000000000000004">
      <c r="B683" s="557" t="s">
        <v>14</v>
      </c>
      <c r="C683" s="572">
        <v>-136.86792915473359</v>
      </c>
      <c r="D683" s="572">
        <v>431.31689610592827</v>
      </c>
      <c r="E683" s="572">
        <v>1323.9351846659029</v>
      </c>
      <c r="F683" s="572">
        <v>1920.1963461867813</v>
      </c>
      <c r="G683" s="572">
        <v>2512.2738113157543</v>
      </c>
      <c r="H683" s="572">
        <v>-136.86792915473359</v>
      </c>
      <c r="I683" s="572">
        <v>1175.035568067945</v>
      </c>
      <c r="J683" s="572">
        <v>1852.2771200749705</v>
      </c>
      <c r="K683" s="572">
        <v>2479.2637571903897</v>
      </c>
      <c r="L683" s="572">
        <v>3214.0149555049329</v>
      </c>
      <c r="M683" s="708">
        <f>H683/C683-1</f>
        <v>0</v>
      </c>
      <c r="N683" s="708">
        <f>I683/D683-1</f>
        <v>1.7242975609732776</v>
      </c>
      <c r="O683" s="708">
        <f>J683/E683-1</f>
        <v>0.39906933626995911</v>
      </c>
      <c r="P683" s="708">
        <f>K683/F683-1</f>
        <v>0.29115116905301464</v>
      </c>
      <c r="Q683" s="708">
        <f>L683/G683-1</f>
        <v>0.2793251042256637</v>
      </c>
    </row>
    <row r="684" spans="2:17" x14ac:dyDescent="0.55000000000000004">
      <c r="H684" s="557"/>
      <c r="M684" s="708"/>
      <c r="N684" s="708"/>
      <c r="O684" s="708"/>
      <c r="P684" s="708"/>
      <c r="Q684" s="708"/>
    </row>
    <row r="685" spans="2:17" x14ac:dyDescent="0.55000000000000004">
      <c r="B685" s="557" t="s">
        <v>6</v>
      </c>
      <c r="C685" s="709">
        <v>8.8903738498997864</v>
      </c>
      <c r="D685" s="618"/>
      <c r="E685" s="618"/>
      <c r="F685" s="618"/>
      <c r="G685" s="611"/>
      <c r="H685" s="709">
        <v>12.143246488075429</v>
      </c>
      <c r="I685" s="611"/>
      <c r="J685" s="611"/>
      <c r="K685" s="611"/>
      <c r="L685" s="611"/>
      <c r="M685" s="710">
        <f>H685/C685-1</f>
        <v>0.36588704739478528</v>
      </c>
      <c r="N685" s="710"/>
      <c r="O685" s="710"/>
      <c r="P685" s="710"/>
      <c r="Q685" s="710"/>
    </row>
    <row r="687" spans="2:17" x14ac:dyDescent="0.55000000000000004">
      <c r="B687" s="618" t="s">
        <v>972</v>
      </c>
      <c r="C687" s="1239" t="s">
        <v>973</v>
      </c>
      <c r="D687" s="1239"/>
      <c r="E687" s="1239"/>
      <c r="F687" s="1239"/>
      <c r="G687" s="1239"/>
      <c r="H687" s="1239" t="s">
        <v>978</v>
      </c>
      <c r="I687" s="1239"/>
      <c r="J687" s="1239"/>
      <c r="K687" s="1239"/>
      <c r="L687" s="1239"/>
      <c r="M687" s="1239" t="s">
        <v>976</v>
      </c>
      <c r="N687" s="1239"/>
      <c r="O687" s="1239"/>
      <c r="P687" s="1239"/>
      <c r="Q687" s="1239"/>
    </row>
    <row r="688" spans="2:17" x14ac:dyDescent="0.55000000000000004">
      <c r="C688" s="618">
        <v>2022</v>
      </c>
      <c r="D688" s="618">
        <v>2023</v>
      </c>
      <c r="E688" s="618">
        <v>2024</v>
      </c>
      <c r="F688" s="618">
        <v>2025</v>
      </c>
      <c r="G688" s="611">
        <v>2026</v>
      </c>
      <c r="H688" s="618">
        <v>2022</v>
      </c>
      <c r="I688" s="618">
        <v>2023</v>
      </c>
      <c r="J688" s="618">
        <v>2024</v>
      </c>
      <c r="K688" s="618">
        <v>2025</v>
      </c>
      <c r="L688" s="611">
        <v>2026</v>
      </c>
      <c r="M688" s="618">
        <v>2022</v>
      </c>
      <c r="N688" s="618">
        <v>2023</v>
      </c>
      <c r="O688" s="618">
        <v>2024</v>
      </c>
      <c r="P688" s="618">
        <v>2025</v>
      </c>
      <c r="Q688" s="611">
        <v>2026</v>
      </c>
    </row>
    <row r="689" spans="2:51" x14ac:dyDescent="0.55000000000000004">
      <c r="B689" s="557" t="s">
        <v>89</v>
      </c>
      <c r="C689" s="573">
        <v>-1479.745933812969</v>
      </c>
      <c r="D689" s="573">
        <v>-1832.29587191204</v>
      </c>
      <c r="E689" s="573">
        <v>-1704.1848935602727</v>
      </c>
      <c r="F689" s="573">
        <v>-1750.237139266635</v>
      </c>
      <c r="G689" s="573">
        <v>-2001.4317222280051</v>
      </c>
      <c r="H689" s="573">
        <v>-1517.9760374959315</v>
      </c>
      <c r="I689" s="572">
        <v>-1906.2707922278737</v>
      </c>
      <c r="J689" s="572">
        <v>-1435.1212445834533</v>
      </c>
      <c r="K689" s="572">
        <v>-1311.0396100917519</v>
      </c>
      <c r="L689" s="572">
        <v>-1415.2359345256332</v>
      </c>
      <c r="M689" s="708">
        <f>H689/C689-1</f>
        <v>2.5835586237734853E-2</v>
      </c>
      <c r="N689" s="708">
        <f>I689/D689-1</f>
        <v>4.0372803022603154E-2</v>
      </c>
      <c r="O689" s="708">
        <f>J689/E689-1</f>
        <v>-0.15788407114365921</v>
      </c>
      <c r="P689" s="708">
        <f>K689/F689-1</f>
        <v>-0.25093601279590649</v>
      </c>
      <c r="Q689" s="708">
        <f>L689/G689-1</f>
        <v>-0.29288822655904323</v>
      </c>
    </row>
    <row r="690" spans="2:51" x14ac:dyDescent="0.55000000000000004">
      <c r="M690" s="708"/>
      <c r="N690" s="708"/>
      <c r="O690" s="708"/>
      <c r="P690" s="708"/>
      <c r="Q690" s="708"/>
    </row>
    <row r="691" spans="2:51" x14ac:dyDescent="0.55000000000000004">
      <c r="B691" s="557" t="s">
        <v>11</v>
      </c>
      <c r="C691" s="572">
        <v>1771.8848390276289</v>
      </c>
      <c r="D691" s="572">
        <v>3258.290268126897</v>
      </c>
      <c r="E691" s="572">
        <v>4675.4282723842998</v>
      </c>
      <c r="F691" s="572">
        <v>6187.4445749890929</v>
      </c>
      <c r="G691" s="572">
        <v>7705.7618961232974</v>
      </c>
      <c r="H691" s="572">
        <v>1735.9096962665471</v>
      </c>
      <c r="I691" s="572">
        <v>3233.8499773401609</v>
      </c>
      <c r="J691" s="572">
        <v>4658.5738652495438</v>
      </c>
      <c r="K691" s="572">
        <v>6212.7981289079089</v>
      </c>
      <c r="L691" s="572">
        <v>7751.6073831449112</v>
      </c>
      <c r="M691" s="708">
        <f>H691/C691-1</f>
        <v>-2.0303318798542302E-2</v>
      </c>
      <c r="N691" s="708">
        <f>I691/D691-1</f>
        <v>-7.5009556471425931E-3</v>
      </c>
      <c r="O691" s="708">
        <f>J691/E691-1</f>
        <v>-3.6048905368322171E-3</v>
      </c>
      <c r="P691" s="708">
        <f>K691/F691-1</f>
        <v>4.0975807720848856E-3</v>
      </c>
      <c r="Q691" s="708">
        <f>L691/G691-1</f>
        <v>5.9495073478299521E-3</v>
      </c>
    </row>
    <row r="692" spans="2:51" x14ac:dyDescent="0.55000000000000004">
      <c r="G692" s="557"/>
      <c r="H692" s="557"/>
      <c r="M692" s="708"/>
      <c r="N692" s="708"/>
      <c r="O692" s="708"/>
      <c r="P692" s="708"/>
      <c r="Q692" s="708"/>
    </row>
    <row r="693" spans="2:51" x14ac:dyDescent="0.55000000000000004">
      <c r="B693" s="557" t="s">
        <v>705</v>
      </c>
      <c r="C693" s="572">
        <v>1765.7111610868226</v>
      </c>
      <c r="D693" s="572">
        <v>3377.0616234629379</v>
      </c>
      <c r="E693" s="572">
        <v>5154.8034695958841</v>
      </c>
      <c r="F693" s="572">
        <v>7099.7041966483193</v>
      </c>
      <c r="G693" s="572">
        <v>8931.5756476233837</v>
      </c>
      <c r="H693" s="572">
        <v>1769.7392102651484</v>
      </c>
      <c r="I693" s="572">
        <v>3328.5803004740278</v>
      </c>
      <c r="J693" s="572">
        <v>5031.4628420927347</v>
      </c>
      <c r="K693" s="572">
        <v>6988.8550049921032</v>
      </c>
      <c r="L693" s="572">
        <v>8819.2289337281054</v>
      </c>
      <c r="M693" s="708">
        <f>H693/C693-1</f>
        <v>2.2812616622112092E-3</v>
      </c>
      <c r="N693" s="708">
        <f>I693/D693-1</f>
        <v>-1.4356067017573637E-2</v>
      </c>
      <c r="O693" s="708">
        <f>J693/E693-1</f>
        <v>-2.3927319097738264E-2</v>
      </c>
      <c r="P693" s="708">
        <f>K693/F693-1</f>
        <v>-1.5613212689698619E-2</v>
      </c>
      <c r="Q693" s="708">
        <f>L693/G693-1</f>
        <v>-1.2578599602990903E-2</v>
      </c>
    </row>
    <row r="694" spans="2:51" x14ac:dyDescent="0.55000000000000004">
      <c r="G694" s="557"/>
      <c r="H694" s="557"/>
      <c r="M694" s="708"/>
      <c r="N694" s="708"/>
      <c r="O694" s="708"/>
      <c r="P694" s="708"/>
      <c r="Q694" s="708"/>
    </row>
    <row r="695" spans="2:51" x14ac:dyDescent="0.55000000000000004">
      <c r="B695" s="557" t="s">
        <v>14</v>
      </c>
      <c r="C695" s="572">
        <v>-136.86792915473359</v>
      </c>
      <c r="D695" s="572">
        <v>431.31689610592827</v>
      </c>
      <c r="E695" s="572">
        <v>1323.9351846659029</v>
      </c>
      <c r="F695" s="572">
        <v>1920.1963461867813</v>
      </c>
      <c r="G695" s="572">
        <v>2512.2738113157543</v>
      </c>
      <c r="H695" s="572">
        <v>-186.99955312434696</v>
      </c>
      <c r="I695" s="572">
        <v>398.33625021467253</v>
      </c>
      <c r="J695" s="572">
        <v>1392.7761784882068</v>
      </c>
      <c r="K695" s="572">
        <v>2036.6971659975443</v>
      </c>
      <c r="L695" s="572">
        <v>2667.1937275851351</v>
      </c>
      <c r="M695" s="708">
        <f>H695/C695-1</f>
        <v>0.36627736153542556</v>
      </c>
      <c r="N695" s="708">
        <f>I695/D695-1</f>
        <v>-7.6464998679662055E-2</v>
      </c>
      <c r="O695" s="708">
        <f>J695/E695-1</f>
        <v>5.1997253807916755E-2</v>
      </c>
      <c r="P695" s="708">
        <f>K695/F695-1</f>
        <v>6.0671305849589796E-2</v>
      </c>
      <c r="Q695" s="708">
        <f>L695/G695-1</f>
        <v>6.1665219599707832E-2</v>
      </c>
    </row>
    <row r="696" spans="2:51" x14ac:dyDescent="0.55000000000000004">
      <c r="H696" s="557"/>
      <c r="M696" s="708"/>
      <c r="N696" s="708"/>
      <c r="O696" s="708"/>
      <c r="P696" s="708"/>
      <c r="Q696" s="708"/>
    </row>
    <row r="697" spans="2:51" x14ac:dyDescent="0.55000000000000004">
      <c r="B697" s="557" t="s">
        <v>6</v>
      </c>
      <c r="C697" s="709">
        <v>8.8903738498997864</v>
      </c>
      <c r="D697" s="618"/>
      <c r="E697" s="618"/>
      <c r="F697" s="618"/>
      <c r="G697" s="611"/>
      <c r="H697" s="709">
        <f>Valuation!G$9</f>
        <v>8.0563731560657796</v>
      </c>
      <c r="I697" s="611"/>
      <c r="J697" s="611"/>
      <c r="K697" s="611"/>
      <c r="L697" s="611"/>
      <c r="M697" s="710">
        <f>H697/C697-1</f>
        <v>-9.3809406433837172E-2</v>
      </c>
      <c r="N697" s="710"/>
      <c r="O697" s="710"/>
      <c r="P697" s="710"/>
      <c r="Q697" s="710"/>
    </row>
    <row r="699" spans="2:51" x14ac:dyDescent="0.55000000000000004">
      <c r="B699" s="711" t="s">
        <v>1004</v>
      </c>
      <c r="C699" s="1238" t="s">
        <v>777</v>
      </c>
      <c r="D699" s="1238"/>
      <c r="E699" s="1238"/>
      <c r="F699" s="1238"/>
      <c r="G699" s="711"/>
      <c r="H699" s="1238" t="s">
        <v>1007</v>
      </c>
      <c r="I699" s="1238"/>
      <c r="J699" s="1238"/>
      <c r="K699" s="1238"/>
    </row>
    <row r="700" spans="2:51" x14ac:dyDescent="0.55000000000000004">
      <c r="B700" s="712"/>
      <c r="C700" s="713">
        <v>2023</v>
      </c>
      <c r="D700" s="713">
        <v>2024</v>
      </c>
      <c r="E700" s="714">
        <v>2025</v>
      </c>
      <c r="F700" s="714">
        <v>2026</v>
      </c>
      <c r="G700" s="714"/>
      <c r="H700" s="713">
        <v>2023</v>
      </c>
      <c r="I700" s="713">
        <v>2024</v>
      </c>
      <c r="J700" s="713">
        <v>2025</v>
      </c>
      <c r="K700" s="713">
        <v>2026</v>
      </c>
      <c r="T700" s="572"/>
      <c r="AY700" s="559"/>
    </row>
    <row r="701" spans="2:51" x14ac:dyDescent="0.55000000000000004">
      <c r="B701" s="715" t="s">
        <v>1003</v>
      </c>
      <c r="C701" s="716">
        <v>0.7</v>
      </c>
      <c r="D701" s="716">
        <f>C701-5%</f>
        <v>0.64999999999999991</v>
      </c>
      <c r="E701" s="716">
        <f>D701-5%</f>
        <v>0.59999999999999987</v>
      </c>
      <c r="F701" s="716">
        <f>E701-5%</f>
        <v>0.54999999999999982</v>
      </c>
      <c r="G701" s="717"/>
      <c r="H701" s="716"/>
      <c r="I701" s="716"/>
      <c r="J701" s="716"/>
      <c r="K701" s="716"/>
      <c r="T701" s="572"/>
      <c r="AY701" s="559"/>
    </row>
    <row r="702" spans="2:51" x14ac:dyDescent="0.55000000000000004">
      <c r="B702" s="718"/>
      <c r="C702" s="719"/>
      <c r="D702" s="719"/>
      <c r="E702" s="719"/>
      <c r="F702" s="719"/>
      <c r="G702" s="719"/>
      <c r="H702" s="720"/>
      <c r="I702" s="720"/>
      <c r="J702" s="720"/>
      <c r="K702" s="720"/>
      <c r="T702" s="572"/>
      <c r="AY702" s="559"/>
    </row>
    <row r="703" spans="2:51" x14ac:dyDescent="0.55000000000000004">
      <c r="B703" s="715" t="s">
        <v>705</v>
      </c>
      <c r="C703" s="721">
        <f>I668</f>
        <v>3729.3494154449459</v>
      </c>
      <c r="D703" s="721">
        <f>J668</f>
        <v>5541.3951296512996</v>
      </c>
      <c r="E703" s="721">
        <f>K668</f>
        <v>7561.74337929593</v>
      </c>
      <c r="F703" s="721">
        <f>L668</f>
        <v>9542.3754829911413</v>
      </c>
      <c r="G703" s="717"/>
      <c r="H703" s="716">
        <f>N668</f>
        <v>0.10431784529319943</v>
      </c>
      <c r="I703" s="716">
        <f>O668</f>
        <v>7.4996391683138652E-2</v>
      </c>
      <c r="J703" s="716">
        <f>P668</f>
        <v>6.5078652553684391E-2</v>
      </c>
      <c r="K703" s="716">
        <f>Q668</f>
        <v>6.8386571358244774E-2</v>
      </c>
      <c r="T703" s="572"/>
      <c r="AY703" s="559"/>
    </row>
    <row r="704" spans="2:51" x14ac:dyDescent="0.55000000000000004">
      <c r="B704" s="718"/>
      <c r="C704" s="722"/>
      <c r="D704" s="722"/>
      <c r="E704" s="722"/>
      <c r="F704" s="722"/>
      <c r="G704" s="719"/>
      <c r="H704" s="720"/>
      <c r="I704" s="720"/>
      <c r="J704" s="720"/>
      <c r="K704" s="720"/>
      <c r="T704" s="572"/>
      <c r="AY704" s="559"/>
    </row>
    <row r="705" spans="2:51" x14ac:dyDescent="0.55000000000000004">
      <c r="B705" s="723" t="s">
        <v>14</v>
      </c>
      <c r="C705" s="724">
        <f>I670</f>
        <v>783.60468808793621</v>
      </c>
      <c r="D705" s="724">
        <f>J670</f>
        <v>1594.5493467046936</v>
      </c>
      <c r="E705" s="724">
        <f>K670</f>
        <v>2225.1422067342041</v>
      </c>
      <c r="F705" s="724">
        <f>L670</f>
        <v>2915.4017026584752</v>
      </c>
      <c r="G705" s="725"/>
      <c r="H705" s="726">
        <f>N670</f>
        <v>0.81677252888207907</v>
      </c>
      <c r="I705" s="726">
        <f>O670</f>
        <v>0.20440136735778403</v>
      </c>
      <c r="J705" s="726">
        <f>P670</f>
        <v>0.1588097285743717</v>
      </c>
      <c r="K705" s="726">
        <f>Q670</f>
        <v>0.16046335774665832</v>
      </c>
      <c r="T705" s="572"/>
      <c r="AY705" s="559"/>
    </row>
    <row r="706" spans="2:51" x14ac:dyDescent="0.55000000000000004">
      <c r="B706" s="727" t="s">
        <v>1005</v>
      </c>
      <c r="C706" s="727"/>
      <c r="D706" s="727"/>
      <c r="E706" s="727"/>
      <c r="F706" s="727"/>
      <c r="G706" s="727"/>
      <c r="H706" s="727"/>
      <c r="I706" s="727"/>
      <c r="J706" s="727"/>
      <c r="K706" s="727"/>
      <c r="T706" s="572"/>
      <c r="AY706" s="559"/>
    </row>
    <row r="707" spans="2:51" x14ac:dyDescent="0.55000000000000004">
      <c r="B707" s="712"/>
      <c r="C707" s="713">
        <v>2023</v>
      </c>
      <c r="D707" s="713">
        <v>2024</v>
      </c>
      <c r="E707" s="713">
        <v>2025</v>
      </c>
      <c r="F707" s="714">
        <v>2026</v>
      </c>
      <c r="G707" s="713"/>
      <c r="H707" s="713">
        <v>2023</v>
      </c>
      <c r="I707" s="713">
        <v>2024</v>
      </c>
      <c r="J707" s="713">
        <v>2025</v>
      </c>
      <c r="K707" s="713">
        <v>2026</v>
      </c>
      <c r="T707" s="572"/>
      <c r="AY707" s="559"/>
    </row>
    <row r="708" spans="2:51" x14ac:dyDescent="0.55000000000000004">
      <c r="B708" s="715" t="s">
        <v>1003</v>
      </c>
      <c r="C708" s="716">
        <v>0.5</v>
      </c>
      <c r="D708" s="716">
        <f>C708-5%</f>
        <v>0.45</v>
      </c>
      <c r="E708" s="716">
        <f>D708-5%</f>
        <v>0.4</v>
      </c>
      <c r="F708" s="716">
        <f>E708-5%</f>
        <v>0.35000000000000003</v>
      </c>
      <c r="G708" s="717"/>
      <c r="H708" s="716"/>
      <c r="I708" s="716"/>
      <c r="J708" s="716"/>
      <c r="K708" s="716"/>
      <c r="T708" s="572"/>
      <c r="AY708" s="559"/>
    </row>
    <row r="709" spans="2:51" x14ac:dyDescent="0.55000000000000004">
      <c r="B709" s="718"/>
      <c r="C709" s="719"/>
      <c r="D709" s="719"/>
      <c r="E709" s="719"/>
      <c r="F709" s="719"/>
      <c r="G709" s="719"/>
      <c r="H709" s="720"/>
      <c r="I709" s="720"/>
      <c r="J709" s="720"/>
      <c r="K709" s="720"/>
      <c r="T709" s="572"/>
      <c r="AY709" s="559"/>
    </row>
    <row r="710" spans="2:51" x14ac:dyDescent="0.55000000000000004">
      <c r="B710" s="715" t="s">
        <v>705</v>
      </c>
      <c r="C710" s="721">
        <f>I681</f>
        <v>4120.7802954249546</v>
      </c>
      <c r="D710" s="721">
        <f>J681</f>
        <v>5909.5776630374094</v>
      </c>
      <c r="E710" s="721">
        <f>K681</f>
        <v>7946.7760315022715</v>
      </c>
      <c r="F710" s="721">
        <f>L681</f>
        <v>9994.8198054857749</v>
      </c>
      <c r="G710" s="717"/>
      <c r="H710" s="716">
        <f>N681</f>
        <v>0.22022656228564341</v>
      </c>
      <c r="I710" s="716">
        <f>O681</f>
        <v>0.14642152661946128</v>
      </c>
      <c r="J710" s="716">
        <f>P681</f>
        <v>0.11931086301508786</v>
      </c>
      <c r="K710" s="716">
        <f>Q681</f>
        <v>0.11904329088287025</v>
      </c>
      <c r="T710" s="572"/>
      <c r="AY710" s="559"/>
    </row>
    <row r="711" spans="2:51" x14ac:dyDescent="0.55000000000000004">
      <c r="B711" s="718"/>
      <c r="C711" s="722"/>
      <c r="D711" s="722"/>
      <c r="E711" s="722"/>
      <c r="F711" s="722"/>
      <c r="G711" s="719"/>
      <c r="H711" s="720"/>
      <c r="I711" s="720"/>
      <c r="J711" s="720"/>
      <c r="K711" s="720"/>
      <c r="T711" s="572"/>
      <c r="AY711" s="559"/>
    </row>
    <row r="712" spans="2:51" x14ac:dyDescent="0.55000000000000004">
      <c r="B712" s="723" t="s">
        <v>14</v>
      </c>
      <c r="C712" s="724">
        <f>I683</f>
        <v>1175.035568067945</v>
      </c>
      <c r="D712" s="724">
        <f>J683</f>
        <v>1852.2771200749705</v>
      </c>
      <c r="E712" s="724">
        <f>K683</f>
        <v>2479.2637571903897</v>
      </c>
      <c r="F712" s="724">
        <f>L683</f>
        <v>3214.0149555049329</v>
      </c>
      <c r="G712" s="725"/>
      <c r="H712" s="726">
        <f>N683</f>
        <v>1.7242975609732776</v>
      </c>
      <c r="I712" s="726">
        <f>O683</f>
        <v>0.39906933626995911</v>
      </c>
      <c r="J712" s="726">
        <f>P683</f>
        <v>0.29115116905301464</v>
      </c>
      <c r="K712" s="726">
        <f>Q683</f>
        <v>0.2793251042256637</v>
      </c>
      <c r="T712" s="572"/>
      <c r="AY712" s="559"/>
    </row>
    <row r="713" spans="2:51" x14ac:dyDescent="0.55000000000000004">
      <c r="B713" s="727" t="s">
        <v>1006</v>
      </c>
      <c r="C713" s="727"/>
      <c r="D713" s="727"/>
      <c r="E713" s="727"/>
      <c r="F713" s="728"/>
      <c r="G713" s="727"/>
      <c r="H713" s="727"/>
      <c r="I713" s="727"/>
      <c r="J713" s="727"/>
      <c r="K713" s="727"/>
      <c r="T713" s="572"/>
      <c r="AY713" s="559"/>
    </row>
    <row r="714" spans="2:51" x14ac:dyDescent="0.55000000000000004">
      <c r="B714" s="712"/>
      <c r="C714" s="713">
        <v>2023</v>
      </c>
      <c r="D714" s="713">
        <v>2024</v>
      </c>
      <c r="E714" s="713">
        <v>2025</v>
      </c>
      <c r="F714" s="714">
        <v>2026</v>
      </c>
      <c r="G714" s="713"/>
      <c r="H714" s="713">
        <v>2023</v>
      </c>
      <c r="I714" s="713">
        <v>2024</v>
      </c>
      <c r="J714" s="713">
        <v>2025</v>
      </c>
      <c r="K714" s="713">
        <v>2026</v>
      </c>
      <c r="T714" s="572"/>
      <c r="AY714" s="559"/>
    </row>
    <row r="715" spans="2:51" x14ac:dyDescent="0.55000000000000004">
      <c r="B715" s="715" t="s">
        <v>1003</v>
      </c>
      <c r="C715" s="716">
        <v>0.8</v>
      </c>
      <c r="D715" s="716">
        <f>C715-10%</f>
        <v>0.70000000000000007</v>
      </c>
      <c r="E715" s="716">
        <f>D715-10%</f>
        <v>0.60000000000000009</v>
      </c>
      <c r="F715" s="716">
        <f>E715-10%</f>
        <v>0.50000000000000011</v>
      </c>
      <c r="G715" s="717"/>
      <c r="H715" s="717"/>
      <c r="I715" s="717"/>
      <c r="J715" s="717"/>
      <c r="K715" s="717"/>
      <c r="T715" s="572"/>
      <c r="AY715" s="559"/>
    </row>
    <row r="716" spans="2:51" x14ac:dyDescent="0.55000000000000004">
      <c r="B716" s="718"/>
      <c r="C716" s="719"/>
      <c r="D716" s="719"/>
      <c r="E716" s="719"/>
      <c r="F716" s="719"/>
      <c r="G716" s="719"/>
      <c r="H716" s="719"/>
      <c r="I716" s="719"/>
      <c r="J716" s="719"/>
      <c r="K716" s="719"/>
      <c r="T716" s="572"/>
      <c r="AY716" s="559"/>
    </row>
    <row r="717" spans="2:51" x14ac:dyDescent="0.55000000000000004">
      <c r="B717" s="715" t="s">
        <v>705</v>
      </c>
      <c r="C717" s="721">
        <f>I693</f>
        <v>3328.5803004740278</v>
      </c>
      <c r="D717" s="721">
        <f>J693</f>
        <v>5031.4628420927347</v>
      </c>
      <c r="E717" s="721">
        <f>K693</f>
        <v>6988.8550049921032</v>
      </c>
      <c r="F717" s="721">
        <f>L693</f>
        <v>8819.2289337281054</v>
      </c>
      <c r="G717" s="717"/>
      <c r="H717" s="716">
        <f>N693</f>
        <v>-1.4356067017573637E-2</v>
      </c>
      <c r="I717" s="716">
        <f>O693</f>
        <v>-2.3927319097738264E-2</v>
      </c>
      <c r="J717" s="716">
        <f>P693</f>
        <v>-1.5613212689698619E-2</v>
      </c>
      <c r="K717" s="716">
        <f>Q693</f>
        <v>-1.2578599602990903E-2</v>
      </c>
      <c r="T717" s="572"/>
      <c r="AY717" s="559"/>
    </row>
    <row r="718" spans="2:51" x14ac:dyDescent="0.55000000000000004">
      <c r="B718" s="718"/>
      <c r="C718" s="722"/>
      <c r="D718" s="722"/>
      <c r="E718" s="722"/>
      <c r="F718" s="722"/>
      <c r="G718" s="719"/>
      <c r="H718" s="720"/>
      <c r="I718" s="720"/>
      <c r="J718" s="720"/>
      <c r="K718" s="720"/>
      <c r="T718" s="572"/>
      <c r="AY718" s="559"/>
    </row>
    <row r="719" spans="2:51" x14ac:dyDescent="0.55000000000000004">
      <c r="B719" s="723" t="s">
        <v>14</v>
      </c>
      <c r="C719" s="724">
        <f>I695</f>
        <v>398.33625021467253</v>
      </c>
      <c r="D719" s="724">
        <f>J695</f>
        <v>1392.7761784882068</v>
      </c>
      <c r="E719" s="724">
        <f>K695</f>
        <v>2036.6971659975443</v>
      </c>
      <c r="F719" s="724">
        <f>L695</f>
        <v>2667.1937275851351</v>
      </c>
      <c r="G719" s="725"/>
      <c r="H719" s="726">
        <f>N695</f>
        <v>-7.6464998679662055E-2</v>
      </c>
      <c r="I719" s="726">
        <f>O695</f>
        <v>5.1997253807916755E-2</v>
      </c>
      <c r="J719" s="726">
        <f>P695</f>
        <v>6.0671305849589796E-2</v>
      </c>
      <c r="K719" s="726">
        <f>Q695</f>
        <v>6.1665219599707832E-2</v>
      </c>
      <c r="T719" s="572"/>
      <c r="AY719" s="559"/>
    </row>
    <row r="720" spans="2:51" x14ac:dyDescent="0.55000000000000004">
      <c r="F720" s="729"/>
    </row>
    <row r="724" spans="2:50" x14ac:dyDescent="0.55000000000000004">
      <c r="B724" s="707" t="s">
        <v>1009</v>
      </c>
      <c r="C724" s="618">
        <v>2022</v>
      </c>
      <c r="D724" s="618">
        <v>2023</v>
      </c>
      <c r="E724" s="618">
        <v>2024</v>
      </c>
      <c r="F724" s="618">
        <v>2025</v>
      </c>
      <c r="R724" s="559"/>
      <c r="S724" s="559"/>
      <c r="AW724" s="572"/>
      <c r="AX724" s="572"/>
    </row>
    <row r="725" spans="2:50" x14ac:dyDescent="0.55000000000000004">
      <c r="B725" s="557" t="s">
        <v>346</v>
      </c>
      <c r="C725" s="578">
        <f>Master!F154/Master!E154-1</f>
        <v>0.64340472343497535</v>
      </c>
      <c r="D725" s="578">
        <f>Master!G154/Master!F154-1</f>
        <v>0.72220479029390239</v>
      </c>
      <c r="E725" s="578">
        <f>Master!H154/Master!G154-1</f>
        <v>0.48402965543987087</v>
      </c>
      <c r="F725" s="578">
        <f>Master!I154/Master!H154-1</f>
        <v>0.34122736386369845</v>
      </c>
      <c r="R725" s="559"/>
      <c r="S725" s="559"/>
      <c r="AW725" s="572"/>
      <c r="AX725" s="572"/>
    </row>
    <row r="726" spans="2:50" x14ac:dyDescent="0.55000000000000004">
      <c r="B726" s="557" t="s">
        <v>218</v>
      </c>
      <c r="C726" s="578">
        <f>Master!F155/Master!E155-1</f>
        <v>4.9053827586206902</v>
      </c>
      <c r="D726" s="578">
        <f>Master!G155/Master!F155-1</f>
        <v>0.40022262953942467</v>
      </c>
      <c r="E726" s="578">
        <f>Master!H155/Master!G155-1</f>
        <v>0.8372885861475956</v>
      </c>
      <c r="F726" s="578">
        <f>Master!I155/Master!H155-1</f>
        <v>0.41367132193348577</v>
      </c>
    </row>
    <row r="727" spans="2:50" x14ac:dyDescent="0.55000000000000004">
      <c r="B727" s="557" t="s">
        <v>354</v>
      </c>
      <c r="C727" s="578">
        <f>SUM(Master!F154:F155)/SUM(Master!E154:E155)-1</f>
        <v>0.92056469184730139</v>
      </c>
      <c r="D727" s="578">
        <f>SUM(Master!G154:G155)/SUM(Master!F154:F155)-1</f>
        <v>0.65782193727187388</v>
      </c>
      <c r="E727" s="578">
        <f>SUM(Master!H154:H155)/SUM(Master!G154:G155)-1</f>
        <v>0.5436906882557424</v>
      </c>
      <c r="F727" s="578">
        <f>SUM(Master!I154:I155)/SUM(Master!H154:H155)-1</f>
        <v>0.35578922483961084</v>
      </c>
    </row>
    <row r="731" spans="2:50" x14ac:dyDescent="0.55000000000000004">
      <c r="B731" s="707" t="s">
        <v>1051</v>
      </c>
    </row>
    <row r="732" spans="2:50" x14ac:dyDescent="0.55000000000000004">
      <c r="B732" s="557" t="s">
        <v>1052</v>
      </c>
      <c r="C732" s="580">
        <v>1.05</v>
      </c>
    </row>
    <row r="733" spans="2:50" x14ac:dyDescent="0.55000000000000004">
      <c r="B733" s="557" t="s">
        <v>1053</v>
      </c>
      <c r="C733" s="580">
        <v>1.03</v>
      </c>
    </row>
    <row r="734" spans="2:50" x14ac:dyDescent="0.55000000000000004">
      <c r="B734" s="557" t="s">
        <v>432</v>
      </c>
      <c r="C734" s="580">
        <v>1</v>
      </c>
    </row>
    <row r="735" spans="2:50" x14ac:dyDescent="0.55000000000000004">
      <c r="B735" s="557" t="s">
        <v>394</v>
      </c>
      <c r="C735" s="580">
        <v>1</v>
      </c>
    </row>
    <row r="736" spans="2:50" x14ac:dyDescent="0.55000000000000004">
      <c r="B736" s="557" t="s">
        <v>132</v>
      </c>
      <c r="C736" s="580">
        <v>1</v>
      </c>
    </row>
    <row r="737" spans="2:8" x14ac:dyDescent="0.55000000000000004">
      <c r="B737" s="557" t="s">
        <v>393</v>
      </c>
      <c r="C737" s="580">
        <v>0</v>
      </c>
    </row>
    <row r="741" spans="2:8" x14ac:dyDescent="0.55000000000000004">
      <c r="B741" s="707" t="s">
        <v>1061</v>
      </c>
    </row>
    <row r="742" spans="2:8" x14ac:dyDescent="0.55000000000000004">
      <c r="B742" s="557" t="s">
        <v>431</v>
      </c>
      <c r="C742" s="572">
        <f>C750/30</f>
        <v>266.66666666666669</v>
      </c>
      <c r="D742" s="557" t="s">
        <v>396</v>
      </c>
      <c r="F742" s="557" t="s">
        <v>256</v>
      </c>
      <c r="G742" s="583">
        <v>5.24</v>
      </c>
    </row>
    <row r="743" spans="2:8" x14ac:dyDescent="0.55000000000000004">
      <c r="B743" s="557" t="s">
        <v>432</v>
      </c>
      <c r="C743" s="572">
        <f>C752/20.3</f>
        <v>640.93201970443351</v>
      </c>
    </row>
    <row r="744" spans="2:8" x14ac:dyDescent="0.55000000000000004">
      <c r="B744" s="557" t="s">
        <v>394</v>
      </c>
      <c r="C744" s="572">
        <f>SUM(C751:E751)/14.3</f>
        <v>783.21678321678314</v>
      </c>
      <c r="D744" s="557" t="s">
        <v>396</v>
      </c>
    </row>
    <row r="745" spans="2:8" x14ac:dyDescent="0.55000000000000004">
      <c r="B745" s="557" t="s">
        <v>132</v>
      </c>
      <c r="C745" s="572">
        <f>E745*G742</f>
        <v>1419.4202150537635</v>
      </c>
      <c r="D745" s="557" t="s">
        <v>1060</v>
      </c>
      <c r="E745" s="557">
        <f>Quarts!M182/Quarts!M166</f>
        <v>270.88172043010752</v>
      </c>
    </row>
    <row r="746" spans="2:8" x14ac:dyDescent="0.55000000000000004">
      <c r="B746" s="557" t="s">
        <v>696</v>
      </c>
      <c r="C746" s="572">
        <f>SUM(C754:E754)/14.7</f>
        <v>1692.2448979591838</v>
      </c>
      <c r="D746" s="557" t="s">
        <v>396</v>
      </c>
    </row>
    <row r="747" spans="2:8" x14ac:dyDescent="0.55000000000000004">
      <c r="B747" s="557" t="s">
        <v>393</v>
      </c>
      <c r="C747" s="572">
        <f>SUM(C753:E753)/9.9</f>
        <v>1906.969696969697</v>
      </c>
      <c r="D747" s="557" t="s">
        <v>396</v>
      </c>
    </row>
    <row r="749" spans="2:8" x14ac:dyDescent="0.55000000000000004">
      <c r="B749" s="707" t="s">
        <v>47</v>
      </c>
      <c r="C749" s="557" t="s">
        <v>1062</v>
      </c>
      <c r="G749" s="557" t="s">
        <v>1063</v>
      </c>
      <c r="H749" s="557" t="s">
        <v>1064</v>
      </c>
    </row>
    <row r="750" spans="2:8" x14ac:dyDescent="0.55000000000000004">
      <c r="B750" s="557" t="s">
        <v>431</v>
      </c>
      <c r="C750" s="573">
        <v>8000</v>
      </c>
      <c r="D750" s="573"/>
      <c r="E750" s="573"/>
      <c r="F750" s="573">
        <f t="shared" ref="F750:F755" si="27">C750+D750+E750</f>
        <v>8000</v>
      </c>
      <c r="G750" s="557" t="s">
        <v>396</v>
      </c>
      <c r="H750" s="557"/>
    </row>
    <row r="751" spans="2:8" x14ac:dyDescent="0.55000000000000004">
      <c r="B751" s="557" t="s">
        <v>394</v>
      </c>
      <c r="C751" s="573">
        <v>5500</v>
      </c>
      <c r="D751" s="573">
        <v>4400</v>
      </c>
      <c r="E751" s="573">
        <f>11200-C751-D751</f>
        <v>1300</v>
      </c>
      <c r="F751" s="573">
        <f t="shared" si="27"/>
        <v>11200</v>
      </c>
      <c r="G751" s="557" t="s">
        <v>396</v>
      </c>
      <c r="H751" s="557"/>
    </row>
    <row r="752" spans="2:8" x14ac:dyDescent="0.55000000000000004">
      <c r="B752" s="557" t="s">
        <v>432</v>
      </c>
      <c r="C752" s="573">
        <f>H752*G742</f>
        <v>13010.92</v>
      </c>
      <c r="D752" s="573"/>
      <c r="E752" s="573"/>
      <c r="F752" s="573">
        <f t="shared" si="27"/>
        <v>13010.92</v>
      </c>
      <c r="G752" s="557" t="s">
        <v>1060</v>
      </c>
      <c r="H752" s="557">
        <v>2483</v>
      </c>
    </row>
    <row r="753" spans="2:8" x14ac:dyDescent="0.55000000000000004">
      <c r="B753" s="557" t="s">
        <v>393</v>
      </c>
      <c r="C753" s="573">
        <f>9697+1215</f>
        <v>10912</v>
      </c>
      <c r="D753" s="573">
        <v>7894</v>
      </c>
      <c r="E753" s="573">
        <f>18879-C753-D753</f>
        <v>73</v>
      </c>
      <c r="F753" s="573">
        <f t="shared" si="27"/>
        <v>18879</v>
      </c>
      <c r="G753" s="557" t="s">
        <v>396</v>
      </c>
      <c r="H753" s="557"/>
    </row>
    <row r="754" spans="2:8" x14ac:dyDescent="0.55000000000000004">
      <c r="B754" s="557" t="s">
        <v>696</v>
      </c>
      <c r="C754" s="573">
        <f>318+3337</f>
        <v>3655</v>
      </c>
      <c r="D754" s="573">
        <f>24876-C754-E754</f>
        <v>17884</v>
      </c>
      <c r="E754" s="573">
        <v>3337</v>
      </c>
      <c r="F754" s="573">
        <f t="shared" si="27"/>
        <v>24876</v>
      </c>
      <c r="G754" s="557" t="s">
        <v>396</v>
      </c>
      <c r="H754" s="557"/>
    </row>
    <row r="755" spans="2:8" x14ac:dyDescent="0.55000000000000004">
      <c r="B755" s="557" t="s">
        <v>132</v>
      </c>
      <c r="C755" s="573">
        <f>H755*G742</f>
        <v>66003.040000000008</v>
      </c>
      <c r="D755" s="573"/>
      <c r="E755" s="573"/>
      <c r="F755" s="573">
        <f t="shared" si="27"/>
        <v>66003.040000000008</v>
      </c>
      <c r="G755" s="557" t="s">
        <v>1060</v>
      </c>
      <c r="H755" s="573">
        <f>Quarts!M182</f>
        <v>12596</v>
      </c>
    </row>
    <row r="757" spans="2:8" x14ac:dyDescent="0.55000000000000004">
      <c r="B757" s="707" t="s">
        <v>521</v>
      </c>
    </row>
    <row r="771" spans="2:4" x14ac:dyDescent="0.55000000000000004">
      <c r="B771" s="618" t="s">
        <v>1070</v>
      </c>
    </row>
    <row r="772" spans="2:4" x14ac:dyDescent="0.55000000000000004">
      <c r="C772" s="557">
        <v>2510</v>
      </c>
      <c r="D772" s="580">
        <v>1.63</v>
      </c>
    </row>
    <row r="773" spans="2:4" x14ac:dyDescent="0.55000000000000004">
      <c r="C773" s="557">
        <v>405</v>
      </c>
      <c r="D773" s="580">
        <v>1.18</v>
      </c>
    </row>
    <row r="774" spans="2:4" x14ac:dyDescent="0.55000000000000004">
      <c r="C774" s="557">
        <v>218</v>
      </c>
      <c r="D774" s="580">
        <v>1.52</v>
      </c>
    </row>
    <row r="775" spans="2:4" x14ac:dyDescent="0.55000000000000004">
      <c r="B775" s="623"/>
      <c r="C775" s="623">
        <v>5167</v>
      </c>
      <c r="D775" s="731">
        <v>0.59</v>
      </c>
    </row>
    <row r="776" spans="2:4" x14ac:dyDescent="0.55000000000000004">
      <c r="C776" s="557">
        <f>SUM(C772:C775)</f>
        <v>8300</v>
      </c>
      <c r="D776" s="580">
        <f>((C772*D772)+(C773*D773)+(C774*D774)+(C775*D775))/C776</f>
        <v>0.95772168674698788</v>
      </c>
    </row>
    <row r="778" spans="2:4" x14ac:dyDescent="0.55000000000000004">
      <c r="B778" s="557" t="s">
        <v>393</v>
      </c>
      <c r="C778" s="580">
        <v>0.53</v>
      </c>
    </row>
    <row r="779" spans="2:4" x14ac:dyDescent="0.55000000000000004">
      <c r="B779" s="557" t="s">
        <v>394</v>
      </c>
      <c r="C779" s="580">
        <f>D776</f>
        <v>0.95772168674698788</v>
      </c>
    </row>
    <row r="780" spans="2:4" x14ac:dyDescent="0.55000000000000004">
      <c r="B780" s="572" t="s">
        <v>132</v>
      </c>
      <c r="C780" s="580">
        <v>0.96</v>
      </c>
    </row>
    <row r="781" spans="2:4" x14ac:dyDescent="0.55000000000000004">
      <c r="B781" s="557" t="s">
        <v>1071</v>
      </c>
      <c r="C781" s="580">
        <v>1</v>
      </c>
    </row>
    <row r="782" spans="2:4" x14ac:dyDescent="0.55000000000000004">
      <c r="B782" s="572" t="s">
        <v>395</v>
      </c>
      <c r="C782" s="580">
        <v>1.02</v>
      </c>
    </row>
    <row r="798" spans="2:13" x14ac:dyDescent="0.55000000000000004">
      <c r="E798" s="618" t="s">
        <v>1075</v>
      </c>
    </row>
    <row r="799" spans="2:13" x14ac:dyDescent="0.55000000000000004">
      <c r="B799" s="618"/>
      <c r="C799" s="618"/>
      <c r="D799" s="618"/>
      <c r="E799" s="618" t="s">
        <v>1074</v>
      </c>
      <c r="F799" s="618"/>
      <c r="G799" s="611"/>
      <c r="H799" s="618" t="s">
        <v>1072</v>
      </c>
      <c r="I799" s="618"/>
      <c r="J799" s="611"/>
      <c r="K799" s="618" t="s">
        <v>1073</v>
      </c>
      <c r="L799" s="618"/>
      <c r="M799" s="611"/>
    </row>
    <row r="800" spans="2:13" x14ac:dyDescent="0.55000000000000004">
      <c r="B800" s="732">
        <v>2022</v>
      </c>
      <c r="C800" s="579" t="s">
        <v>1068</v>
      </c>
      <c r="D800" s="584" t="s">
        <v>65</v>
      </c>
      <c r="E800" s="733">
        <v>0.05</v>
      </c>
      <c r="F800" s="733">
        <v>0.1</v>
      </c>
      <c r="G800" s="733">
        <v>0.2</v>
      </c>
      <c r="H800" s="733">
        <f t="shared" ref="H800:M800" si="28">E800</f>
        <v>0.05</v>
      </c>
      <c r="I800" s="733">
        <f t="shared" si="28"/>
        <v>0.1</v>
      </c>
      <c r="J800" s="733">
        <f t="shared" si="28"/>
        <v>0.2</v>
      </c>
      <c r="K800" s="733">
        <f t="shared" si="28"/>
        <v>0.05</v>
      </c>
      <c r="L800" s="733">
        <f t="shared" si="28"/>
        <v>0.1</v>
      </c>
      <c r="M800" s="733">
        <f t="shared" si="28"/>
        <v>0.2</v>
      </c>
    </row>
    <row r="801" spans="2:15" x14ac:dyDescent="0.55000000000000004">
      <c r="B801" s="557" t="s">
        <v>1067</v>
      </c>
      <c r="C801" s="557">
        <v>10619</v>
      </c>
      <c r="D801" s="704">
        <f>D802</f>
        <v>0.13250000000000001</v>
      </c>
      <c r="E801" s="572">
        <f>E$800*$H752*$D801*0.5</f>
        <v>8.2249375000000011</v>
      </c>
      <c r="F801" s="572">
        <f>F$800*$H752*$D801*0.5</f>
        <v>16.449875000000002</v>
      </c>
      <c r="G801" s="572">
        <f>G$800*$H752*$D801*0.5</f>
        <v>32.899750000000004</v>
      </c>
      <c r="H801" s="572">
        <f t="shared" ref="H801:J804" si="29">0.75*E801</f>
        <v>6.1687031250000004</v>
      </c>
      <c r="I801" s="572">
        <f t="shared" si="29"/>
        <v>12.337406250000001</v>
      </c>
      <c r="J801" s="572">
        <f t="shared" si="29"/>
        <v>24.674812500000002</v>
      </c>
      <c r="K801" s="783">
        <v>0</v>
      </c>
      <c r="L801" s="783">
        <v>0</v>
      </c>
      <c r="M801" s="783">
        <v>0</v>
      </c>
    </row>
    <row r="802" spans="2:15" x14ac:dyDescent="0.55000000000000004">
      <c r="B802" s="557" t="s">
        <v>1069</v>
      </c>
      <c r="C802" s="557">
        <v>15333</v>
      </c>
      <c r="D802" s="704">
        <f>D804</f>
        <v>0.13250000000000001</v>
      </c>
      <c r="E802" s="572">
        <f>E$800*$F751*$D802</f>
        <v>74.2</v>
      </c>
      <c r="F802" s="572">
        <f>F$800*$F751*$D802</f>
        <v>148.4</v>
      </c>
      <c r="G802" s="572">
        <f>G$800*$F751*$D802</f>
        <v>296.8</v>
      </c>
      <c r="H802" s="572">
        <f t="shared" si="29"/>
        <v>55.650000000000006</v>
      </c>
      <c r="I802" s="572">
        <f t="shared" si="29"/>
        <v>111.30000000000001</v>
      </c>
      <c r="J802" s="572">
        <f t="shared" si="29"/>
        <v>222.60000000000002</v>
      </c>
      <c r="K802" s="616">
        <f t="shared" ref="K802:M804" si="30">H802/$C802</f>
        <v>3.6294267266679713E-3</v>
      </c>
      <c r="L802" s="616">
        <f t="shared" si="30"/>
        <v>7.2588534533359426E-3</v>
      </c>
      <c r="M802" s="616">
        <f t="shared" si="30"/>
        <v>1.4517706906671885E-2</v>
      </c>
    </row>
    <row r="803" spans="2:15" x14ac:dyDescent="0.55000000000000004">
      <c r="B803" s="557" t="str">
        <f>B755</f>
        <v>Nubank</v>
      </c>
      <c r="C803" s="573">
        <f>Master!G4</f>
        <v>4790.1710000000003</v>
      </c>
      <c r="D803" s="704">
        <f>D801</f>
        <v>0.13250000000000001</v>
      </c>
      <c r="E803" s="572">
        <f>E$800*$H755*$D803</f>
        <v>83.44850000000001</v>
      </c>
      <c r="F803" s="572">
        <f>F$800*$H755*$D803</f>
        <v>166.89700000000002</v>
      </c>
      <c r="G803" s="572">
        <f>G$800*$H755*$D803</f>
        <v>333.79400000000004</v>
      </c>
      <c r="H803" s="572">
        <f t="shared" si="29"/>
        <v>62.586375000000004</v>
      </c>
      <c r="I803" s="572">
        <f t="shared" si="29"/>
        <v>125.17275000000001</v>
      </c>
      <c r="J803" s="572">
        <f t="shared" si="29"/>
        <v>250.34550000000002</v>
      </c>
      <c r="K803" s="616">
        <f t="shared" si="30"/>
        <v>1.3065582627426036E-2</v>
      </c>
      <c r="L803" s="616">
        <f t="shared" si="30"/>
        <v>2.6131165254852071E-2</v>
      </c>
      <c r="M803" s="616">
        <f t="shared" si="30"/>
        <v>5.2262330509704143E-2</v>
      </c>
      <c r="O803" s="572" t="s">
        <v>1060</v>
      </c>
    </row>
    <row r="804" spans="2:15" x14ac:dyDescent="0.55000000000000004">
      <c r="B804" s="557" t="str">
        <f>B750</f>
        <v>Picpay</v>
      </c>
      <c r="C804" s="557">
        <v>1700</v>
      </c>
      <c r="D804" s="704">
        <v>0.13250000000000001</v>
      </c>
      <c r="E804" s="557">
        <f>E$800*$F750*$D804</f>
        <v>53</v>
      </c>
      <c r="F804" s="557">
        <f>F$800*$F750*$D804</f>
        <v>106</v>
      </c>
      <c r="G804" s="557">
        <f>G$800*$F750*$D804</f>
        <v>212</v>
      </c>
      <c r="H804" s="572">
        <f t="shared" si="29"/>
        <v>39.75</v>
      </c>
      <c r="I804" s="572">
        <f t="shared" si="29"/>
        <v>79.5</v>
      </c>
      <c r="J804" s="572">
        <f t="shared" si="29"/>
        <v>159</v>
      </c>
      <c r="K804" s="616">
        <f t="shared" si="30"/>
        <v>2.3382352941176472E-2</v>
      </c>
      <c r="L804" s="616">
        <f t="shared" si="30"/>
        <v>4.6764705882352944E-2</v>
      </c>
      <c r="M804" s="616">
        <f t="shared" si="30"/>
        <v>9.3529411764705889E-2</v>
      </c>
    </row>
    <row r="827" spans="2:3" x14ac:dyDescent="0.55000000000000004">
      <c r="B827" s="618" t="s">
        <v>1080</v>
      </c>
    </row>
    <row r="828" spans="2:3" x14ac:dyDescent="0.55000000000000004">
      <c r="B828" s="618"/>
    </row>
    <row r="829" spans="2:3" x14ac:dyDescent="0.55000000000000004">
      <c r="B829" s="579" t="s">
        <v>1076</v>
      </c>
      <c r="C829" s="584" t="s">
        <v>1084</v>
      </c>
    </row>
    <row r="830" spans="2:3" ht="15.6" thickBot="1" x14ac:dyDescent="0.6">
      <c r="B830" s="737">
        <f>B831+1%</f>
        <v>0.16</v>
      </c>
      <c r="C830" s="738">
        <v>6.4</v>
      </c>
    </row>
    <row r="831" spans="2:3" ht="15.6" thickBot="1" x14ac:dyDescent="0.6">
      <c r="B831" s="735">
        <v>0.15</v>
      </c>
      <c r="C831" s="736">
        <v>7.2</v>
      </c>
    </row>
    <row r="832" spans="2:3" x14ac:dyDescent="0.55000000000000004">
      <c r="B832" s="737">
        <f>B831-1%</f>
        <v>0.13999999999999999</v>
      </c>
      <c r="C832" s="738">
        <v>8.1999999999999993</v>
      </c>
    </row>
    <row r="833" spans="2:16" x14ac:dyDescent="0.55000000000000004">
      <c r="B833" s="734">
        <f>B832-1%</f>
        <v>0.12999999999999998</v>
      </c>
      <c r="C833" s="585">
        <v>9.4</v>
      </c>
    </row>
    <row r="834" spans="2:16" x14ac:dyDescent="0.55000000000000004">
      <c r="B834" s="737">
        <f>B833-1%</f>
        <v>0.11999999999999998</v>
      </c>
      <c r="C834" s="738">
        <v>11</v>
      </c>
    </row>
    <row r="836" spans="2:16" x14ac:dyDescent="0.55000000000000004">
      <c r="C836" s="557" t="str">
        <f>Quarts!H2</f>
        <v>Q1 21</v>
      </c>
      <c r="D836" s="557" t="str">
        <f>Quarts!I2</f>
        <v>Q2 21</v>
      </c>
      <c r="E836" s="557" t="str">
        <f>Quarts!J2</f>
        <v>Q3 21</v>
      </c>
      <c r="F836" s="557" t="str">
        <f>Quarts!K2</f>
        <v>Q4 21</v>
      </c>
      <c r="G836" s="557">
        <f>Quarts!L2</f>
        <v>2021</v>
      </c>
      <c r="H836" s="557" t="str">
        <f>Quarts!M2</f>
        <v>Q1 22</v>
      </c>
      <c r="I836" s="557" t="e">
        <f>Quarts!#REF!</f>
        <v>#REF!</v>
      </c>
      <c r="J836" s="557" t="e">
        <f>Quarts!#REF!</f>
        <v>#REF!</v>
      </c>
      <c r="K836" s="557" t="e">
        <f>Quarts!#REF!</f>
        <v>#REF!</v>
      </c>
      <c r="L836" s="557">
        <f>Quarts!Q2</f>
        <v>2022</v>
      </c>
      <c r="M836" s="557" t="e">
        <f>Quarts!#REF!</f>
        <v>#REF!</v>
      </c>
      <c r="N836" s="557" t="e">
        <f>Quarts!#REF!</f>
        <v>#REF!</v>
      </c>
      <c r="O836" s="557" t="str">
        <f>Quarts!T2</f>
        <v>Q3 23</v>
      </c>
      <c r="P836" s="557" t="str">
        <f>Quarts!U2</f>
        <v>Q4 23</v>
      </c>
    </row>
    <row r="837" spans="2:16" x14ac:dyDescent="0.55000000000000004">
      <c r="C837" s="580">
        <f>Quarts!H31</f>
        <v>1.0740830577077807</v>
      </c>
    </row>
    <row r="839" spans="2:16" x14ac:dyDescent="0.55000000000000004">
      <c r="B839" s="618" t="s">
        <v>1081</v>
      </c>
    </row>
    <row r="840" spans="2:16" x14ac:dyDescent="0.55000000000000004">
      <c r="B840" s="618"/>
    </row>
    <row r="841" spans="2:16" x14ac:dyDescent="0.55000000000000004">
      <c r="B841" s="618"/>
      <c r="C841" s="618">
        <f>'Revenue and Expenses breakdown'!E1</f>
        <v>2021</v>
      </c>
      <c r="D841" s="618">
        <f>'Revenue and Expenses breakdown'!F1</f>
        <v>2022</v>
      </c>
      <c r="E841" s="618">
        <f>'Revenue and Expenses breakdown'!G1</f>
        <v>2023</v>
      </c>
      <c r="F841" s="618">
        <f>'Revenue and Expenses breakdown'!H1</f>
        <v>2024</v>
      </c>
      <c r="G841" s="618">
        <f>'Revenue and Expenses breakdown'!I1</f>
        <v>2025</v>
      </c>
      <c r="H841" s="618">
        <f>'Revenue and Expenses breakdown'!J1</f>
        <v>2026</v>
      </c>
      <c r="I841" s="618">
        <f>'Revenue and Expenses breakdown'!K1</f>
        <v>2027</v>
      </c>
      <c r="J841" s="618">
        <f>'Revenue and Expenses breakdown'!L1</f>
        <v>2028</v>
      </c>
      <c r="K841" s="618">
        <f>'Revenue and Expenses breakdown'!M1</f>
        <v>2029</v>
      </c>
      <c r="L841" s="618">
        <f>'Revenue and Expenses breakdown'!N1</f>
        <v>2030</v>
      </c>
    </row>
    <row r="842" spans="2:16" x14ac:dyDescent="0.55000000000000004">
      <c r="B842" s="557" t="s">
        <v>1082</v>
      </c>
      <c r="C842" s="580">
        <f>'Revenue and Expenses breakdown'!E69</f>
        <v>0.95684707704500005</v>
      </c>
      <c r="D842" s="580">
        <f>'Revenue and Expenses breakdown'!F69</f>
        <v>0.87038144188514732</v>
      </c>
      <c r="E842" s="580">
        <f>'Revenue and Expenses breakdown'!G69</f>
        <v>0.68038144188514726</v>
      </c>
      <c r="F842" s="580">
        <f>'Revenue and Expenses breakdown'!H69</f>
        <v>0.70038144188514728</v>
      </c>
      <c r="G842" s="580">
        <f>'Revenue and Expenses breakdown'!I69</f>
        <v>0.70038144188514728</v>
      </c>
      <c r="H842" s="580">
        <f>'Revenue and Expenses breakdown'!J69</f>
        <v>0.70038144188514728</v>
      </c>
      <c r="I842" s="580">
        <f>'Revenue and Expenses breakdown'!K69</f>
        <v>0.70038144188514728</v>
      </c>
      <c r="J842" s="580">
        <f>'Revenue and Expenses breakdown'!L69</f>
        <v>0.70038144188514728</v>
      </c>
      <c r="K842" s="580">
        <f>'Revenue and Expenses breakdown'!M69</f>
        <v>0.70038144188514728</v>
      </c>
      <c r="L842" s="580">
        <f>'Revenue and Expenses breakdown'!N69</f>
        <v>0.70038144188514728</v>
      </c>
    </row>
    <row r="843" spans="2:16" x14ac:dyDescent="0.55000000000000004">
      <c r="B843" s="557" t="s">
        <v>1083</v>
      </c>
      <c r="C843" s="580">
        <f>-'Revenue and Expenses breakdown'!E66/'Revenue and Expenses breakdown'!E4</f>
        <v>0.18705256247131002</v>
      </c>
      <c r="D843" s="580">
        <f>-'Revenue and Expenses breakdown'!F66/'Revenue and Expenses breakdown'!F4</f>
        <v>0.29393522694701296</v>
      </c>
      <c r="E843" s="580">
        <f>-'Revenue and Expenses breakdown'!G66/'Revenue and Expenses breakdown'!G4</f>
        <v>0.21590757397839438</v>
      </c>
      <c r="F843" s="580">
        <f>-'Revenue and Expenses breakdown'!H66/'Revenue and Expenses breakdown'!H4</f>
        <v>0.16443632738873476</v>
      </c>
      <c r="G843" s="580">
        <f>-'Revenue and Expenses breakdown'!I66/'Revenue and Expenses breakdown'!I4</f>
        <v>0.13379104657379193</v>
      </c>
      <c r="H843" s="580">
        <f>-'Revenue and Expenses breakdown'!J66/'Revenue and Expenses breakdown'!J4</f>
        <v>0.13100055891965542</v>
      </c>
      <c r="I843" s="580">
        <f>-'Revenue and Expenses breakdown'!K66/'Revenue and Expenses breakdown'!K4</f>
        <v>0.13703392463634706</v>
      </c>
      <c r="J843" s="580">
        <f>-'Revenue and Expenses breakdown'!L66/'Revenue and Expenses breakdown'!L4</f>
        <v>0.14432308568357799</v>
      </c>
      <c r="K843" s="580">
        <f>-'Revenue and Expenses breakdown'!M66/'Revenue and Expenses breakdown'!M4</f>
        <v>0.14760852969865432</v>
      </c>
      <c r="L843" s="580">
        <f>-'Revenue and Expenses breakdown'!N66/'Revenue and Expenses breakdown'!N4</f>
        <v>0.15171726028103769</v>
      </c>
    </row>
    <row r="862" spans="2:12" x14ac:dyDescent="0.55000000000000004">
      <c r="B862" s="618"/>
      <c r="C862" s="618">
        <f t="shared" ref="C862:L862" si="31">C841</f>
        <v>2021</v>
      </c>
      <c r="D862" s="618">
        <f t="shared" si="31"/>
        <v>2022</v>
      </c>
      <c r="E862" s="618">
        <f t="shared" si="31"/>
        <v>2023</v>
      </c>
      <c r="F862" s="618">
        <f t="shared" si="31"/>
        <v>2024</v>
      </c>
      <c r="G862" s="618">
        <f t="shared" si="31"/>
        <v>2025</v>
      </c>
      <c r="H862" s="618">
        <f t="shared" si="31"/>
        <v>2026</v>
      </c>
      <c r="I862" s="618">
        <f t="shared" si="31"/>
        <v>2027</v>
      </c>
      <c r="J862" s="618">
        <f t="shared" si="31"/>
        <v>2028</v>
      </c>
      <c r="K862" s="618">
        <f t="shared" si="31"/>
        <v>2029</v>
      </c>
      <c r="L862" s="618">
        <f t="shared" si="31"/>
        <v>2030</v>
      </c>
    </row>
    <row r="863" spans="2:12" x14ac:dyDescent="0.55000000000000004">
      <c r="B863" s="557" t="s">
        <v>924</v>
      </c>
      <c r="C863" s="573">
        <f>-Master!F12</f>
        <v>480.64299999999997</v>
      </c>
      <c r="D863" s="573">
        <f>-Master!G12</f>
        <v>1405</v>
      </c>
      <c r="E863" s="573">
        <f>-Master!H12</f>
        <v>2462.84</v>
      </c>
      <c r="F863" s="573">
        <f>-Master!I12</f>
        <v>3307.16</v>
      </c>
      <c r="G863" s="573">
        <f>-Master!J12</f>
        <v>3957.8399999999997</v>
      </c>
      <c r="H863" s="573">
        <f>-Master!K12</f>
        <v>4382.16</v>
      </c>
      <c r="I863" s="573">
        <f>-Master!L12</f>
        <v>4767.84</v>
      </c>
      <c r="J863" s="573">
        <f>-Master!M12</f>
        <v>5112.16</v>
      </c>
      <c r="K863" s="573">
        <f>-Master!N12</f>
        <v>5497.84</v>
      </c>
      <c r="L863" s="573">
        <f>-Master!O12</f>
        <v>5842.16</v>
      </c>
    </row>
    <row r="864" spans="2:12" x14ac:dyDescent="0.55000000000000004">
      <c r="B864" s="557" t="s">
        <v>1086</v>
      </c>
      <c r="C864" s="580">
        <f>C863/Master!F4</f>
        <v>0.28323831133481775</v>
      </c>
      <c r="D864" s="580">
        <f>D863/Master!G4</f>
        <v>0.2933089445032338</v>
      </c>
      <c r="E864" s="580">
        <f>E863/Master!H4</f>
        <v>0.31849235659646502</v>
      </c>
      <c r="F864" s="580">
        <f>F863/Master!I4</f>
        <v>0.32994718972253184</v>
      </c>
      <c r="G864" s="580">
        <f>G863/Master!J4</f>
        <v>0.31529652135295944</v>
      </c>
      <c r="H864" s="580">
        <f>H863/Master!K4</f>
        <v>0.295541066024465</v>
      </c>
      <c r="I864" s="580">
        <f>I863/Master!L4</f>
        <v>0.28164101684759479</v>
      </c>
      <c r="J864" s="580">
        <f>J863/Master!M4</f>
        <v>0.27302106007577392</v>
      </c>
      <c r="K864" s="580">
        <f>K863/Master!N4</f>
        <v>0.26213945510363201</v>
      </c>
      <c r="L864" s="580">
        <f>L863/Master!O4</f>
        <v>0.25226161993121637</v>
      </c>
    </row>
    <row r="867" spans="2:12" x14ac:dyDescent="0.55000000000000004">
      <c r="C867" s="618">
        <f t="shared" ref="C867:L867" si="32">C862</f>
        <v>2021</v>
      </c>
      <c r="D867" s="618">
        <f t="shared" si="32"/>
        <v>2022</v>
      </c>
      <c r="E867" s="618">
        <f t="shared" si="32"/>
        <v>2023</v>
      </c>
      <c r="F867" s="618">
        <f t="shared" si="32"/>
        <v>2024</v>
      </c>
      <c r="G867" s="618">
        <f t="shared" si="32"/>
        <v>2025</v>
      </c>
      <c r="H867" s="618">
        <f t="shared" si="32"/>
        <v>2026</v>
      </c>
      <c r="I867" s="618">
        <f t="shared" si="32"/>
        <v>2027</v>
      </c>
      <c r="J867" s="618">
        <f t="shared" si="32"/>
        <v>2028</v>
      </c>
      <c r="K867" s="618">
        <f t="shared" si="32"/>
        <v>2029</v>
      </c>
      <c r="L867" s="618">
        <f t="shared" si="32"/>
        <v>2030</v>
      </c>
    </row>
    <row r="868" spans="2:12" x14ac:dyDescent="0.55000000000000004">
      <c r="B868" s="557" t="s">
        <v>409</v>
      </c>
      <c r="C868" s="580">
        <f>Master!F16</f>
        <v>0.43127228795779687</v>
      </c>
      <c r="D868" s="580">
        <f>Master!G16</f>
        <v>0.34720493276753589</v>
      </c>
      <c r="E868" s="580">
        <f>Master!H16</f>
        <v>0.41160932748533774</v>
      </c>
      <c r="F868" s="580">
        <f>Master!I16</f>
        <v>0.45545835638956106</v>
      </c>
      <c r="G868" s="580">
        <f>Master!J16</f>
        <v>0.50573011967763692</v>
      </c>
      <c r="H868" s="580">
        <f>Master!K16</f>
        <v>0.52261099851155379</v>
      </c>
      <c r="I868" s="580">
        <f>Master!L16</f>
        <v>0.52969322263547258</v>
      </c>
      <c r="J868" s="580">
        <f>Master!M16</f>
        <v>0.5307178343724317</v>
      </c>
      <c r="K868" s="580">
        <f>Master!N16</f>
        <v>0.53897525974044558</v>
      </c>
      <c r="L868" s="580">
        <f>Master!O16</f>
        <v>0.5448908428541448</v>
      </c>
    </row>
    <row r="888" spans="2:8" x14ac:dyDescent="0.55000000000000004">
      <c r="B888" s="579"/>
      <c r="C888" s="584" t="str">
        <f>Quarts!H2</f>
        <v>Q1 21</v>
      </c>
      <c r="D888" s="584" t="str">
        <f>Quarts!I2</f>
        <v>Q2 21</v>
      </c>
      <c r="E888" s="584" t="str">
        <f>Quarts!J2</f>
        <v>Q3 21</v>
      </c>
      <c r="F888" s="584" t="str">
        <f>Quarts!K2</f>
        <v>Q4 21</v>
      </c>
      <c r="G888" s="584" t="str">
        <f>Quarts!M2</f>
        <v>Q1 22</v>
      </c>
      <c r="H888" s="584" t="str">
        <f>Quarts!N2</f>
        <v>Q2 22</v>
      </c>
    </row>
    <row r="889" spans="2:8" x14ac:dyDescent="0.55000000000000004">
      <c r="B889" s="557" t="s">
        <v>1114</v>
      </c>
      <c r="C889" s="585">
        <f>Quarts!H219</f>
        <v>-0.1215519854501364</v>
      </c>
      <c r="D889" s="585">
        <f>Quarts!I219</f>
        <v>0.1023723017738833</v>
      </c>
      <c r="E889" s="855">
        <v>1.5</v>
      </c>
      <c r="F889" s="585">
        <f>Quarts!K219</f>
        <v>8.961876430728917E-2</v>
      </c>
      <c r="G889" s="585">
        <f>Quarts!M219</f>
        <v>0.1043888573323529</v>
      </c>
      <c r="H889" s="585">
        <f>Quarts!N219</f>
        <v>0.10607737229318111</v>
      </c>
    </row>
    <row r="890" spans="2:8" x14ac:dyDescent="0.55000000000000004">
      <c r="B890" s="856" t="s">
        <v>753</v>
      </c>
      <c r="C890" s="585">
        <f>Quarts!H192/1000</f>
        <v>0.4</v>
      </c>
      <c r="D890" s="585">
        <f>Quarts!I192/1000</f>
        <v>0.6</v>
      </c>
      <c r="E890" s="585">
        <f>Quarts!J192/1000</f>
        <v>0.79270000000000007</v>
      </c>
      <c r="F890" s="585">
        <f>Quarts!K192/1000</f>
        <v>1.1948099999999999</v>
      </c>
      <c r="G890" s="585">
        <f>Quarts!M192/1000</f>
        <v>1.667</v>
      </c>
      <c r="H890" s="585">
        <f>Quarts!N192/1000</f>
        <v>1.6757760000000002</v>
      </c>
    </row>
    <row r="891" spans="2:8" x14ac:dyDescent="0.55000000000000004">
      <c r="B891" s="856" t="s">
        <v>1116</v>
      </c>
      <c r="C891" s="585">
        <f t="shared" ref="C891:H891" si="33">C889-C890</f>
        <v>-0.52155198545013648</v>
      </c>
      <c r="D891" s="585">
        <f t="shared" si="33"/>
        <v>-0.49762769822611669</v>
      </c>
      <c r="E891" s="585">
        <f t="shared" si="33"/>
        <v>0.70729999999999993</v>
      </c>
      <c r="F891" s="585">
        <f t="shared" si="33"/>
        <v>-1.1051912356927107</v>
      </c>
      <c r="G891" s="585">
        <f t="shared" si="33"/>
        <v>-1.5626111426676472</v>
      </c>
      <c r="H891" s="585">
        <f t="shared" si="33"/>
        <v>-1.569698627706819</v>
      </c>
    </row>
    <row r="892" spans="2:8" x14ac:dyDescent="0.55000000000000004">
      <c r="B892" s="557" t="s">
        <v>1117</v>
      </c>
      <c r="C892" s="580">
        <f>C891/(Quarts!H191/1000)</f>
        <v>-0.15804605619701106</v>
      </c>
      <c r="D892" s="580">
        <f>D891/(Quarts!I191/1000)</f>
        <v>-0.1382299161739213</v>
      </c>
      <c r="E892" s="580">
        <f>E891/(Quarts!J191/1000)</f>
        <v>0.17414748245722023</v>
      </c>
      <c r="F892" s="580">
        <f>F891/(Quarts!K191/1000)</f>
        <v>-0.23118737280466703</v>
      </c>
      <c r="G892" s="580">
        <f>G891/(Quarts!M191/1000)</f>
        <v>-0.25065947107276987</v>
      </c>
      <c r="H892" s="580">
        <f>H891/(Quarts!N191/1000)</f>
        <v>-0.24229465100661404</v>
      </c>
    </row>
    <row r="893" spans="2:8" x14ac:dyDescent="0.55000000000000004">
      <c r="C893" s="585"/>
      <c r="D893" s="585"/>
      <c r="E893" s="585"/>
      <c r="F893" s="585"/>
      <c r="G893" s="585"/>
      <c r="H893" s="585"/>
    </row>
    <row r="894" spans="2:8" x14ac:dyDescent="0.55000000000000004">
      <c r="B894" s="557" t="s">
        <v>1115</v>
      </c>
      <c r="C894" s="572">
        <f>Quarts!H59</f>
        <v>115.69999999999999</v>
      </c>
      <c r="D894" s="572">
        <f>Quarts!I59</f>
        <v>166.40000000000003</v>
      </c>
      <c r="E894" s="572">
        <f>Quarts!J59</f>
        <v>223.89999999999998</v>
      </c>
      <c r="F894" s="572">
        <f>Quarts!K59</f>
        <v>226.88700000000006</v>
      </c>
      <c r="G894" s="572">
        <f>Quarts!M59</f>
        <v>294.09400000000005</v>
      </c>
      <c r="H894" s="572">
        <f>Quarts!N59</f>
        <v>363.53300000000013</v>
      </c>
    </row>
    <row r="895" spans="2:8" x14ac:dyDescent="0.55000000000000004">
      <c r="B895" s="557" t="s">
        <v>1118</v>
      </c>
      <c r="C895" s="580"/>
      <c r="D895" s="580">
        <f>D894/(AVERAGE(C889,D889)*1000)*4</f>
        <v>-69.406775548034517</v>
      </c>
      <c r="E895" s="580">
        <f>E894/(AVERAGE(D889,E889)*1000)*4</f>
        <v>1.1178425875291764</v>
      </c>
      <c r="F895" s="580">
        <f>F894/(AVERAGE(E889,F889)*1000)*4</f>
        <v>1.1418435921590091</v>
      </c>
      <c r="G895" s="580">
        <f>G894/(AVERAGE(F889,G889)*1000)*4</f>
        <v>12.127111193446312</v>
      </c>
      <c r="H895" s="580">
        <f>H894/(AVERAGE(G889,H889)*1000)*4</f>
        <v>13.818197841879174</v>
      </c>
    </row>
    <row r="898" spans="2:9" x14ac:dyDescent="0.55000000000000004">
      <c r="C898" s="557" t="s">
        <v>1126</v>
      </c>
      <c r="F898" s="572"/>
      <c r="G898" s="557" t="s">
        <v>1127</v>
      </c>
      <c r="H898" s="557"/>
    </row>
    <row r="899" spans="2:9" x14ac:dyDescent="0.55000000000000004">
      <c r="C899" s="557" t="s">
        <v>1124</v>
      </c>
      <c r="D899" s="557" t="s">
        <v>1125</v>
      </c>
      <c r="E899" s="557" t="s">
        <v>673</v>
      </c>
      <c r="F899" s="572"/>
      <c r="G899" s="557" t="s">
        <v>1124</v>
      </c>
      <c r="H899" s="557" t="s">
        <v>1125</v>
      </c>
      <c r="I899" s="557" t="s">
        <v>673</v>
      </c>
    </row>
    <row r="900" spans="2:9" x14ac:dyDescent="0.55000000000000004">
      <c r="B900" s="557" t="s">
        <v>693</v>
      </c>
      <c r="C900" s="616">
        <v>4.4999999999999998E-2</v>
      </c>
      <c r="D900" s="616">
        <v>4.2999999999999997E-2</v>
      </c>
      <c r="E900" s="616">
        <f t="shared" ref="E900:E910" si="34">C900-D900</f>
        <v>2.0000000000000018E-3</v>
      </c>
      <c r="G900" s="616">
        <v>2.1999999999999999E-2</v>
      </c>
      <c r="H900" s="616">
        <v>2.1999999999999999E-2</v>
      </c>
      <c r="I900" s="616">
        <f t="shared" ref="I900:I910" si="35">G900-H900</f>
        <v>0</v>
      </c>
    </row>
    <row r="901" spans="2:9" x14ac:dyDescent="0.55000000000000004">
      <c r="B901" s="557" t="s">
        <v>694</v>
      </c>
      <c r="C901" s="616">
        <v>0.05</v>
      </c>
      <c r="D901" s="616">
        <v>4.8000000000000001E-2</v>
      </c>
      <c r="E901" s="616">
        <f t="shared" si="34"/>
        <v>2.0000000000000018E-3</v>
      </c>
      <c r="G901" s="616">
        <v>3.4000000000000002E-2</v>
      </c>
      <c r="H901" s="616">
        <v>3.5000000000000003E-2</v>
      </c>
      <c r="I901" s="616">
        <f t="shared" si="35"/>
        <v>-1.0000000000000009E-3</v>
      </c>
    </row>
    <row r="902" spans="2:9" x14ac:dyDescent="0.55000000000000004">
      <c r="B902" s="557" t="s">
        <v>695</v>
      </c>
      <c r="C902" s="616">
        <v>6.2E-2</v>
      </c>
      <c r="D902" s="616">
        <v>6.0999999999999999E-2</v>
      </c>
      <c r="E902" s="616">
        <f t="shared" si="34"/>
        <v>1.0000000000000009E-3</v>
      </c>
      <c r="G902" s="616">
        <v>2.1999999999999999E-2</v>
      </c>
      <c r="H902" s="616">
        <v>2.1999999999999999E-2</v>
      </c>
      <c r="I902" s="616">
        <f t="shared" si="35"/>
        <v>0</v>
      </c>
    </row>
    <row r="903" spans="2:9" x14ac:dyDescent="0.55000000000000004">
      <c r="B903" s="557" t="s">
        <v>561</v>
      </c>
      <c r="C903" s="616">
        <v>5.1999999999999998E-2</v>
      </c>
      <c r="D903" s="616">
        <v>5.1999999999999998E-2</v>
      </c>
      <c r="E903" s="616">
        <f t="shared" si="34"/>
        <v>0</v>
      </c>
      <c r="G903" s="616">
        <v>1.2E-2</v>
      </c>
      <c r="H903" s="616">
        <v>1.2E-2</v>
      </c>
      <c r="I903" s="616">
        <f t="shared" si="35"/>
        <v>0</v>
      </c>
    </row>
    <row r="904" spans="2:9" x14ac:dyDescent="0.55000000000000004">
      <c r="B904" s="557" t="s">
        <v>674</v>
      </c>
      <c r="C904" s="616">
        <v>3.6999999999999998E-2</v>
      </c>
      <c r="D904" s="616">
        <v>3.5999999999999997E-2</v>
      </c>
      <c r="E904" s="616">
        <f t="shared" si="34"/>
        <v>1.0000000000000009E-3</v>
      </c>
      <c r="G904" s="616">
        <v>1.2999999999999999E-2</v>
      </c>
      <c r="H904" s="616">
        <v>1.2999999999999999E-2</v>
      </c>
      <c r="I904" s="616">
        <f t="shared" si="35"/>
        <v>0</v>
      </c>
    </row>
    <row r="905" spans="2:9" x14ac:dyDescent="0.55000000000000004">
      <c r="B905" s="557" t="s">
        <v>375</v>
      </c>
      <c r="C905" s="616">
        <v>0.03</v>
      </c>
      <c r="D905" s="616">
        <v>2.7E-2</v>
      </c>
      <c r="E905" s="616">
        <f t="shared" si="34"/>
        <v>2.9999999999999992E-3</v>
      </c>
      <c r="G905" s="616">
        <v>2.4E-2</v>
      </c>
      <c r="H905" s="616">
        <v>2.4E-2</v>
      </c>
      <c r="I905" s="616">
        <f t="shared" si="35"/>
        <v>0</v>
      </c>
    </row>
    <row r="906" spans="2:9" x14ac:dyDescent="0.55000000000000004">
      <c r="B906" s="557" t="s">
        <v>376</v>
      </c>
      <c r="C906" s="616">
        <v>0.03</v>
      </c>
      <c r="D906" s="616">
        <v>2.9000000000000001E-2</v>
      </c>
      <c r="E906" s="616">
        <f t="shared" si="34"/>
        <v>9.9999999999999742E-4</v>
      </c>
      <c r="G906" s="616">
        <v>2.1999999999999999E-2</v>
      </c>
      <c r="H906" s="616">
        <v>2.1999999999999999E-2</v>
      </c>
      <c r="I906" s="616">
        <f t="shared" si="35"/>
        <v>0</v>
      </c>
    </row>
    <row r="907" spans="2:9" x14ac:dyDescent="0.55000000000000004">
      <c r="B907" s="557" t="s">
        <v>377</v>
      </c>
      <c r="C907" s="616">
        <v>3.2000000000000001E-2</v>
      </c>
      <c r="D907" s="616">
        <v>3.4000000000000002E-2</v>
      </c>
      <c r="E907" s="616">
        <f t="shared" si="34"/>
        <v>-2.0000000000000018E-3</v>
      </c>
      <c r="G907" s="616">
        <v>2.3E-2</v>
      </c>
      <c r="H907" s="616">
        <v>2.3E-2</v>
      </c>
      <c r="I907" s="616">
        <f t="shared" si="35"/>
        <v>0</v>
      </c>
    </row>
    <row r="908" spans="2:9" x14ac:dyDescent="0.55000000000000004">
      <c r="B908" s="557" t="s">
        <v>672</v>
      </c>
      <c r="C908" s="616">
        <v>3.1E-2</v>
      </c>
      <c r="D908" s="616">
        <v>3.5000000000000003E-2</v>
      </c>
      <c r="E908" s="616">
        <f t="shared" si="34"/>
        <v>-4.0000000000000036E-3</v>
      </c>
      <c r="G908" s="616">
        <v>2.5999999999999999E-2</v>
      </c>
      <c r="H908" s="616">
        <v>2.5999999999999999E-2</v>
      </c>
      <c r="I908" s="616">
        <f t="shared" si="35"/>
        <v>0</v>
      </c>
    </row>
    <row r="909" spans="2:9" x14ac:dyDescent="0.55000000000000004">
      <c r="B909" s="557" t="s">
        <v>870</v>
      </c>
      <c r="C909" s="616">
        <v>3.5000000000000003E-2</v>
      </c>
      <c r="D909" s="616">
        <v>4.2000000000000003E-2</v>
      </c>
      <c r="E909" s="616">
        <f t="shared" si="34"/>
        <v>-6.9999999999999993E-3</v>
      </c>
      <c r="G909" s="616">
        <v>3.6999999999999998E-2</v>
      </c>
      <c r="H909" s="616">
        <v>3.6999999999999998E-2</v>
      </c>
      <c r="I909" s="616">
        <f t="shared" si="35"/>
        <v>0</v>
      </c>
    </row>
    <row r="910" spans="2:9" x14ac:dyDescent="0.55000000000000004">
      <c r="B910" s="557" t="s">
        <v>1010</v>
      </c>
      <c r="C910" s="616">
        <v>4.1000000000000002E-2</v>
      </c>
      <c r="D910" s="616">
        <v>5.3999999999999999E-2</v>
      </c>
      <c r="E910" s="616">
        <f t="shared" si="34"/>
        <v>-1.2999999999999998E-2</v>
      </c>
      <c r="G910" s="616">
        <v>3.6999999999999998E-2</v>
      </c>
      <c r="H910" s="616">
        <v>3.5999999999999997E-2</v>
      </c>
      <c r="I910" s="616">
        <f t="shared" si="35"/>
        <v>1.0000000000000009E-3</v>
      </c>
    </row>
    <row r="912" spans="2:9" x14ac:dyDescent="0.55000000000000004">
      <c r="B912" s="618" t="s">
        <v>1139</v>
      </c>
    </row>
    <row r="914" spans="2:8" x14ac:dyDescent="0.55000000000000004">
      <c r="B914" s="579" t="s">
        <v>156</v>
      </c>
      <c r="C914" s="584" t="s">
        <v>377</v>
      </c>
      <c r="D914" s="584" t="s">
        <v>672</v>
      </c>
      <c r="E914" s="584" t="s">
        <v>870</v>
      </c>
      <c r="F914" s="584" t="s">
        <v>1010</v>
      </c>
      <c r="G914" s="584" t="s">
        <v>1011</v>
      </c>
      <c r="H914" s="584" t="s">
        <v>1012</v>
      </c>
    </row>
    <row r="915" spans="2:8" x14ac:dyDescent="0.55000000000000004">
      <c r="B915" s="557" t="s">
        <v>1137</v>
      </c>
      <c r="C915" s="557">
        <f>Quarts!J286</f>
        <v>12.1</v>
      </c>
      <c r="D915" s="557">
        <f>Quarts!K286</f>
        <v>14.3</v>
      </c>
      <c r="E915" s="557">
        <f>Quarts!M286</f>
        <v>15.9</v>
      </c>
      <c r="F915" s="585">
        <f>Quarts!N286</f>
        <v>20</v>
      </c>
      <c r="G915" s="585">
        <f>Quarts!O286</f>
        <v>21.2</v>
      </c>
      <c r="H915" s="585">
        <f>Quarts!P286</f>
        <v>23.8</v>
      </c>
    </row>
    <row r="916" spans="2:8" x14ac:dyDescent="0.55000000000000004">
      <c r="F916" s="585"/>
    </row>
    <row r="917" spans="2:8" x14ac:dyDescent="0.55000000000000004">
      <c r="B917" s="557" t="s">
        <v>1136</v>
      </c>
      <c r="F917" s="557">
        <f>SUM(C915:F915)</f>
        <v>62.3</v>
      </c>
    </row>
    <row r="918" spans="2:8" x14ac:dyDescent="0.55000000000000004">
      <c r="B918" s="557" t="s">
        <v>1138</v>
      </c>
      <c r="F918" s="585">
        <f>F930/F932/1000</f>
        <v>18.459769714285713</v>
      </c>
    </row>
    <row r="919" spans="2:8" x14ac:dyDescent="0.55000000000000004">
      <c r="C919" s="580"/>
      <c r="D919" s="580"/>
      <c r="E919" s="580"/>
      <c r="F919" s="580">
        <f>F918/F917</f>
        <v>0.29630448979591834</v>
      </c>
    </row>
    <row r="921" spans="2:8" x14ac:dyDescent="0.55000000000000004">
      <c r="B921" s="707" t="s">
        <v>1140</v>
      </c>
    </row>
    <row r="922" spans="2:8" x14ac:dyDescent="0.55000000000000004">
      <c r="B922" s="557" t="s">
        <v>1133</v>
      </c>
      <c r="F922" s="783">
        <v>7.0000000000000007E-2</v>
      </c>
    </row>
    <row r="923" spans="2:8" x14ac:dyDescent="0.55000000000000004">
      <c r="B923" s="557" t="s">
        <v>1135</v>
      </c>
      <c r="F923" s="572">
        <f>F922*(Quarts!N$6+Quarts!M$6+Quarts!K$6+Quarts!J$6)</f>
        <v>220.61676000000003</v>
      </c>
    </row>
    <row r="924" spans="2:8" x14ac:dyDescent="0.55000000000000004">
      <c r="B924" s="557" t="s">
        <v>1190</v>
      </c>
      <c r="F924" s="580">
        <f>F923/(Quarts!J302+Quarts!M302+Quarts!N302+Quarts!O302)</f>
        <v>0.27982420358898646</v>
      </c>
    </row>
    <row r="925" spans="2:8" x14ac:dyDescent="0.55000000000000004">
      <c r="B925" s="557" t="s">
        <v>1147</v>
      </c>
      <c r="F925" s="862">
        <f>F923/F930*F932</f>
        <v>1.1951219512195124E-2</v>
      </c>
    </row>
    <row r="926" spans="2:8" x14ac:dyDescent="0.55000000000000004">
      <c r="F926" s="572"/>
    </row>
    <row r="927" spans="2:8" x14ac:dyDescent="0.55000000000000004">
      <c r="B927" s="557" t="s">
        <v>1131</v>
      </c>
      <c r="F927" s="783">
        <v>2.9000000000000001E-2</v>
      </c>
    </row>
    <row r="928" spans="2:8" x14ac:dyDescent="0.55000000000000004">
      <c r="B928" s="557" t="s">
        <v>1132</v>
      </c>
      <c r="F928" s="572">
        <f>F927*(Quarts!N$6+Quarts!M$6+Quarts!K$6+Quarts!J$6)</f>
        <v>91.398372000000009</v>
      </c>
    </row>
    <row r="930" spans="2:6" x14ac:dyDescent="0.55000000000000004">
      <c r="B930" s="557" t="s">
        <v>1145</v>
      </c>
      <c r="F930" s="572">
        <f>F923-F928</f>
        <v>129.218388</v>
      </c>
    </row>
    <row r="931" spans="2:6" x14ac:dyDescent="0.55000000000000004">
      <c r="B931" s="557" t="s">
        <v>1146</v>
      </c>
      <c r="F931" s="783">
        <f>F930/(Quarts!N$6+Quarts!M$6+Quarts!K$6+Quarts!J$6)</f>
        <v>4.1000000000000002E-2</v>
      </c>
    </row>
    <row r="932" spans="2:6" x14ac:dyDescent="0.55000000000000004">
      <c r="B932" s="557" t="s">
        <v>1134</v>
      </c>
      <c r="F932" s="862">
        <v>7.0000000000000001E-3</v>
      </c>
    </row>
    <row r="934" spans="2:6" x14ac:dyDescent="0.55000000000000004">
      <c r="B934" s="707" t="s">
        <v>1144</v>
      </c>
    </row>
    <row r="935" spans="2:6" x14ac:dyDescent="0.55000000000000004">
      <c r="B935" s="557" t="s">
        <v>1143</v>
      </c>
      <c r="C935" s="585">
        <f>C915*$F$919</f>
        <v>3.5852843265306116</v>
      </c>
      <c r="D935" s="585">
        <f>D915*$F$919</f>
        <v>4.2371542040816328</v>
      </c>
      <c r="E935" s="585">
        <f>E915*$F$919</f>
        <v>4.711241387755102</v>
      </c>
      <c r="F935" s="585">
        <f>F915*$F$919</f>
        <v>5.9260897959183669</v>
      </c>
    </row>
    <row r="936" spans="2:6" x14ac:dyDescent="0.55000000000000004">
      <c r="B936" s="557" t="s">
        <v>1141</v>
      </c>
      <c r="C936" s="616">
        <f>D936</f>
        <v>4.9512195121951237E-3</v>
      </c>
      <c r="D936" s="616">
        <f>E936</f>
        <v>4.9512195121951237E-3</v>
      </c>
      <c r="E936" s="616">
        <f>F936</f>
        <v>4.9512195121951237E-3</v>
      </c>
      <c r="F936" s="616">
        <f>F925-F932</f>
        <v>4.9512195121951237E-3</v>
      </c>
    </row>
    <row r="937" spans="2:6" x14ac:dyDescent="0.55000000000000004">
      <c r="B937" s="557" t="s">
        <v>1142</v>
      </c>
      <c r="C937" s="572">
        <f>C936*C935*1000</f>
        <v>17.751529714285716</v>
      </c>
      <c r="D937" s="572">
        <f>D936*D935*1000</f>
        <v>20.979080571428579</v>
      </c>
      <c r="E937" s="572">
        <f>E936*E935*1000</f>
        <v>23.326390285714297</v>
      </c>
      <c r="F937" s="572">
        <f>F936*F935*1000</f>
        <v>29.341371428571438</v>
      </c>
    </row>
    <row r="938" spans="2:6" x14ac:dyDescent="0.55000000000000004">
      <c r="B938" s="557" t="s">
        <v>567</v>
      </c>
      <c r="C938" s="616">
        <f>C937/Quarts!J6</f>
        <v>3.6913141431244995E-2</v>
      </c>
      <c r="D938" s="616">
        <f>D937/Quarts!K6</f>
        <v>3.2989087919345503E-2</v>
      </c>
      <c r="E938" s="616">
        <f>E937/Quarts!M6</f>
        <v>2.658984127490752E-2</v>
      </c>
      <c r="F938" s="616">
        <f>F937/Quarts!N6</f>
        <v>2.5347581188871631E-2</v>
      </c>
    </row>
    <row r="940" spans="2:6" x14ac:dyDescent="0.55000000000000004">
      <c r="B940" s="557" t="s">
        <v>1152</v>
      </c>
      <c r="C940" s="616">
        <f>C937/Quarts!J59</f>
        <v>7.9283294838256899E-2</v>
      </c>
      <c r="D940" s="616">
        <f>D937/Quarts!K59</f>
        <v>9.2464885918666889E-2</v>
      </c>
      <c r="E940" s="616">
        <f>E937/Quarts!M59</f>
        <v>7.9316103986189088E-2</v>
      </c>
      <c r="F940" s="616">
        <f>F937/Quarts!N59</f>
        <v>8.0711713733200088E-2</v>
      </c>
    </row>
    <row r="942" spans="2:6" x14ac:dyDescent="0.55000000000000004">
      <c r="C942" s="618"/>
      <c r="D942" s="619" t="s">
        <v>1153</v>
      </c>
      <c r="E942" s="619" t="s">
        <v>1154</v>
      </c>
    </row>
    <row r="943" spans="2:6" x14ac:dyDescent="0.55000000000000004">
      <c r="B943" s="863" t="s">
        <v>522</v>
      </c>
      <c r="C943" s="557" t="s">
        <v>924</v>
      </c>
      <c r="D943" s="864">
        <v>500</v>
      </c>
      <c r="E943" s="864">
        <f>D943-450</f>
        <v>50</v>
      </c>
    </row>
    <row r="944" spans="2:6" x14ac:dyDescent="0.55000000000000004">
      <c r="B944" s="863"/>
      <c r="C944" s="557" t="s">
        <v>450</v>
      </c>
      <c r="D944" s="864">
        <v>1000</v>
      </c>
      <c r="E944" s="864">
        <f>D944-450</f>
        <v>550</v>
      </c>
    </row>
    <row r="945" spans="2:14" x14ac:dyDescent="0.55000000000000004">
      <c r="B945" s="863"/>
      <c r="D945" s="865">
        <f>D943/D944</f>
        <v>0.5</v>
      </c>
      <c r="E945" s="865">
        <f>E943/E944</f>
        <v>9.0909090909090912E-2</v>
      </c>
    </row>
    <row r="948" spans="2:14" x14ac:dyDescent="0.55000000000000004">
      <c r="C948" s="998" t="str">
        <f>Quarts!M2</f>
        <v>Q1 22</v>
      </c>
      <c r="D948" s="998" t="str">
        <f>Quarts!N2</f>
        <v>Q2 22</v>
      </c>
      <c r="E948" s="998" t="str">
        <f>Quarts!O2</f>
        <v>Q3 22</v>
      </c>
      <c r="F948" s="998" t="str">
        <f>Quarts!P2</f>
        <v>Q4 22</v>
      </c>
      <c r="G948" s="998" t="str">
        <f>Quarts!R2</f>
        <v>Q1 23</v>
      </c>
      <c r="H948" s="998" t="str">
        <f>Quarts!S2</f>
        <v>Q2 23</v>
      </c>
      <c r="I948" s="998" t="str">
        <f>Quarts!T2</f>
        <v>Q3 23</v>
      </c>
      <c r="J948" s="998" t="str">
        <f>Quarts!U2</f>
        <v>Q4 23</v>
      </c>
      <c r="K948" s="998" t="str">
        <f>Quarts!W2</f>
        <v>Q1 24</v>
      </c>
      <c r="L948" s="998" t="str">
        <f>Quarts!X2</f>
        <v>Q2 24</v>
      </c>
      <c r="M948" s="998" t="str">
        <f>Quarts!Y2</f>
        <v>Q3 24</v>
      </c>
      <c r="N948" s="998" t="str">
        <f>Quarts!Z2</f>
        <v>Q4 24</v>
      </c>
    </row>
    <row r="949" spans="2:14" x14ac:dyDescent="0.55000000000000004">
      <c r="B949" s="557" t="str">
        <f>Quarts!B191</f>
        <v>Credit cards</v>
      </c>
      <c r="C949" s="573">
        <f>Quarts!M203</f>
        <v>6814.4089999999997</v>
      </c>
      <c r="D949" s="573">
        <f>Quarts!N203</f>
        <v>7175.817</v>
      </c>
      <c r="E949" s="573">
        <f>Quarts!O203</f>
        <v>7812.2719999999999</v>
      </c>
      <c r="F949" s="573">
        <f>Quarts!P203</f>
        <v>9284</v>
      </c>
      <c r="G949" s="573">
        <f>Quarts!R203</f>
        <v>10474</v>
      </c>
      <c r="H949" s="573">
        <f>Quarts!S203</f>
        <v>12062</v>
      </c>
      <c r="I949" s="573">
        <f>Quarts!T203</f>
        <v>12633.471760797342</v>
      </c>
      <c r="J949" s="573">
        <f>Quarts!U203</f>
        <v>14290.077372206382</v>
      </c>
      <c r="K949" s="573">
        <f>Quarts!W203</f>
        <v>14726.998326328207</v>
      </c>
      <c r="L949" s="573">
        <f>Quarts!X203</f>
        <v>16076.465286878787</v>
      </c>
      <c r="M949" s="573">
        <f>Quarts!Y203</f>
        <v>17538.38782747525</v>
      </c>
      <c r="N949" s="573">
        <f>Quarts!Z203</f>
        <v>19393.062244792211</v>
      </c>
    </row>
    <row r="950" spans="2:14" x14ac:dyDescent="0.55000000000000004">
      <c r="B950" s="557" t="str">
        <f>Quarts!B192</f>
        <v>Personal loans</v>
      </c>
      <c r="C950" s="573">
        <f>Quarts!M204</f>
        <v>2007.5</v>
      </c>
      <c r="D950" s="573">
        <f>Quarts!N204</f>
        <v>1946.0530000000001</v>
      </c>
      <c r="E950" s="573">
        <f>Quarts!O204</f>
        <v>1904.7350000000001</v>
      </c>
      <c r="F950" s="573">
        <f>Quarts!P204</f>
        <v>1973</v>
      </c>
      <c r="G950" s="573">
        <f>Quarts!R204</f>
        <v>2336</v>
      </c>
      <c r="H950" s="573">
        <f>Quarts!S204</f>
        <v>2792</v>
      </c>
      <c r="I950" s="573">
        <f>Quarts!T204</f>
        <v>3039.8353402663747</v>
      </c>
      <c r="J950" s="573">
        <f>Quarts!U204</f>
        <v>3616.2162407352089</v>
      </c>
      <c r="K950" s="573">
        <f>Quarts!W204</f>
        <v>3689.891872316166</v>
      </c>
      <c r="L950" s="573">
        <f>Quarts!X204</f>
        <v>3928.1251029853338</v>
      </c>
      <c r="M950" s="573">
        <f>Quarts!Y204</f>
        <v>4321.7196331459209</v>
      </c>
      <c r="N950" s="573">
        <f>Quarts!Z204</f>
        <v>5052.6976911882102</v>
      </c>
    </row>
    <row r="951" spans="2:14" x14ac:dyDescent="0.55000000000000004">
      <c r="B951" s="557" t="str">
        <f>Quarts!B193</f>
        <v>Payroll</v>
      </c>
      <c r="C951" s="573"/>
      <c r="D951" s="573"/>
      <c r="E951" s="573"/>
      <c r="F951" s="573"/>
      <c r="G951" s="573"/>
      <c r="I951" s="573">
        <f>Quarts!T205</f>
        <v>125</v>
      </c>
      <c r="J951" s="573">
        <f>Quarts!U205</f>
        <v>297.60987169666799</v>
      </c>
      <c r="K951" s="573">
        <f>Quarts!W205</f>
        <v>420.34214021247709</v>
      </c>
      <c r="L951" s="573">
        <f>Quarts!X205</f>
        <v>613.76573789139388</v>
      </c>
      <c r="M951" s="573">
        <f>Quarts!Y205</f>
        <v>903.90113440976916</v>
      </c>
      <c r="N951" s="573">
        <f>Quarts!Z205</f>
        <v>1269.7890943834561</v>
      </c>
    </row>
    <row r="952" spans="2:14" x14ac:dyDescent="0.55000000000000004">
      <c r="C952" s="573"/>
      <c r="D952" s="573"/>
      <c r="E952" s="573">
        <f>SUM(E949:E951)</f>
        <v>9717.0069999999996</v>
      </c>
      <c r="F952" s="573"/>
      <c r="G952" s="573"/>
      <c r="I952" s="573">
        <f>SUM(I949:I951)</f>
        <v>15798.307101063716</v>
      </c>
      <c r="J952" s="573"/>
      <c r="K952" s="573"/>
      <c r="L952" s="573"/>
      <c r="M952" s="573">
        <f>SUM(M949:M951)</f>
        <v>22764.00859503094</v>
      </c>
      <c r="N952" s="573"/>
    </row>
    <row r="953" spans="2:14" x14ac:dyDescent="0.55000000000000004">
      <c r="C953" s="573"/>
      <c r="D953" s="573"/>
      <c r="E953" s="573"/>
      <c r="F953" s="573"/>
      <c r="G953" s="573"/>
      <c r="I953" s="580">
        <f>I952/E952-1</f>
        <v>0.62584086859911858</v>
      </c>
      <c r="J953" s="573"/>
      <c r="K953" s="573"/>
      <c r="L953" s="573"/>
      <c r="M953" s="580">
        <f>M952/I952-1</f>
        <v>0.44091442516003609</v>
      </c>
      <c r="N953" s="580"/>
    </row>
    <row r="954" spans="2:14" x14ac:dyDescent="0.55000000000000004">
      <c r="G954" s="557"/>
    </row>
    <row r="955" spans="2:14" x14ac:dyDescent="0.55000000000000004">
      <c r="C955" s="998" t="str">
        <f t="shared" ref="C955:F955" si="36">C948</f>
        <v>Q1 22</v>
      </c>
      <c r="D955" s="998" t="str">
        <f t="shared" si="36"/>
        <v>Q2 22</v>
      </c>
      <c r="E955" s="998" t="str">
        <f t="shared" si="36"/>
        <v>Q3 22</v>
      </c>
      <c r="F955" s="998" t="str">
        <f t="shared" si="36"/>
        <v>Q4 22</v>
      </c>
      <c r="G955" s="998" t="str">
        <f t="shared" ref="G955" si="37">G948</f>
        <v>Q1 23</v>
      </c>
      <c r="I955" s="998" t="str">
        <f t="shared" ref="I955:N955" si="38">I948</f>
        <v>Q3 23</v>
      </c>
      <c r="J955" s="998" t="str">
        <f t="shared" si="38"/>
        <v>Q4 23</v>
      </c>
      <c r="K955" s="998" t="str">
        <f t="shared" si="38"/>
        <v>Q1 24</v>
      </c>
      <c r="L955" s="998" t="str">
        <f t="shared" si="38"/>
        <v>Q2 24</v>
      </c>
      <c r="M955" s="998" t="str">
        <f t="shared" si="38"/>
        <v>Q3 24</v>
      </c>
      <c r="N955" s="998" t="str">
        <f t="shared" si="38"/>
        <v>Q4 24</v>
      </c>
    </row>
    <row r="956" spans="2:14" x14ac:dyDescent="0.55000000000000004">
      <c r="B956" s="557" t="s">
        <v>24</v>
      </c>
      <c r="C956" s="572">
        <f>Quarts!M97</f>
        <v>-45.003999999999976</v>
      </c>
      <c r="D956" s="572">
        <f>Quarts!N97</f>
        <v>-29.849999999999852</v>
      </c>
      <c r="E956" s="572">
        <f>Quarts!O97</f>
        <v>7.8260000000000787</v>
      </c>
      <c r="F956" s="572">
        <f>Quarts!P97</f>
        <v>-296.87200000000013</v>
      </c>
      <c r="G956" s="572">
        <f>Quarts!R97</f>
        <v>143.33299999999997</v>
      </c>
      <c r="I956" s="572">
        <f>Quarts!T97</f>
        <v>230.97556042524025</v>
      </c>
      <c r="J956" s="572">
        <f>Quarts!U97</f>
        <v>275.97614800764939</v>
      </c>
      <c r="K956" s="572">
        <f>Quarts!W97</f>
        <v>254.01723617917969</v>
      </c>
      <c r="L956" s="572">
        <f>Quarts!X97</f>
        <v>304.85523719947287</v>
      </c>
      <c r="M956" s="572">
        <f>Quarts!Y97</f>
        <v>374.37015574866746</v>
      </c>
      <c r="N956" s="572">
        <f>Quarts!Z97</f>
        <v>539.64760137176461</v>
      </c>
    </row>
    <row r="957" spans="2:14" x14ac:dyDescent="0.55000000000000004">
      <c r="B957" s="557" t="s">
        <v>1453</v>
      </c>
      <c r="C957" s="572"/>
      <c r="D957" s="572"/>
      <c r="E957" s="572"/>
      <c r="F957" s="572"/>
      <c r="I957" s="572">
        <f>Quarts!T102</f>
        <v>280.97556042524025</v>
      </c>
      <c r="J957" s="572">
        <f>Quarts!U102</f>
        <v>348.60914800764937</v>
      </c>
      <c r="K957" s="572">
        <f>Quarts!W102</f>
        <v>309.12969059341145</v>
      </c>
      <c r="L957" s="572">
        <f>Quarts!X102</f>
        <v>361.25265683379121</v>
      </c>
      <c r="M957" s="572">
        <f>Quarts!Y102</f>
        <v>433.24176350362842</v>
      </c>
      <c r="N957" s="572">
        <f>Quarts!Z102</f>
        <v>624.52243206825358</v>
      </c>
    </row>
    <row r="958" spans="2:14" x14ac:dyDescent="0.55000000000000004">
      <c r="B958" s="557" t="s">
        <v>228</v>
      </c>
      <c r="C958" s="572">
        <f>Quarts!M104</f>
        <v>12.6</v>
      </c>
      <c r="D958" s="572">
        <f>Quarts!N104</f>
        <v>47.6</v>
      </c>
      <c r="E958" s="572">
        <f>Quarts!O104</f>
        <v>64.099999999999994</v>
      </c>
      <c r="F958" s="572">
        <f>Quarts!P104</f>
        <v>157.69999999999999</v>
      </c>
    </row>
    <row r="959" spans="2:14" x14ac:dyDescent="0.55000000000000004">
      <c r="B959" s="557" t="s">
        <v>1458</v>
      </c>
      <c r="C959" s="572">
        <f>Quarts!M105</f>
        <v>-2.5</v>
      </c>
      <c r="D959" s="572">
        <f>Quarts!N105</f>
        <v>-30.6</v>
      </c>
      <c r="E959" s="572">
        <f>Quarts!O105</f>
        <v>8.9000000000000057</v>
      </c>
      <c r="F959" s="572">
        <f>Quarts!P105</f>
        <v>-43.699999999999989</v>
      </c>
    </row>
    <row r="961" spans="2:6" x14ac:dyDescent="0.55000000000000004">
      <c r="C961" s="572"/>
      <c r="D961" s="572"/>
      <c r="E961" s="572"/>
      <c r="F961" s="572"/>
    </row>
    <row r="962" spans="2:6" x14ac:dyDescent="0.55000000000000004">
      <c r="B962" s="557" t="s">
        <v>1760</v>
      </c>
      <c r="C962" s="580">
        <v>1.2</v>
      </c>
    </row>
    <row r="963" spans="2:6" x14ac:dyDescent="0.55000000000000004">
      <c r="B963" s="557" t="s">
        <v>180</v>
      </c>
      <c r="C963" s="580">
        <v>0.8</v>
      </c>
    </row>
    <row r="964" spans="2:6" x14ac:dyDescent="0.55000000000000004">
      <c r="B964" s="557" t="s">
        <v>420</v>
      </c>
      <c r="C964" s="580">
        <v>0.3</v>
      </c>
    </row>
    <row r="982" spans="2:4" x14ac:dyDescent="0.55000000000000004">
      <c r="B982" s="557" t="s">
        <v>1459</v>
      </c>
      <c r="D982" s="580">
        <v>0.11</v>
      </c>
    </row>
    <row r="983" spans="2:4" x14ac:dyDescent="0.55000000000000004">
      <c r="B983" s="557" t="s">
        <v>1460</v>
      </c>
      <c r="C983" s="580">
        <f>D982</f>
        <v>0.11</v>
      </c>
      <c r="D983" s="580">
        <v>0.16</v>
      </c>
    </row>
    <row r="984" spans="2:4" x14ac:dyDescent="0.55000000000000004">
      <c r="B984" s="557" t="s">
        <v>521</v>
      </c>
      <c r="C984" s="580">
        <f>C983+D983</f>
        <v>0.27</v>
      </c>
      <c r="D984" s="580">
        <v>0</v>
      </c>
    </row>
    <row r="985" spans="2:4" x14ac:dyDescent="0.55000000000000004">
      <c r="B985" s="557" t="s">
        <v>1461</v>
      </c>
      <c r="C985" s="580">
        <f>C984+D984-D985</f>
        <v>0.16000000000000003</v>
      </c>
      <c r="D985" s="580">
        <v>0.11</v>
      </c>
    </row>
    <row r="986" spans="2:4" x14ac:dyDescent="0.55000000000000004">
      <c r="B986" s="557" t="s">
        <v>1462</v>
      </c>
      <c r="D986" s="580">
        <v>0.16</v>
      </c>
    </row>
    <row r="1000" spans="2:4" x14ac:dyDescent="0.55000000000000004">
      <c r="B1000" s="557" t="s">
        <v>1459</v>
      </c>
      <c r="D1000" s="580">
        <v>0</v>
      </c>
    </row>
    <row r="1001" spans="2:4" x14ac:dyDescent="0.55000000000000004">
      <c r="B1001" s="557" t="s">
        <v>1460</v>
      </c>
      <c r="C1001" s="580">
        <f>D1000</f>
        <v>0</v>
      </c>
      <c r="D1001" s="580">
        <v>0.57999999999999996</v>
      </c>
    </row>
    <row r="1002" spans="2:4" x14ac:dyDescent="0.55000000000000004">
      <c r="B1002" s="557" t="s">
        <v>521</v>
      </c>
      <c r="C1002" s="580">
        <f>C1001+D1001-D1002</f>
        <v>0.44249999999999995</v>
      </c>
      <c r="D1002" s="580">
        <v>0.13750000000000001</v>
      </c>
    </row>
    <row r="1003" spans="2:4" x14ac:dyDescent="0.55000000000000004">
      <c r="B1003" s="557" t="s">
        <v>1461</v>
      </c>
      <c r="C1003" s="580">
        <f>C1002-D1003</f>
        <v>0.22249999999999995</v>
      </c>
      <c r="D1003" s="580">
        <v>0.22</v>
      </c>
    </row>
    <row r="1004" spans="2:4" x14ac:dyDescent="0.55000000000000004">
      <c r="B1004" s="557" t="s">
        <v>1464</v>
      </c>
      <c r="D1004" s="580">
        <v>0.22</v>
      </c>
    </row>
    <row r="1018" spans="2:4" x14ac:dyDescent="0.55000000000000004">
      <c r="B1018" s="557" t="s">
        <v>1459</v>
      </c>
      <c r="D1018" s="580">
        <v>0</v>
      </c>
    </row>
    <row r="1019" spans="2:4" x14ac:dyDescent="0.55000000000000004">
      <c r="B1019" s="557" t="s">
        <v>1460</v>
      </c>
      <c r="C1019" s="580">
        <f>D1018</f>
        <v>0</v>
      </c>
      <c r="D1019" s="580">
        <f>1.97%*12</f>
        <v>0.2364</v>
      </c>
    </row>
    <row r="1020" spans="2:4" x14ac:dyDescent="0.55000000000000004">
      <c r="B1020" s="557" t="s">
        <v>521</v>
      </c>
      <c r="C1020" s="580">
        <f>C1019+D1019-D1020</f>
        <v>9.8899999999999988E-2</v>
      </c>
      <c r="D1020" s="580">
        <v>0.13750000000000001</v>
      </c>
    </row>
    <row r="1021" spans="2:4" x14ac:dyDescent="0.55000000000000004">
      <c r="B1021" s="557" t="s">
        <v>1461</v>
      </c>
      <c r="C1021" s="580">
        <f>C1020-D1021</f>
        <v>6.8899999999999989E-2</v>
      </c>
      <c r="D1021" s="580">
        <v>0.03</v>
      </c>
    </row>
    <row r="1022" spans="2:4" x14ac:dyDescent="0.55000000000000004">
      <c r="B1022" s="557" t="s">
        <v>1463</v>
      </c>
      <c r="D1022" s="580">
        <f>D1019-D1020-D1021</f>
        <v>6.8899999999999989E-2</v>
      </c>
    </row>
    <row r="1035" spans="2:14" x14ac:dyDescent="0.55000000000000004">
      <c r="B1035" s="618" t="s">
        <v>1629</v>
      </c>
    </row>
    <row r="1036" spans="2:14" x14ac:dyDescent="0.55000000000000004">
      <c r="B1036" s="618" t="s">
        <v>1732</v>
      </c>
    </row>
    <row r="1037" spans="2:14" x14ac:dyDescent="0.55000000000000004">
      <c r="B1037" s="618"/>
    </row>
    <row r="1038" spans="2:14" x14ac:dyDescent="0.55000000000000004">
      <c r="B1038" s="579" t="s">
        <v>156</v>
      </c>
      <c r="C1038" s="584" t="s">
        <v>1017</v>
      </c>
      <c r="D1038" s="584" t="s">
        <v>1018</v>
      </c>
    </row>
    <row r="1039" spans="2:14" x14ac:dyDescent="0.55000000000000004">
      <c r="B1039" s="1168" t="str">
        <f>B1046</f>
        <v>Non-interest bearing</v>
      </c>
      <c r="C1039" s="1169">
        <f>C1042-C1040-C1041</f>
        <v>7300</v>
      </c>
      <c r="D1039" s="1169">
        <f>D1042-D1040-D1041</f>
        <v>8100</v>
      </c>
      <c r="G1039" s="572" t="s">
        <v>577</v>
      </c>
      <c r="N1039" s="573"/>
    </row>
    <row r="1040" spans="2:14" x14ac:dyDescent="0.55000000000000004">
      <c r="B1040" s="557" t="str">
        <f>B1047</f>
        <v>Revolving in Brazil</v>
      </c>
      <c r="C1040" s="573">
        <v>700</v>
      </c>
      <c r="D1040" s="573">
        <v>800</v>
      </c>
      <c r="E1040" s="572"/>
      <c r="F1040" s="572"/>
      <c r="N1040" s="573"/>
    </row>
    <row r="1041" spans="2:14" x14ac:dyDescent="0.55000000000000004">
      <c r="B1041" s="1205" t="str">
        <f>B1048</f>
        <v>Instalment with interest</v>
      </c>
      <c r="C1041" s="1206">
        <v>1500</v>
      </c>
      <c r="D1041" s="1206">
        <v>2000</v>
      </c>
      <c r="E1041" s="572"/>
      <c r="F1041" s="572"/>
      <c r="N1041" s="573"/>
    </row>
    <row r="1042" spans="2:14" x14ac:dyDescent="0.55000000000000004">
      <c r="B1042" s="572" t="s">
        <v>1733</v>
      </c>
      <c r="C1042" s="573">
        <v>9500</v>
      </c>
      <c r="D1042" s="573">
        <v>10900</v>
      </c>
      <c r="E1042" s="572"/>
      <c r="F1042" s="572"/>
      <c r="N1042" s="573"/>
    </row>
    <row r="1043" spans="2:14" x14ac:dyDescent="0.55000000000000004">
      <c r="B1043" s="1170" t="s">
        <v>1731</v>
      </c>
      <c r="C1043" s="1169">
        <f>Quarts!R203</f>
        <v>10474</v>
      </c>
      <c r="D1043" s="1169">
        <f>Quarts!S203</f>
        <v>12062</v>
      </c>
      <c r="E1043" s="572"/>
      <c r="F1043" s="572"/>
      <c r="N1043" s="573"/>
    </row>
    <row r="1044" spans="2:14" x14ac:dyDescent="0.55000000000000004">
      <c r="B1044" s="572"/>
      <c r="C1044" s="573"/>
      <c r="D1044" s="573"/>
      <c r="E1044" s="572"/>
      <c r="F1044" s="572"/>
      <c r="N1044" s="573"/>
    </row>
    <row r="1045" spans="2:14" x14ac:dyDescent="0.55000000000000004">
      <c r="B1045" s="1210" t="s">
        <v>1736</v>
      </c>
      <c r="C1045" s="1169"/>
      <c r="D1045" s="1169"/>
      <c r="E1045" s="572"/>
      <c r="F1045" s="572"/>
      <c r="N1045" s="573"/>
    </row>
    <row r="1046" spans="2:14" x14ac:dyDescent="0.55000000000000004">
      <c r="B1046" s="557" t="s">
        <v>1480</v>
      </c>
      <c r="C1046" s="580">
        <f t="shared" ref="C1046:D1048" si="39">C1039/C$1042</f>
        <v>0.76842105263157889</v>
      </c>
      <c r="D1046" s="580">
        <f t="shared" si="39"/>
        <v>0.74311926605504586</v>
      </c>
      <c r="N1046" s="557"/>
    </row>
    <row r="1047" spans="2:14" x14ac:dyDescent="0.55000000000000004">
      <c r="B1047" s="1168" t="s">
        <v>1707</v>
      </c>
      <c r="C1047" s="1207">
        <f t="shared" si="39"/>
        <v>7.3684210526315783E-2</v>
      </c>
      <c r="D1047" s="1207">
        <f t="shared" si="39"/>
        <v>7.3394495412844041E-2</v>
      </c>
      <c r="N1047" s="573"/>
    </row>
    <row r="1048" spans="2:14" x14ac:dyDescent="0.55000000000000004">
      <c r="B1048" s="557" t="s">
        <v>1709</v>
      </c>
      <c r="C1048" s="580">
        <f t="shared" si="39"/>
        <v>0.15789473684210525</v>
      </c>
      <c r="D1048" s="580">
        <f t="shared" si="39"/>
        <v>0.1834862385321101</v>
      </c>
      <c r="N1048" s="573"/>
    </row>
    <row r="1049" spans="2:14" x14ac:dyDescent="0.55000000000000004">
      <c r="B1049" s="1170"/>
      <c r="C1049" s="1170"/>
      <c r="D1049" s="1170"/>
      <c r="E1049" s="572"/>
      <c r="F1049" s="572"/>
      <c r="N1049" s="580"/>
    </row>
    <row r="1050" spans="2:14" x14ac:dyDescent="0.55000000000000004">
      <c r="B1050" s="621" t="s">
        <v>1627</v>
      </c>
      <c r="C1050" s="579"/>
      <c r="D1050" s="614" t="s">
        <v>1708</v>
      </c>
      <c r="E1050" s="572"/>
      <c r="F1050" s="1182" t="s">
        <v>1635</v>
      </c>
    </row>
    <row r="1051" spans="2:14" x14ac:dyDescent="0.55000000000000004">
      <c r="B1051" s="1170" t="str">
        <f>B1039</f>
        <v>Non-interest bearing</v>
      </c>
      <c r="C1051" s="1168"/>
      <c r="D1051" s="1207">
        <v>0</v>
      </c>
      <c r="E1051" s="572"/>
      <c r="F1051" s="572"/>
    </row>
    <row r="1052" spans="2:14" x14ac:dyDescent="0.55000000000000004">
      <c r="B1052" s="572" t="str">
        <f>B1040</f>
        <v>Revolving in Brazil</v>
      </c>
      <c r="D1052" s="580">
        <f>13.3%*3</f>
        <v>0.39900000000000002</v>
      </c>
      <c r="E1052" s="572"/>
      <c r="F1052" s="580">
        <f>D1052/12</f>
        <v>3.3250000000000002E-2</v>
      </c>
    </row>
    <row r="1053" spans="2:14" x14ac:dyDescent="0.55000000000000004">
      <c r="B1053" s="1208" t="str">
        <f>B1041</f>
        <v>Instalment with interest</v>
      </c>
      <c r="C1053" s="1205"/>
      <c r="D1053" s="1209">
        <f>D1059/AVERAGE(C1041,D1041)</f>
        <v>0.23234451654546742</v>
      </c>
      <c r="E1053" s="572"/>
      <c r="F1053" s="580">
        <f>D1053/12</f>
        <v>1.9362043045455617E-2</v>
      </c>
      <c r="I1053" s="1214">
        <v>1</v>
      </c>
      <c r="J1053" s="1214">
        <f>I1053*1.133^12</f>
        <v>4.474648425696949</v>
      </c>
    </row>
    <row r="1054" spans="2:14" x14ac:dyDescent="0.55000000000000004">
      <c r="B1054" s="572" t="s">
        <v>1628</v>
      </c>
      <c r="C1054" s="572"/>
      <c r="D1054" s="580">
        <f>D1060/AVERAGE(C1042,D1042)</f>
        <v>5.262516215240863E-2</v>
      </c>
      <c r="E1054" s="572"/>
      <c r="F1054" s="572"/>
    </row>
    <row r="1055" spans="2:14" x14ac:dyDescent="0.55000000000000004">
      <c r="B1055" s="1170"/>
      <c r="C1055" s="1170"/>
      <c r="D1055" s="1170"/>
      <c r="E1055" s="572"/>
      <c r="F1055" s="572"/>
      <c r="I1055" s="572">
        <v>100</v>
      </c>
      <c r="J1055" s="572">
        <f>I1055*1.133</f>
        <v>113.3</v>
      </c>
    </row>
    <row r="1056" spans="2:14" x14ac:dyDescent="0.55000000000000004">
      <c r="B1056" s="621" t="s">
        <v>415</v>
      </c>
      <c r="C1056" s="613"/>
      <c r="D1056" s="613"/>
      <c r="E1056" s="572"/>
      <c r="F1056" s="572"/>
      <c r="J1056" s="572">
        <f>J1055*(1.095)^6</f>
        <v>195.30556803591185</v>
      </c>
    </row>
    <row r="1057" spans="2:10" ht="15.6" thickBot="1" x14ac:dyDescent="0.6">
      <c r="B1057" s="1170" t="str">
        <f>B1051</f>
        <v>Non-interest bearing</v>
      </c>
      <c r="C1057" s="1168"/>
      <c r="D1057" s="1170">
        <f>D1051*AVERAGE(C1039,D1039)</f>
        <v>0</v>
      </c>
      <c r="E1057" s="572"/>
      <c r="F1057" s="572"/>
      <c r="J1057" s="572">
        <f>J1056-I1055</f>
        <v>95.305568035911847</v>
      </c>
    </row>
    <row r="1058" spans="2:10" ht="15.6" thickBot="1" x14ac:dyDescent="0.6">
      <c r="B1058" s="1211" t="str">
        <f>B1052</f>
        <v>Revolving in Brazil</v>
      </c>
      <c r="C1058" s="1212"/>
      <c r="D1058" s="1213">
        <f>D1052*AVERAGE(C1040,D1040)*0.435</f>
        <v>130.17375000000001</v>
      </c>
      <c r="E1058" s="580">
        <f>D1058/Quarts!S6</f>
        <v>6.9663785721930868E-2</v>
      </c>
      <c r="F1058" s="580">
        <f>D1058*0.7/Quarts!S97</f>
        <v>0.40679296875000004</v>
      </c>
    </row>
    <row r="1059" spans="2:10" x14ac:dyDescent="0.55000000000000004">
      <c r="B1059" s="1208" t="str">
        <f>B1053</f>
        <v>Instalment with interest</v>
      </c>
      <c r="C1059" s="1205"/>
      <c r="D1059" s="1208">
        <f>D1060-D1057-D1058</f>
        <v>406.60290395456798</v>
      </c>
      <c r="E1059" s="580"/>
      <c r="F1059" s="572"/>
    </row>
    <row r="1060" spans="2:10" x14ac:dyDescent="0.55000000000000004">
      <c r="B1060" s="572" t="s">
        <v>1735</v>
      </c>
      <c r="D1060" s="572">
        <f>D1042/D1043*D1061</f>
        <v>536.77665395456802</v>
      </c>
      <c r="E1060" s="572"/>
      <c r="F1060" s="572"/>
    </row>
    <row r="1061" spans="2:10" x14ac:dyDescent="0.55000000000000004">
      <c r="B1061" s="1208" t="s">
        <v>1734</v>
      </c>
      <c r="C1061" s="1205"/>
      <c r="D1061" s="1208">
        <f>Quarts!S8</f>
        <v>594</v>
      </c>
      <c r="E1061" s="580"/>
      <c r="F1061" s="572"/>
    </row>
    <row r="1062" spans="2:10" x14ac:dyDescent="0.55000000000000004">
      <c r="B1062" s="572"/>
      <c r="C1062" s="572"/>
      <c r="D1062" s="572"/>
      <c r="E1062" s="572"/>
      <c r="F1062" s="572"/>
    </row>
    <row r="1063" spans="2:10" x14ac:dyDescent="0.55000000000000004">
      <c r="B1063" s="613"/>
      <c r="C1063" s="1203" t="s">
        <v>1721</v>
      </c>
      <c r="D1063" s="1203" t="s">
        <v>1722</v>
      </c>
      <c r="E1063" s="572"/>
      <c r="F1063" s="572"/>
    </row>
    <row r="1064" spans="2:10" x14ac:dyDescent="0.55000000000000004">
      <c r="B1064" s="572" t="s">
        <v>340</v>
      </c>
      <c r="C1064" s="572">
        <v>200</v>
      </c>
      <c r="D1064" s="572"/>
      <c r="E1064" s="572"/>
      <c r="F1064" s="572"/>
    </row>
    <row r="1065" spans="2:10" x14ac:dyDescent="0.55000000000000004">
      <c r="B1065" s="572" t="s">
        <v>658</v>
      </c>
      <c r="C1065" s="572">
        <v>100</v>
      </c>
      <c r="D1065" s="572">
        <f>C1065</f>
        <v>100</v>
      </c>
      <c r="E1065" s="572"/>
      <c r="F1065" s="572"/>
    </row>
    <row r="1066" spans="2:10" x14ac:dyDescent="0.55000000000000004">
      <c r="B1066" s="572" t="s">
        <v>372</v>
      </c>
      <c r="C1066" s="580">
        <f>C1065/C1064</f>
        <v>0.5</v>
      </c>
      <c r="D1066" s="580"/>
      <c r="E1066" s="572"/>
      <c r="F1066" s="572"/>
    </row>
    <row r="1067" spans="2:10" x14ac:dyDescent="0.55000000000000004">
      <c r="B1067" s="572" t="s">
        <v>1712</v>
      </c>
      <c r="C1067" s="572">
        <f>C1068*C1064</f>
        <v>40</v>
      </c>
      <c r="D1067" s="572">
        <f>C1067</f>
        <v>40</v>
      </c>
      <c r="E1067" s="572"/>
      <c r="F1067" s="572"/>
    </row>
    <row r="1068" spans="2:10" x14ac:dyDescent="0.55000000000000004">
      <c r="B1068" s="572" t="s">
        <v>1260</v>
      </c>
      <c r="C1068" s="580">
        <v>0.2</v>
      </c>
      <c r="D1068" s="572"/>
      <c r="E1068" s="572"/>
      <c r="F1068" s="572"/>
    </row>
    <row r="1069" spans="2:10" x14ac:dyDescent="0.55000000000000004">
      <c r="B1069" s="572" t="s">
        <v>1713</v>
      </c>
      <c r="C1069" s="572">
        <f>C1065-C1067</f>
        <v>60</v>
      </c>
      <c r="D1069" s="572">
        <f>D1065-D1067</f>
        <v>60</v>
      </c>
      <c r="E1069" s="572"/>
      <c r="F1069" s="572"/>
    </row>
    <row r="1070" spans="2:10" x14ac:dyDescent="0.55000000000000004">
      <c r="B1070" s="572" t="s">
        <v>1714</v>
      </c>
      <c r="C1070" s="572">
        <f>C1077*C1076</f>
        <v>10</v>
      </c>
      <c r="D1070" s="572">
        <f>D1077*D1076</f>
        <v>30</v>
      </c>
      <c r="E1070" s="572"/>
      <c r="F1070" s="572"/>
    </row>
    <row r="1071" spans="2:10" x14ac:dyDescent="0.55000000000000004">
      <c r="B1071" s="572" t="s">
        <v>477</v>
      </c>
      <c r="C1071" s="572">
        <f>C1069-C1070</f>
        <v>50</v>
      </c>
      <c r="D1071" s="572">
        <f>D1069-D1070</f>
        <v>30</v>
      </c>
      <c r="E1071" s="572"/>
      <c r="F1071" s="572"/>
    </row>
    <row r="1072" spans="2:10" x14ac:dyDescent="0.55000000000000004">
      <c r="B1072" s="572" t="s">
        <v>1719</v>
      </c>
      <c r="C1072" s="572">
        <f>0.34*C1071</f>
        <v>17</v>
      </c>
      <c r="D1072" s="572">
        <f>0.34*D1071</f>
        <v>10.200000000000001</v>
      </c>
      <c r="E1072" s="572"/>
      <c r="F1072" s="572"/>
    </row>
    <row r="1073" spans="2:6" x14ac:dyDescent="0.55000000000000004">
      <c r="B1073" s="572" t="s">
        <v>1715</v>
      </c>
      <c r="C1073" s="572">
        <f>C1071-C1072</f>
        <v>33</v>
      </c>
      <c r="D1073" s="572">
        <f>D1071-D1072</f>
        <v>19.799999999999997</v>
      </c>
      <c r="E1073" s="572"/>
      <c r="F1073" s="572"/>
    </row>
    <row r="1074" spans="2:6" x14ac:dyDescent="0.55000000000000004">
      <c r="B1074" s="572"/>
      <c r="C1074" s="572"/>
      <c r="D1074" s="572"/>
      <c r="E1074" s="572"/>
      <c r="F1074" s="572"/>
    </row>
    <row r="1075" spans="2:6" x14ac:dyDescent="0.55000000000000004">
      <c r="B1075" s="572" t="s">
        <v>1724</v>
      </c>
      <c r="C1075" s="572"/>
      <c r="D1075" s="572">
        <f>D1076-C1076</f>
        <v>200</v>
      </c>
      <c r="E1075" s="572"/>
      <c r="F1075" s="572"/>
    </row>
    <row r="1076" spans="2:6" x14ac:dyDescent="0.55000000000000004">
      <c r="B1076" s="572" t="s">
        <v>1716</v>
      </c>
      <c r="C1076" s="572">
        <v>100</v>
      </c>
      <c r="D1076" s="572">
        <f>D1065*D1078</f>
        <v>300</v>
      </c>
      <c r="E1076" s="572"/>
      <c r="F1076" s="572"/>
    </row>
    <row r="1077" spans="2:6" x14ac:dyDescent="0.55000000000000004">
      <c r="B1077" s="572" t="s">
        <v>1718</v>
      </c>
      <c r="C1077" s="1183">
        <v>0.1</v>
      </c>
      <c r="D1077" s="580">
        <f>C1077</f>
        <v>0.1</v>
      </c>
      <c r="E1077" s="572"/>
      <c r="F1077" s="572"/>
    </row>
    <row r="1078" spans="2:6" x14ac:dyDescent="0.55000000000000004">
      <c r="B1078" s="572" t="s">
        <v>1717</v>
      </c>
      <c r="C1078" s="585">
        <f>C1076/C1065</f>
        <v>1</v>
      </c>
      <c r="D1078" s="855">
        <v>3</v>
      </c>
      <c r="E1078" s="572"/>
      <c r="F1078" s="583"/>
    </row>
    <row r="1079" spans="2:6" x14ac:dyDescent="0.55000000000000004">
      <c r="B1079" s="572"/>
      <c r="C1079" s="572"/>
      <c r="D1079" s="572"/>
      <c r="E1079" s="572"/>
      <c r="F1079" s="572"/>
    </row>
    <row r="1080" spans="2:6" x14ac:dyDescent="0.55000000000000004">
      <c r="B1080" s="572" t="s">
        <v>1723</v>
      </c>
      <c r="C1080" s="580">
        <v>0.1</v>
      </c>
      <c r="D1080" s="580">
        <f>D1073/D1081</f>
        <v>0.15230769230769228</v>
      </c>
      <c r="E1080" s="572"/>
      <c r="F1080" s="572"/>
    </row>
    <row r="1081" spans="2:6" x14ac:dyDescent="0.55000000000000004">
      <c r="B1081" s="572" t="s">
        <v>78</v>
      </c>
      <c r="C1081" s="572">
        <f>C1073/C1080</f>
        <v>330</v>
      </c>
      <c r="D1081" s="572">
        <f>D1082-D1076</f>
        <v>130</v>
      </c>
      <c r="E1081" s="572"/>
      <c r="F1081" s="572"/>
    </row>
    <row r="1082" spans="2:6" x14ac:dyDescent="0.55000000000000004">
      <c r="B1082" s="572" t="s">
        <v>81</v>
      </c>
      <c r="C1082" s="572">
        <f>C1081+C1076</f>
        <v>430</v>
      </c>
      <c r="D1082" s="572">
        <f>D1083*D1065</f>
        <v>430</v>
      </c>
      <c r="E1082" s="572"/>
      <c r="F1082" s="572"/>
    </row>
    <row r="1083" spans="2:6" x14ac:dyDescent="0.55000000000000004">
      <c r="B1083" s="572" t="s">
        <v>1720</v>
      </c>
      <c r="C1083" s="585">
        <f>C1082/C1065</f>
        <v>4.3</v>
      </c>
      <c r="D1083" s="855">
        <f>C1083</f>
        <v>4.3</v>
      </c>
      <c r="E1083" s="572"/>
    </row>
    <row r="1085" spans="2:6" x14ac:dyDescent="0.55000000000000004">
      <c r="B1085" s="557" t="s">
        <v>1725</v>
      </c>
      <c r="C1085" s="572">
        <f>C1081</f>
        <v>330</v>
      </c>
      <c r="D1085" s="572">
        <f>D1081+D1075</f>
        <v>330</v>
      </c>
    </row>
    <row r="1088" spans="2:6" x14ac:dyDescent="0.55000000000000004">
      <c r="B1088" s="623" t="s">
        <v>417</v>
      </c>
      <c r="C1088" s="1204" t="s">
        <v>1010</v>
      </c>
      <c r="D1088" s="1204" t="s">
        <v>1018</v>
      </c>
    </row>
    <row r="1089" spans="2:9" x14ac:dyDescent="0.55000000000000004">
      <c r="B1089" s="557" t="s">
        <v>1730</v>
      </c>
      <c r="C1089" s="969">
        <f>Quarts!N191</f>
        <v>6478.47</v>
      </c>
      <c r="D1089" s="969">
        <f>Quarts!S191</f>
        <v>10388</v>
      </c>
    </row>
    <row r="1090" spans="2:9" x14ac:dyDescent="0.55000000000000004">
      <c r="B1090" s="557" t="s">
        <v>1726</v>
      </c>
      <c r="C1090" s="580">
        <v>0.08</v>
      </c>
      <c r="D1090" s="580">
        <v>0.19</v>
      </c>
    </row>
    <row r="1091" spans="2:9" x14ac:dyDescent="0.55000000000000004">
      <c r="B1091" s="557" t="s">
        <v>1728</v>
      </c>
      <c r="C1091" s="969">
        <f>C1089*C1090</f>
        <v>518.27760000000001</v>
      </c>
      <c r="D1091" s="969">
        <f>D1089*D1090</f>
        <v>1973.72</v>
      </c>
    </row>
    <row r="1092" spans="2:9" x14ac:dyDescent="0.55000000000000004">
      <c r="B1092" s="557" t="s">
        <v>1727</v>
      </c>
      <c r="D1092" s="580">
        <v>0.5</v>
      </c>
    </row>
    <row r="1093" spans="2:9" x14ac:dyDescent="0.55000000000000004">
      <c r="B1093" s="557" t="s">
        <v>1729</v>
      </c>
      <c r="D1093" s="969">
        <f>(D1091-C1091)*D1092</f>
        <v>727.72119999999995</v>
      </c>
    </row>
    <row r="1095" spans="2:9" x14ac:dyDescent="0.55000000000000004">
      <c r="D1095" s="572">
        <f>0.06*D1093*3</f>
        <v>130.98981599999996</v>
      </c>
    </row>
    <row r="1098" spans="2:9" x14ac:dyDescent="0.55000000000000004">
      <c r="B1098" s="579"/>
      <c r="C1098" s="584" t="s">
        <v>1738</v>
      </c>
      <c r="D1098" s="584" t="s">
        <v>1739</v>
      </c>
      <c r="F1098" s="584" t="s">
        <v>1740</v>
      </c>
      <c r="G1098" s="584" t="s">
        <v>1741</v>
      </c>
    </row>
    <row r="1099" spans="2:9" x14ac:dyDescent="0.55000000000000004">
      <c r="B1099" s="557" t="s">
        <v>1737</v>
      </c>
      <c r="C1099" s="580">
        <v>0.85</v>
      </c>
      <c r="D1099" s="580">
        <v>0.74</v>
      </c>
      <c r="F1099" s="580">
        <v>0.75</v>
      </c>
      <c r="G1099" s="580">
        <v>0.73</v>
      </c>
    </row>
    <row r="1100" spans="2:9" x14ac:dyDescent="0.55000000000000004">
      <c r="B1100" s="557" t="s">
        <v>246</v>
      </c>
      <c r="C1100" s="580">
        <v>0.06</v>
      </c>
      <c r="D1100" s="580">
        <v>7.0000000000000007E-2</v>
      </c>
      <c r="F1100" s="580">
        <v>0.15</v>
      </c>
      <c r="G1100" s="580">
        <v>0.16</v>
      </c>
    </row>
    <row r="1101" spans="2:9" x14ac:dyDescent="0.55000000000000004">
      <c r="B1101" s="557" t="s">
        <v>245</v>
      </c>
      <c r="C1101" s="580">
        <f>100%-C1099-C1100</f>
        <v>9.0000000000000024E-2</v>
      </c>
      <c r="D1101" s="580">
        <f>100%-D1099-D1100</f>
        <v>0.19</v>
      </c>
      <c r="F1101" s="580">
        <v>0.1</v>
      </c>
      <c r="G1101" s="580">
        <v>0.11</v>
      </c>
    </row>
    <row r="1103" spans="2:9" x14ac:dyDescent="0.55000000000000004">
      <c r="B1103" s="623"/>
      <c r="C1103" s="1204" t="s">
        <v>1010</v>
      </c>
      <c r="D1103" s="1204" t="s">
        <v>1011</v>
      </c>
      <c r="E1103" s="1204" t="s">
        <v>1020</v>
      </c>
      <c r="F1103" s="1204" t="s">
        <v>1017</v>
      </c>
      <c r="G1103" s="1204" t="s">
        <v>1018</v>
      </c>
      <c r="H1103" s="572" t="s">
        <v>1759</v>
      </c>
      <c r="I1103" s="1204" t="s">
        <v>1758</v>
      </c>
    </row>
    <row r="1104" spans="2:9" x14ac:dyDescent="0.55000000000000004">
      <c r="B1104" s="557" t="s">
        <v>1742</v>
      </c>
      <c r="C1104" s="580">
        <v>0.08</v>
      </c>
      <c r="D1104" s="580">
        <v>0.1</v>
      </c>
      <c r="E1104" s="580">
        <v>0.12</v>
      </c>
      <c r="F1104" s="580">
        <v>0.16</v>
      </c>
      <c r="G1104" s="580">
        <v>0.19</v>
      </c>
    </row>
    <row r="1105" spans="2:9" x14ac:dyDescent="0.55000000000000004">
      <c r="B1105" s="557" t="s">
        <v>1743</v>
      </c>
      <c r="C1105" s="580">
        <v>0.06</v>
      </c>
      <c r="D1105" s="580">
        <v>7.0000000000000007E-2</v>
      </c>
      <c r="E1105" s="580">
        <v>7.0000000000000007E-2</v>
      </c>
      <c r="F1105" s="580">
        <v>7.0000000000000007E-2</v>
      </c>
      <c r="G1105" s="580">
        <v>7.0000000000000007E-2</v>
      </c>
    </row>
    <row r="1106" spans="2:9" x14ac:dyDescent="0.55000000000000004">
      <c r="B1106" s="557" t="s">
        <v>1744</v>
      </c>
      <c r="C1106" s="580">
        <v>0.1</v>
      </c>
      <c r="D1106" s="580">
        <v>0.1</v>
      </c>
      <c r="E1106" s="580">
        <v>0.09</v>
      </c>
      <c r="F1106" s="580">
        <v>0.1</v>
      </c>
      <c r="G1106" s="580">
        <v>0.11</v>
      </c>
    </row>
    <row r="1107" spans="2:9" x14ac:dyDescent="0.55000000000000004">
      <c r="B1107" s="557" t="s">
        <v>1745</v>
      </c>
      <c r="C1107" s="580">
        <v>0.15</v>
      </c>
      <c r="D1107" s="580">
        <v>0.17</v>
      </c>
      <c r="E1107" s="580">
        <v>0.17</v>
      </c>
      <c r="F1107" s="580">
        <v>0.18</v>
      </c>
      <c r="G1107" s="580">
        <v>0.16</v>
      </c>
    </row>
    <row r="1108" spans="2:9" x14ac:dyDescent="0.55000000000000004">
      <c r="B1108" s="557" t="s">
        <v>1757</v>
      </c>
      <c r="C1108" s="580">
        <f>C1104+C1105</f>
        <v>0.14000000000000001</v>
      </c>
      <c r="D1108" s="580">
        <f t="shared" ref="D1108:G1108" si="40">D1104+D1105</f>
        <v>0.17</v>
      </c>
      <c r="E1108" s="580">
        <f t="shared" si="40"/>
        <v>0.19</v>
      </c>
      <c r="F1108" s="580">
        <f t="shared" si="40"/>
        <v>0.23</v>
      </c>
      <c r="G1108" s="580">
        <f t="shared" si="40"/>
        <v>0.26</v>
      </c>
      <c r="H1108" s="580">
        <v>0.7</v>
      </c>
      <c r="I1108" s="580">
        <v>0.7</v>
      </c>
    </row>
    <row r="1126" spans="2:10" x14ac:dyDescent="0.55000000000000004">
      <c r="B1126" s="579" t="s">
        <v>1752</v>
      </c>
      <c r="C1126" s="614" t="s">
        <v>1018</v>
      </c>
    </row>
    <row r="1127" spans="2:10" x14ac:dyDescent="0.55000000000000004">
      <c r="B1127" s="557" t="s">
        <v>415</v>
      </c>
      <c r="C1127" s="573">
        <f>Quarts!S8</f>
        <v>594</v>
      </c>
      <c r="E1127" s="572">
        <f>D1058</f>
        <v>130.17375000000001</v>
      </c>
      <c r="I1127" s="572" t="str">
        <f t="shared" ref="I1127:J1129" si="41">B1127</f>
        <v>Interest income</v>
      </c>
      <c r="J1127" s="572">
        <f t="shared" si="41"/>
        <v>594</v>
      </c>
    </row>
    <row r="1128" spans="2:10" x14ac:dyDescent="0.55000000000000004">
      <c r="B1128" s="557" t="s">
        <v>1746</v>
      </c>
      <c r="C1128" s="573">
        <f>Quarts!S15*0.8</f>
        <v>216.8</v>
      </c>
      <c r="E1128" s="580">
        <f>E1127/C1127</f>
        <v>0.2191477272727273</v>
      </c>
      <c r="I1128" s="572" t="str">
        <f t="shared" si="41"/>
        <v>Interchange (credit cards only)</v>
      </c>
      <c r="J1128" s="572">
        <f t="shared" si="41"/>
        <v>216.8</v>
      </c>
    </row>
    <row r="1129" spans="2:10" x14ac:dyDescent="0.55000000000000004">
      <c r="B1129" s="623" t="s">
        <v>165</v>
      </c>
      <c r="C1129" s="999">
        <v>43</v>
      </c>
      <c r="D1129" s="623"/>
      <c r="I1129" s="572" t="str">
        <f t="shared" si="41"/>
        <v>Late fees</v>
      </c>
      <c r="J1129" s="572">
        <f t="shared" si="41"/>
        <v>43</v>
      </c>
    </row>
    <row r="1130" spans="2:10" x14ac:dyDescent="0.55000000000000004">
      <c r="B1130" s="557" t="s">
        <v>346</v>
      </c>
      <c r="C1130" s="573">
        <f>C1127+C1128+C1129</f>
        <v>853.8</v>
      </c>
      <c r="D1130" s="580">
        <f>C1130/C$1133</f>
        <v>0.45691961896607086</v>
      </c>
      <c r="I1130" s="572" t="str">
        <f>B1131</f>
        <v>Personal loans</v>
      </c>
      <c r="J1130" s="572">
        <f>C1131</f>
        <v>353</v>
      </c>
    </row>
    <row r="1131" spans="2:10" x14ac:dyDescent="0.55000000000000004">
      <c r="B1131" s="557" t="s">
        <v>218</v>
      </c>
      <c r="C1131" s="573">
        <f>Quarts!S9</f>
        <v>353</v>
      </c>
      <c r="D1131" s="580">
        <f>C1131/C$1133</f>
        <v>0.18891148453387563</v>
      </c>
      <c r="I1131" s="572" t="str">
        <f>B1132</f>
        <v>Other (including interest on securities)</v>
      </c>
      <c r="J1131" s="572">
        <f>C1132</f>
        <v>661.8</v>
      </c>
    </row>
    <row r="1132" spans="2:10" x14ac:dyDescent="0.55000000000000004">
      <c r="B1132" s="623" t="s">
        <v>1751</v>
      </c>
      <c r="C1132" s="999">
        <f>C1133-C1130-C1131</f>
        <v>661.8</v>
      </c>
      <c r="D1132" s="731">
        <f>C1132/C$1133</f>
        <v>0.35416889650005351</v>
      </c>
    </row>
    <row r="1133" spans="2:10" x14ac:dyDescent="0.55000000000000004">
      <c r="B1133" s="557" t="s">
        <v>340</v>
      </c>
      <c r="C1133" s="573">
        <f>Quarts!S6</f>
        <v>1868.6</v>
      </c>
      <c r="D1133" s="580">
        <f>C1133/C$1133</f>
        <v>1</v>
      </c>
    </row>
    <row r="1134" spans="2:10" x14ac:dyDescent="0.55000000000000004">
      <c r="C1134" s="573"/>
    </row>
    <row r="1135" spans="2:10" x14ac:dyDescent="0.55000000000000004">
      <c r="B1135" s="1222" t="s">
        <v>450</v>
      </c>
      <c r="C1135" s="1217"/>
      <c r="D1135" s="1216"/>
    </row>
    <row r="1136" spans="2:10" x14ac:dyDescent="0.55000000000000004">
      <c r="B1136" s="1216" t="str">
        <f>B1130</f>
        <v>Credit cards</v>
      </c>
      <c r="C1136" s="1217">
        <f>C1138-C1137</f>
        <v>3508</v>
      </c>
      <c r="D1136" s="1218">
        <f>C1136/C$1140</f>
        <v>0.19488888888888889</v>
      </c>
    </row>
    <row r="1137" spans="2:4" x14ac:dyDescent="0.55000000000000004">
      <c r="B1137" s="1219" t="str">
        <f>B1131</f>
        <v>Personal loans</v>
      </c>
      <c r="C1137" s="1220">
        <f>Quarts!S204</f>
        <v>2792</v>
      </c>
      <c r="D1137" s="1221">
        <f>C1137/C$1140</f>
        <v>0.15511111111111112</v>
      </c>
    </row>
    <row r="1138" spans="2:4" x14ac:dyDescent="0.55000000000000004">
      <c r="B1138" s="1216" t="s">
        <v>1478</v>
      </c>
      <c r="C1138" s="1217">
        <v>6300</v>
      </c>
      <c r="D1138" s="1218">
        <v>0.35</v>
      </c>
    </row>
    <row r="1139" spans="2:4" x14ac:dyDescent="0.55000000000000004">
      <c r="B1139" s="1216" t="s">
        <v>1754</v>
      </c>
      <c r="C1139" s="1217">
        <f>C1140-C1138</f>
        <v>11700</v>
      </c>
      <c r="D1139" s="1218">
        <f>C1139/C$1140</f>
        <v>0.65</v>
      </c>
    </row>
    <row r="1140" spans="2:4" x14ac:dyDescent="0.55000000000000004">
      <c r="B1140" s="1216" t="s">
        <v>47</v>
      </c>
      <c r="C1140" s="1217">
        <f>C1138/D1138</f>
        <v>18000</v>
      </c>
      <c r="D1140" s="1216"/>
    </row>
    <row r="1141" spans="2:4" x14ac:dyDescent="0.55000000000000004">
      <c r="C1141" s="573"/>
    </row>
    <row r="1142" spans="2:4" x14ac:dyDescent="0.55000000000000004">
      <c r="B1142" s="618" t="s">
        <v>1747</v>
      </c>
      <c r="C1142" s="573"/>
    </row>
    <row r="1143" spans="2:4" x14ac:dyDescent="0.55000000000000004">
      <c r="B1143" s="557" t="str">
        <f>B1136</f>
        <v>Credit cards</v>
      </c>
      <c r="C1143" s="573">
        <f>C1136/C$1140*C$1146</f>
        <v>-88.362622222222214</v>
      </c>
      <c r="D1143" s="580">
        <f>C1143/C$1146</f>
        <v>0.19488888888888889</v>
      </c>
    </row>
    <row r="1144" spans="2:4" x14ac:dyDescent="0.55000000000000004">
      <c r="B1144" s="557" t="str">
        <f>B1137</f>
        <v>Personal loans</v>
      </c>
      <c r="C1144" s="573">
        <f>C1137/C$1140*C$1146</f>
        <v>-70.32737777777777</v>
      </c>
      <c r="D1144" s="580">
        <f>C1144/C$1146</f>
        <v>0.15511111111111109</v>
      </c>
    </row>
    <row r="1145" spans="2:4" x14ac:dyDescent="0.55000000000000004">
      <c r="B1145" s="623" t="s">
        <v>1755</v>
      </c>
      <c r="C1145" s="999">
        <f>C1139/C$1140*C$1146</f>
        <v>-294.70999999999998</v>
      </c>
      <c r="D1145" s="731">
        <f>C1145/C$1146</f>
        <v>0.65</v>
      </c>
    </row>
    <row r="1146" spans="2:4" x14ac:dyDescent="0.55000000000000004">
      <c r="B1146" s="557" t="s">
        <v>1747</v>
      </c>
      <c r="C1146" s="573">
        <f>Quarts!S25</f>
        <v>-453.4</v>
      </c>
      <c r="D1146" s="580">
        <f>C1146/C$1146</f>
        <v>1</v>
      </c>
    </row>
    <row r="1147" spans="2:4" x14ac:dyDescent="0.55000000000000004">
      <c r="C1147" s="573"/>
    </row>
    <row r="1148" spans="2:4" x14ac:dyDescent="0.55000000000000004">
      <c r="B1148" s="618" t="s">
        <v>1750</v>
      </c>
      <c r="C1148" s="573"/>
    </row>
    <row r="1149" spans="2:4" x14ac:dyDescent="0.55000000000000004">
      <c r="B1149" s="557" t="str">
        <f>B1130</f>
        <v>Credit cards</v>
      </c>
      <c r="C1149" s="573">
        <f>C1130+C1143</f>
        <v>765.43737777777778</v>
      </c>
    </row>
    <row r="1150" spans="2:4" x14ac:dyDescent="0.55000000000000004">
      <c r="B1150" s="557" t="str">
        <f>B1131</f>
        <v>Personal loans</v>
      </c>
      <c r="C1150" s="573">
        <f>C1131+C1144</f>
        <v>282.67262222222223</v>
      </c>
    </row>
    <row r="1151" spans="2:4" x14ac:dyDescent="0.55000000000000004">
      <c r="B1151" s="623" t="str">
        <f>B1132</f>
        <v>Other (including interest on securities)</v>
      </c>
      <c r="C1151" s="999">
        <f>C1132+C1145</f>
        <v>367.09</v>
      </c>
    </row>
    <row r="1152" spans="2:4" x14ac:dyDescent="0.55000000000000004">
      <c r="B1152" s="557" t="s">
        <v>705</v>
      </c>
      <c r="C1152" s="573">
        <f>SUM(C1149:C1151)</f>
        <v>1415.2</v>
      </c>
    </row>
    <row r="1153" spans="2:4" x14ac:dyDescent="0.55000000000000004">
      <c r="C1153" s="573"/>
    </row>
    <row r="1154" spans="2:4" x14ac:dyDescent="0.55000000000000004">
      <c r="B1154" s="618" t="s">
        <v>1753</v>
      </c>
      <c r="C1154" s="573"/>
    </row>
    <row r="1155" spans="2:4" x14ac:dyDescent="0.55000000000000004">
      <c r="B1155" s="557" t="str">
        <f>B1130</f>
        <v>Credit cards</v>
      </c>
      <c r="C1155" s="573">
        <f>Quarts!S43</f>
        <v>-465</v>
      </c>
      <c r="D1155" s="580">
        <f t="shared" ref="D1155:D1157" si="42">C1155/C$1146</f>
        <v>1.0255844728716366</v>
      </c>
    </row>
    <row r="1156" spans="2:4" x14ac:dyDescent="0.55000000000000004">
      <c r="B1156" s="623" t="str">
        <f>B1131</f>
        <v>Personal loans</v>
      </c>
      <c r="C1156" s="999">
        <f>Quarts!S45</f>
        <v>-125.39999999999998</v>
      </c>
      <c r="D1156" s="731">
        <f t="shared" si="42"/>
        <v>0.2765769739744155</v>
      </c>
    </row>
    <row r="1157" spans="2:4" x14ac:dyDescent="0.55000000000000004">
      <c r="B1157" s="557" t="s">
        <v>354</v>
      </c>
      <c r="C1157" s="573">
        <f>SUM(C1155:C1156)</f>
        <v>-590.4</v>
      </c>
      <c r="D1157" s="580">
        <f t="shared" si="42"/>
        <v>1.3021614468460521</v>
      </c>
    </row>
    <row r="1158" spans="2:4" ht="15.6" thickBot="1" x14ac:dyDescent="0.6">
      <c r="C1158" s="573"/>
    </row>
    <row r="1159" spans="2:4" x14ac:dyDescent="0.55000000000000004">
      <c r="B1159" s="1000" t="s">
        <v>1756</v>
      </c>
      <c r="C1159" s="1223"/>
      <c r="D1159" s="1224"/>
    </row>
    <row r="1160" spans="2:4" x14ac:dyDescent="0.55000000000000004">
      <c r="B1160" s="1225" t="str">
        <f>B1155</f>
        <v>Credit cards</v>
      </c>
      <c r="C1160" s="573">
        <f>C1149+C1155</f>
        <v>300.43737777777778</v>
      </c>
      <c r="D1160" s="1226">
        <f>C1160/C$1163</f>
        <v>0.36425482271796539</v>
      </c>
    </row>
    <row r="1161" spans="2:4" x14ac:dyDescent="0.55000000000000004">
      <c r="B1161" s="1225" t="str">
        <f>B1156</f>
        <v>Personal loans</v>
      </c>
      <c r="C1161" s="573">
        <f>C1150+C1156</f>
        <v>157.27262222222225</v>
      </c>
      <c r="D1161" s="1226">
        <f>C1161/C$1163</f>
        <v>0.19067970686496397</v>
      </c>
    </row>
    <row r="1162" spans="2:4" x14ac:dyDescent="0.55000000000000004">
      <c r="B1162" s="1227" t="s">
        <v>1296</v>
      </c>
      <c r="C1162" s="999">
        <f>C1151</f>
        <v>367.09</v>
      </c>
      <c r="D1162" s="1228">
        <f>C1162/C$1163</f>
        <v>0.44506547041707084</v>
      </c>
    </row>
    <row r="1163" spans="2:4" ht="15.6" thickBot="1" x14ac:dyDescent="0.6">
      <c r="B1163" s="1229" t="s">
        <v>354</v>
      </c>
      <c r="C1163" s="1230">
        <f>C1133+C1146+C1157</f>
        <v>824.79999999999984</v>
      </c>
      <c r="D1163" s="1231">
        <f>C1163/C$1163</f>
        <v>1</v>
      </c>
    </row>
    <row r="1165" spans="2:4" x14ac:dyDescent="0.55000000000000004">
      <c r="B1165" s="557" t="s">
        <v>1749</v>
      </c>
      <c r="C1165" s="572">
        <f>Quarts!S36</f>
        <v>-42.8</v>
      </c>
    </row>
    <row r="1166" spans="2:4" x14ac:dyDescent="0.55000000000000004">
      <c r="B1166" s="623" t="s">
        <v>1748</v>
      </c>
      <c r="C1166" s="613">
        <f>Quarts!S83</f>
        <v>-458</v>
      </c>
      <c r="D1166" s="623"/>
    </row>
    <row r="1167" spans="2:4" x14ac:dyDescent="0.55000000000000004">
      <c r="B1167" s="618" t="s">
        <v>477</v>
      </c>
      <c r="C1167" s="972">
        <f>C1163+C1165+C1166</f>
        <v>323.99999999999989</v>
      </c>
      <c r="D1167" s="618"/>
    </row>
    <row r="1170" spans="2:3" x14ac:dyDescent="0.55000000000000004">
      <c r="B1170" s="579" t="s">
        <v>1761</v>
      </c>
      <c r="C1170" s="584" t="s">
        <v>1019</v>
      </c>
    </row>
    <row r="1171" spans="2:3" x14ac:dyDescent="0.55000000000000004">
      <c r="B1171" s="557" t="s">
        <v>136</v>
      </c>
      <c r="C1171" s="580">
        <f>Quarts!AO6</f>
        <v>0.55150454068159482</v>
      </c>
    </row>
    <row r="1172" spans="2:3" x14ac:dyDescent="0.55000000000000004">
      <c r="B1172" s="557" t="s">
        <v>1766</v>
      </c>
      <c r="C1172" s="580">
        <v>0.48</v>
      </c>
    </row>
    <row r="1173" spans="2:3" x14ac:dyDescent="0.55000000000000004">
      <c r="B1173" s="557" t="s">
        <v>1764</v>
      </c>
      <c r="C1173" s="580">
        <v>0.36</v>
      </c>
    </row>
    <row r="1174" spans="2:3" x14ac:dyDescent="0.55000000000000004">
      <c r="B1174" s="557" t="s">
        <v>1763</v>
      </c>
      <c r="C1174" s="580">
        <v>0.23</v>
      </c>
    </row>
    <row r="1175" spans="2:3" x14ac:dyDescent="0.55000000000000004">
      <c r="B1175" s="557" t="s">
        <v>1765</v>
      </c>
      <c r="C1175" s="580">
        <v>0.16</v>
      </c>
    </row>
    <row r="1176" spans="2:3" x14ac:dyDescent="0.55000000000000004">
      <c r="B1176" s="557" t="s">
        <v>1767</v>
      </c>
      <c r="C1176" s="580">
        <v>8.5000000000000006E-2</v>
      </c>
    </row>
    <row r="1177" spans="2:3" x14ac:dyDescent="0.55000000000000004">
      <c r="B1177" s="557" t="s">
        <v>1768</v>
      </c>
      <c r="C1177" s="580">
        <v>7.0000000000000007E-2</v>
      </c>
    </row>
    <row r="1178" spans="2:3" x14ac:dyDescent="0.55000000000000004">
      <c r="B1178" s="557" t="s">
        <v>1762</v>
      </c>
      <c r="C1178" s="580">
        <v>-0.03</v>
      </c>
    </row>
    <row r="1185" spans="2:5" x14ac:dyDescent="0.55000000000000004">
      <c r="B1185" s="557" t="s">
        <v>1771</v>
      </c>
      <c r="C1185" s="557">
        <v>100</v>
      </c>
    </row>
    <row r="1186" spans="2:5" x14ac:dyDescent="0.55000000000000004">
      <c r="B1186" s="557" t="s">
        <v>1769</v>
      </c>
      <c r="C1186" s="557">
        <f>C1185</f>
        <v>100</v>
      </c>
      <c r="D1186" s="572">
        <f>C1185*(1+0.135*17/30)-C1186</f>
        <v>7.6500000000000057</v>
      </c>
      <c r="E1186" s="572">
        <f>D1186/2</f>
        <v>3.8250000000000028</v>
      </c>
    </row>
    <row r="1187" spans="2:5" x14ac:dyDescent="0.55000000000000004">
      <c r="B1187" s="557" t="s">
        <v>1770</v>
      </c>
      <c r="C1187" s="572">
        <f>C1186+D1186</f>
        <v>107.65</v>
      </c>
      <c r="D1187" s="572">
        <f>(C1186+D1186)*(1.09)^5-C1187</f>
        <v>57.982868744985041</v>
      </c>
    </row>
    <row r="1188" spans="2:5" x14ac:dyDescent="0.55000000000000004">
      <c r="B1188" s="557" t="s">
        <v>1773</v>
      </c>
      <c r="C1188" s="572">
        <f>C1187+D1187</f>
        <v>165.63286874498505</v>
      </c>
      <c r="D1188" s="557">
        <v>25</v>
      </c>
    </row>
    <row r="1189" spans="2:5" x14ac:dyDescent="0.55000000000000004">
      <c r="B1189" s="557" t="s">
        <v>1772</v>
      </c>
      <c r="C1189" s="572">
        <f>C1188+D1188</f>
        <v>190.63286874498505</v>
      </c>
    </row>
    <row r="1207" spans="2:5" x14ac:dyDescent="0.55000000000000004">
      <c r="C1207" s="557" t="s">
        <v>1209</v>
      </c>
      <c r="D1207" s="557" t="s">
        <v>218</v>
      </c>
      <c r="E1207" s="557" t="s">
        <v>420</v>
      </c>
    </row>
    <row r="1208" spans="2:5" x14ac:dyDescent="0.55000000000000004">
      <c r="B1208" s="557" t="s">
        <v>400</v>
      </c>
      <c r="C1208" s="557">
        <v>100</v>
      </c>
      <c r="D1208" s="557">
        <v>40</v>
      </c>
      <c r="E1208" s="557">
        <v>120</v>
      </c>
    </row>
    <row r="1209" spans="2:5" x14ac:dyDescent="0.55000000000000004">
      <c r="B1209" s="557" t="s">
        <v>1774</v>
      </c>
      <c r="C1209" s="580">
        <f>C1210/1000/C1208</f>
        <v>0.10864785714285714</v>
      </c>
      <c r="D1209" s="580">
        <f>D1210/1000/D1208</f>
        <v>6.6116418650793651E-2</v>
      </c>
      <c r="E1209" s="580">
        <v>0</v>
      </c>
    </row>
    <row r="1210" spans="2:5" x14ac:dyDescent="0.55000000000000004">
      <c r="C1210" s="573">
        <f>Quarts!T191</f>
        <v>10864.785714285714</v>
      </c>
      <c r="D1210" s="573">
        <f>Quarts!T192</f>
        <v>2644.656746031746</v>
      </c>
    </row>
  </sheetData>
  <autoFilter ref="B749:E755" xr:uid="{98441FDF-0B69-461A-B89F-FFD7CFAFF000}">
    <sortState xmlns:xlrd2="http://schemas.microsoft.com/office/spreadsheetml/2017/richdata2" ref="B750:E755">
      <sortCondition ref="C749:C755"/>
    </sortState>
  </autoFilter>
  <mergeCells count="21">
    <mergeCell ref="H550:K550"/>
    <mergeCell ref="R582:U582"/>
    <mergeCell ref="C519:G519"/>
    <mergeCell ref="H519:K519"/>
    <mergeCell ref="H675:L675"/>
    <mergeCell ref="M675:Q675"/>
    <mergeCell ref="C662:G662"/>
    <mergeCell ref="H662:L662"/>
    <mergeCell ref="M662:Q662"/>
    <mergeCell ref="C675:G675"/>
    <mergeCell ref="C582:G582"/>
    <mergeCell ref="H582:K582"/>
    <mergeCell ref="C550:G550"/>
    <mergeCell ref="C620:G620"/>
    <mergeCell ref="H620:K620"/>
    <mergeCell ref="R620:U620"/>
    <mergeCell ref="C699:F699"/>
    <mergeCell ref="H699:K699"/>
    <mergeCell ref="C687:G687"/>
    <mergeCell ref="H687:L687"/>
    <mergeCell ref="M687:Q687"/>
  </mergeCells>
  <phoneticPr fontId="81" type="noConversion"/>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3B811-BA39-4DD5-A4EA-6762EA42ED43}">
  <dimension ref="A1:AW131"/>
  <sheetViews>
    <sheetView showGridLines="0" zoomScale="80" zoomScaleNormal="80" workbookViewId="0">
      <pane xSplit="1" ySplit="2" topLeftCell="B36" activePane="bottomRight" state="frozen"/>
      <selection activeCell="B19" sqref="B19"/>
      <selection pane="topRight" activeCell="B19" sqref="B19"/>
      <selection pane="bottomLeft" activeCell="B19" sqref="B19"/>
      <selection pane="bottomRight" activeCell="F56" sqref="F56"/>
    </sheetView>
  </sheetViews>
  <sheetFormatPr defaultColWidth="8.69921875" defaultRowHeight="15.6" x14ac:dyDescent="0.6"/>
  <cols>
    <col min="1" max="1" width="51.19921875" style="17" customWidth="1"/>
    <col min="2" max="5" width="8.59765625" style="17" customWidth="1"/>
    <col min="6" max="14" width="8.59765625" style="43" customWidth="1"/>
    <col min="15" max="18" width="8.69921875" style="43"/>
    <col min="50" max="16384" width="8.69921875" style="43"/>
  </cols>
  <sheetData>
    <row r="1" spans="1:18" s="19" customFormat="1" x14ac:dyDescent="0.6">
      <c r="A1" s="913" t="s">
        <v>1193</v>
      </c>
      <c r="B1" s="17">
        <v>2018</v>
      </c>
      <c r="C1" s="17">
        <v>2019</v>
      </c>
      <c r="D1" s="17">
        <v>2020</v>
      </c>
      <c r="E1" s="17">
        <v>2021</v>
      </c>
      <c r="F1" s="17">
        <v>2022</v>
      </c>
      <c r="G1" s="18">
        <v>2023</v>
      </c>
      <c r="H1" s="18">
        <v>2024</v>
      </c>
      <c r="I1" s="18">
        <v>2025</v>
      </c>
      <c r="J1" s="18">
        <v>2026</v>
      </c>
      <c r="K1" s="18">
        <v>2027</v>
      </c>
      <c r="L1" s="18">
        <v>2028</v>
      </c>
      <c r="M1" s="18">
        <v>2029</v>
      </c>
      <c r="N1" s="18">
        <v>2030</v>
      </c>
      <c r="O1"/>
      <c r="P1"/>
      <c r="Q1"/>
      <c r="R1"/>
    </row>
    <row r="2" spans="1:18" customFormat="1" x14ac:dyDescent="0.6">
      <c r="A2" s="20" t="s">
        <v>136</v>
      </c>
      <c r="B2" s="21" t="s">
        <v>7</v>
      </c>
      <c r="C2" s="21" t="s">
        <v>7</v>
      </c>
      <c r="D2" s="21" t="s">
        <v>7</v>
      </c>
      <c r="E2" s="21" t="s">
        <v>7</v>
      </c>
      <c r="F2" s="21" t="s">
        <v>8</v>
      </c>
      <c r="G2" s="21" t="s">
        <v>8</v>
      </c>
      <c r="H2" s="21" t="s">
        <v>8</v>
      </c>
      <c r="I2" s="21" t="s">
        <v>8</v>
      </c>
      <c r="J2" s="21" t="s">
        <v>8</v>
      </c>
      <c r="K2" s="21" t="s">
        <v>8</v>
      </c>
      <c r="L2" s="21" t="s">
        <v>8</v>
      </c>
      <c r="M2" s="21" t="s">
        <v>8</v>
      </c>
      <c r="N2" s="21" t="s">
        <v>8</v>
      </c>
    </row>
    <row r="3" spans="1:18" customFormat="1" x14ac:dyDescent="0.6">
      <c r="A3" s="20" t="s">
        <v>9</v>
      </c>
    </row>
    <row r="4" spans="1:18" s="88" customFormat="1" ht="15.9" thickBot="1" x14ac:dyDescent="0.65">
      <c r="A4" s="87" t="s">
        <v>133</v>
      </c>
      <c r="B4" s="109">
        <f>B7+B26</f>
        <v>318.89999999999998</v>
      </c>
      <c r="C4" s="109">
        <f>C7+C26</f>
        <v>612.1</v>
      </c>
      <c r="D4" s="109">
        <f>D7+D26</f>
        <v>737.1</v>
      </c>
      <c r="E4" s="109">
        <f t="shared" ref="E4:N4" si="0">E7+E26</f>
        <v>1696.9561700000002</v>
      </c>
      <c r="F4" s="109">
        <f t="shared" si="0"/>
        <v>4790.1710000000003</v>
      </c>
      <c r="G4" s="109">
        <f t="shared" si="0"/>
        <v>7732.8072369424499</v>
      </c>
      <c r="H4" s="109">
        <f t="shared" si="0"/>
        <v>10023.301010022686</v>
      </c>
      <c r="I4" s="109">
        <f t="shared" si="0"/>
        <v>12552.755047904211</v>
      </c>
      <c r="J4" s="109">
        <f t="shared" si="0"/>
        <v>14827.584061151229</v>
      </c>
      <c r="K4" s="109">
        <f t="shared" si="0"/>
        <v>16928.784213913113</v>
      </c>
      <c r="L4" s="109">
        <f t="shared" si="0"/>
        <v>18724.416345688416</v>
      </c>
      <c r="M4" s="109">
        <f t="shared" si="0"/>
        <v>20972.958831498792</v>
      </c>
      <c r="N4" s="109">
        <f t="shared" si="0"/>
        <v>23159.131387457866</v>
      </c>
    </row>
    <row r="5" spans="1:18" s="26" customFormat="1" x14ac:dyDescent="0.6">
      <c r="A5" s="20" t="s">
        <v>387</v>
      </c>
      <c r="B5" s="126"/>
      <c r="C5" s="396">
        <f>C4/B4-1</f>
        <v>0.91941047350266558</v>
      </c>
      <c r="D5" s="396">
        <f>D4/C4-1</f>
        <v>0.20421499754942007</v>
      </c>
      <c r="E5" s="396">
        <f t="shared" ref="E5:N5" si="1">E4/D4-1</f>
        <v>1.3022061728395062</v>
      </c>
      <c r="F5" s="396">
        <f t="shared" si="1"/>
        <v>1.8228018405448858</v>
      </c>
      <c r="G5" s="396">
        <f t="shared" si="1"/>
        <v>0.61430713787512992</v>
      </c>
      <c r="H5" s="396">
        <f>H4/G4-1</f>
        <v>0.29620469034036034</v>
      </c>
      <c r="I5" s="396">
        <f t="shared" si="1"/>
        <v>0.25235738559105703</v>
      </c>
      <c r="J5" s="396">
        <f t="shared" si="1"/>
        <v>0.18122149317546188</v>
      </c>
      <c r="K5" s="396">
        <f t="shared" si="1"/>
        <v>0.14170886801897153</v>
      </c>
      <c r="L5" s="396">
        <f t="shared" si="1"/>
        <v>0.10606976313748162</v>
      </c>
      <c r="M5" s="396">
        <f t="shared" si="1"/>
        <v>0.1200861188032778</v>
      </c>
      <c r="N5" s="396">
        <f t="shared" si="1"/>
        <v>0.10423767926706229</v>
      </c>
    </row>
    <row r="6" spans="1:18" s="26" customFormat="1" x14ac:dyDescent="0.6">
      <c r="A6" s="20"/>
      <c r="B6" s="126"/>
      <c r="C6" s="396"/>
      <c r="D6" s="396"/>
      <c r="E6" s="396"/>
      <c r="F6" s="396"/>
      <c r="G6" s="396"/>
      <c r="H6" s="396"/>
      <c r="I6" s="396"/>
      <c r="J6" s="396"/>
      <c r="K6" s="396"/>
      <c r="L6" s="396"/>
      <c r="M6" s="396"/>
      <c r="N6" s="396"/>
    </row>
    <row r="7" spans="1:18" s="32" customFormat="1" ht="14.4" x14ac:dyDescent="0.55000000000000004">
      <c r="A7" s="168" t="s">
        <v>87</v>
      </c>
      <c r="B7" s="95">
        <f>B8+B11+B17+B19</f>
        <v>161.6</v>
      </c>
      <c r="C7" s="95">
        <f>C8+C11+C17+C19</f>
        <v>337.9</v>
      </c>
      <c r="D7" s="95">
        <f>D8+D11+D17+D19</f>
        <v>382.9</v>
      </c>
      <c r="E7" s="95">
        <f>E8+E11+E17+E19</f>
        <v>1045.6791700000001</v>
      </c>
      <c r="F7" s="95">
        <f>F8+F11+F17+F19</f>
        <v>3555.1709999999998</v>
      </c>
      <c r="G7" s="95">
        <f>G8+G11+G14+G17+G19</f>
        <v>6136.3464197242847</v>
      </c>
      <c r="H7" s="95">
        <f t="shared" ref="H7:N7" si="2">H8+H11+H14+H17+H19</f>
        <v>8015.8005110030226</v>
      </c>
      <c r="I7" s="95">
        <f t="shared" si="2"/>
        <v>9840.4789014433009</v>
      </c>
      <c r="J7" s="95">
        <f t="shared" si="2"/>
        <v>11591.160163987488</v>
      </c>
      <c r="K7" s="95">
        <f t="shared" si="2"/>
        <v>13094.530396286749</v>
      </c>
      <c r="L7" s="95">
        <f t="shared" si="2"/>
        <v>14421.920037477121</v>
      </c>
      <c r="M7" s="95">
        <f t="shared" si="2"/>
        <v>16186.129190786229</v>
      </c>
      <c r="N7" s="95">
        <f t="shared" si="2"/>
        <v>17867.518323133812</v>
      </c>
    </row>
    <row r="8" spans="1:18" s="32" customFormat="1" ht="14.4" x14ac:dyDescent="0.55000000000000004">
      <c r="A8" s="106" t="s">
        <v>158</v>
      </c>
      <c r="B8" s="151">
        <v>128.5</v>
      </c>
      <c r="C8" s="151">
        <v>214.6</v>
      </c>
      <c r="D8" s="151">
        <v>217.5</v>
      </c>
      <c r="E8" s="151">
        <v>357</v>
      </c>
      <c r="F8" s="151">
        <v>1014.875</v>
      </c>
      <c r="G8" s="44">
        <f>G9*AVERAGE(Drivers!G45:H45)</f>
        <v>2416.3429306511539</v>
      </c>
      <c r="H8" s="44">
        <f>H9*AVERAGE(Drivers!H45:I45)</f>
        <v>3452.5218107423561</v>
      </c>
      <c r="I8" s="44">
        <f>I9*AVERAGE(Drivers!I45:J45)</f>
        <v>4201.0839206008495</v>
      </c>
      <c r="J8" s="44">
        <f>J9*AVERAGE(Drivers!J45:K45)</f>
        <v>4714.7589002941468</v>
      </c>
      <c r="K8" s="44">
        <f>K9*AVERAGE(Drivers!K45:L45)</f>
        <v>4919.1324653571673</v>
      </c>
      <c r="L8" s="44">
        <f>L9*AVERAGE(Drivers!L45:M45)</f>
        <v>4814.4490974593227</v>
      </c>
      <c r="M8" s="44">
        <f>M9*AVERAGE(Drivers!M45:N45)</f>
        <v>5257.7143377202174</v>
      </c>
      <c r="N8" s="44">
        <f>N9*AVERAGE(Drivers!N45:O45)</f>
        <v>5685.3676201321423</v>
      </c>
    </row>
    <row r="9" spans="1:18" s="32" customFormat="1" ht="12.9" x14ac:dyDescent="0.5">
      <c r="A9" s="92" t="s">
        <v>233</v>
      </c>
      <c r="B9" s="38">
        <f>B8/Master!C$154</f>
        <v>7.9135361497721393E-2</v>
      </c>
      <c r="C9" s="219">
        <f>C8/AVERAGE(Master!C154,Master!D154)</f>
        <v>9.7317642790739858E-2</v>
      </c>
      <c r="D9" s="219">
        <f>D8/AVERAGE(Master!D154,Master!E154)</f>
        <v>7.6377427397548908E-2</v>
      </c>
      <c r="E9" s="219">
        <f>E8/AVERAGE(Master!E154,Master!F154)</f>
        <v>9.2855099227508009E-2</v>
      </c>
      <c r="F9" s="219">
        <f>F8/AVERAGE(Drivers!F45,Drivers!G45)</f>
        <v>0.14041680147994015</v>
      </c>
      <c r="G9" s="185">
        <v>0.20499999999999999</v>
      </c>
      <c r="H9" s="185">
        <v>0.20499999999999999</v>
      </c>
      <c r="I9" s="185">
        <v>0.19500000000000001</v>
      </c>
      <c r="J9" s="185">
        <v>0.185</v>
      </c>
      <c r="K9" s="185">
        <v>0.17</v>
      </c>
      <c r="L9" s="185">
        <v>0.15</v>
      </c>
      <c r="M9" s="185">
        <v>0.15</v>
      </c>
      <c r="N9" s="185">
        <v>0.15</v>
      </c>
    </row>
    <row r="10" spans="1:18" s="32" customFormat="1" ht="12.9" x14ac:dyDescent="0.5">
      <c r="A10" s="92"/>
      <c r="B10" s="38"/>
      <c r="C10" s="38"/>
      <c r="D10" s="38"/>
      <c r="E10" s="38"/>
    </row>
    <row r="11" spans="1:18" s="32" customFormat="1" ht="14.4" x14ac:dyDescent="0.55000000000000004">
      <c r="A11" s="1104" t="s">
        <v>159</v>
      </c>
      <c r="B11" s="151">
        <v>0</v>
      </c>
      <c r="C11" s="151">
        <v>8.6</v>
      </c>
      <c r="D11" s="151">
        <v>38.9</v>
      </c>
      <c r="E11" s="151">
        <v>292.70100000000002</v>
      </c>
      <c r="F11" s="151">
        <v>932.19600000000003</v>
      </c>
      <c r="G11" s="44">
        <f>G12*AVERAGE(Drivers!G43:H43)</f>
        <v>1495.1153443966684</v>
      </c>
      <c r="H11" s="44">
        <f>H12*AVERAGE(Drivers!H43:I43)</f>
        <v>2210.5730526404723</v>
      </c>
      <c r="I11" s="44">
        <f>I12*AVERAGE(Drivers!I43:J43)</f>
        <v>2995.7823982901446</v>
      </c>
      <c r="J11" s="44">
        <f>J12*AVERAGE(Drivers!J43:K43)</f>
        <v>3747.2948319911425</v>
      </c>
      <c r="K11" s="44">
        <f>K12*AVERAGE(Drivers!K43:L43)</f>
        <v>4518.2390532819763</v>
      </c>
      <c r="L11" s="44">
        <f>L12*AVERAGE(Drivers!L43:M43)</f>
        <v>5441.9112288121569</v>
      </c>
      <c r="M11" s="44">
        <f>M12*AVERAGE(Drivers!M43:N43)</f>
        <v>6277.5387976112988</v>
      </c>
      <c r="N11" s="44">
        <f>N12*AVERAGE(Drivers!N43:O43)</f>
        <v>7037.9357356394248</v>
      </c>
    </row>
    <row r="12" spans="1:18" s="32" customFormat="1" ht="12.9" x14ac:dyDescent="0.5">
      <c r="A12" s="92" t="s">
        <v>233</v>
      </c>
      <c r="B12" s="45"/>
      <c r="C12" s="150">
        <f>C11/AVERAGE(Master!C155,Master!D155)</f>
        <v>0.29655172413793102</v>
      </c>
      <c r="D12" s="150">
        <f>D11/AVERAGE(Master!D155,Master!E155)</f>
        <v>0.29885653028408077</v>
      </c>
      <c r="E12" s="150">
        <f>E11/AVERAGE(Master!E155,Master!F155)</f>
        <v>0.41900156849154663</v>
      </c>
      <c r="F12" s="150">
        <f>F11/AVERAGE(Drivers!F43:G43)</f>
        <v>0.55399712243555344</v>
      </c>
      <c r="G12" s="231">
        <v>0.53500000000000003</v>
      </c>
      <c r="H12" s="231">
        <v>0.51</v>
      </c>
      <c r="I12" s="231">
        <v>0.5</v>
      </c>
      <c r="J12" s="231">
        <v>0.47</v>
      </c>
      <c r="K12" s="231">
        <v>0.45</v>
      </c>
      <c r="L12" s="231">
        <v>0.45</v>
      </c>
      <c r="M12" s="231">
        <v>0.45</v>
      </c>
      <c r="N12" s="231">
        <v>0.45</v>
      </c>
    </row>
    <row r="13" spans="1:18" s="32" customFormat="1" ht="14.4" x14ac:dyDescent="0.55000000000000004">
      <c r="A13" s="142"/>
      <c r="B13" s="38"/>
      <c r="C13" s="38"/>
      <c r="D13" s="38"/>
      <c r="E13" s="38"/>
      <c r="F13" s="33"/>
    </row>
    <row r="14" spans="1:18" s="32" customFormat="1" ht="14.4" x14ac:dyDescent="0.55000000000000004">
      <c r="A14" s="1104" t="s">
        <v>1332</v>
      </c>
      <c r="B14" s="38"/>
      <c r="C14" s="38"/>
      <c r="D14" s="38"/>
      <c r="E14" s="38"/>
      <c r="F14" s="33"/>
      <c r="G14" s="44">
        <f>G15*AVERAGE(Drivers!G47:H47)</f>
        <v>17.261372558406745</v>
      </c>
      <c r="H14" s="44">
        <f>H15*AVERAGE(Drivers!H47:I47)</f>
        <v>156.73989660801243</v>
      </c>
      <c r="I14" s="44">
        <f>I15*AVERAGE(Drivers!I47:J47)</f>
        <v>397.7299306349347</v>
      </c>
      <c r="J14" s="44">
        <f>J15*AVERAGE(Drivers!J47:K47)</f>
        <v>621.65699895157911</v>
      </c>
      <c r="K14" s="44">
        <f>K15*AVERAGE(Drivers!K47:L47)</f>
        <v>772.22698660262893</v>
      </c>
      <c r="L14" s="44">
        <f>L15*AVERAGE(Drivers!L47:M47)</f>
        <v>896.61065493884894</v>
      </c>
      <c r="M14" s="44">
        <f>M15*AVERAGE(Drivers!M47:N47)</f>
        <v>986.13274087963043</v>
      </c>
      <c r="N14" s="44">
        <f>N15*AVERAGE(Drivers!N47:O47)</f>
        <v>1059.6067590285445</v>
      </c>
    </row>
    <row r="15" spans="1:18" s="32" customFormat="1" ht="12.9" x14ac:dyDescent="0.5">
      <c r="A15" s="92" t="s">
        <v>233</v>
      </c>
      <c r="B15" s="38"/>
      <c r="C15" s="38"/>
      <c r="D15" s="38"/>
      <c r="E15" s="38"/>
      <c r="F15" s="33"/>
      <c r="G15" s="231">
        <v>5.8000000000000003E-2</v>
      </c>
      <c r="H15" s="231">
        <v>0.2</v>
      </c>
      <c r="I15" s="231">
        <v>0.2</v>
      </c>
      <c r="J15" s="231">
        <v>0.2</v>
      </c>
      <c r="K15" s="231">
        <v>0.2</v>
      </c>
      <c r="L15" s="231">
        <v>0.2</v>
      </c>
      <c r="M15" s="231">
        <v>0.2</v>
      </c>
      <c r="N15" s="231">
        <v>0.2</v>
      </c>
    </row>
    <row r="16" spans="1:18" s="32" customFormat="1" ht="14.4" x14ac:dyDescent="0.55000000000000004">
      <c r="A16" s="142"/>
      <c r="B16" s="38"/>
      <c r="C16" s="38"/>
      <c r="D16" s="38"/>
      <c r="E16" s="38"/>
      <c r="F16" s="33"/>
    </row>
    <row r="17" spans="1:16" s="32" customFormat="1" ht="14.4" x14ac:dyDescent="0.55000000000000004">
      <c r="A17" s="106" t="s">
        <v>160</v>
      </c>
      <c r="B17" s="151">
        <v>14.2</v>
      </c>
      <c r="C17" s="151">
        <v>56.8</v>
      </c>
      <c r="D17" s="151">
        <v>37.799999999999997</v>
      </c>
      <c r="E17" s="151">
        <f>66.20217+17</f>
        <v>83.202169999999995</v>
      </c>
      <c r="F17" s="151">
        <f>388.7+161</f>
        <v>549.70000000000005</v>
      </c>
      <c r="G17" s="44">
        <f t="shared" ref="G17:N17" si="3">F17*(1+G18)</f>
        <v>615.6640000000001</v>
      </c>
      <c r="H17" s="44">
        <f t="shared" si="3"/>
        <v>689.54368000000022</v>
      </c>
      <c r="I17" s="44">
        <f t="shared" si="3"/>
        <v>724.0208640000003</v>
      </c>
      <c r="J17" s="44">
        <f t="shared" si="3"/>
        <v>760.22190720000037</v>
      </c>
      <c r="K17" s="44">
        <f t="shared" si="3"/>
        <v>798.23300256000039</v>
      </c>
      <c r="L17" s="44">
        <f t="shared" si="3"/>
        <v>838.14465268800041</v>
      </c>
      <c r="M17" s="44">
        <f t="shared" si="3"/>
        <v>880.05188532240049</v>
      </c>
      <c r="N17" s="44">
        <f t="shared" si="3"/>
        <v>924.05447958852051</v>
      </c>
    </row>
    <row r="18" spans="1:16" s="32" customFormat="1" ht="12.9" x14ac:dyDescent="0.5">
      <c r="A18" s="92" t="s">
        <v>261</v>
      </c>
      <c r="B18" s="92"/>
      <c r="C18" s="158">
        <f>C17/B17-1</f>
        <v>3</v>
      </c>
      <c r="D18" s="158">
        <f>D17/C17-1</f>
        <v>-0.33450704225352113</v>
      </c>
      <c r="E18" s="158">
        <f>E17/D17-1</f>
        <v>1.2011156084656087</v>
      </c>
      <c r="F18" s="158">
        <f>F17/E17-1</f>
        <v>5.6067988370976387</v>
      </c>
      <c r="G18" s="218">
        <v>0.12</v>
      </c>
      <c r="H18" s="218">
        <v>0.12</v>
      </c>
      <c r="I18" s="218">
        <v>0.05</v>
      </c>
      <c r="J18" s="218">
        <v>0.05</v>
      </c>
      <c r="K18" s="218">
        <v>0.05</v>
      </c>
      <c r="L18" s="218">
        <v>0.05</v>
      </c>
      <c r="M18" s="218">
        <v>0.05</v>
      </c>
      <c r="N18" s="218">
        <v>0.05</v>
      </c>
      <c r="P18" s="35"/>
    </row>
    <row r="19" spans="1:16" s="32" customFormat="1" ht="14.4" x14ac:dyDescent="0.55000000000000004">
      <c r="A19" s="106" t="s">
        <v>161</v>
      </c>
      <c r="B19" s="151">
        <v>18.899999999999999</v>
      </c>
      <c r="C19" s="151">
        <v>57.9</v>
      </c>
      <c r="D19" s="151">
        <v>88.7</v>
      </c>
      <c r="E19" s="151">
        <f>309.196+3.58</f>
        <v>312.77600000000001</v>
      </c>
      <c r="F19" s="151">
        <v>1058.4000000000001</v>
      </c>
      <c r="G19" s="44">
        <f>G20*AVERAGE(Master!G151:H151)</f>
        <v>1591.9627721180557</v>
      </c>
      <c r="H19" s="44">
        <f>H20*AVERAGE(Master!H151:I151)</f>
        <v>1506.4220710121808</v>
      </c>
      <c r="I19" s="44">
        <f>I20*AVERAGE(Master!I151:J151)</f>
        <v>1521.8617879173701</v>
      </c>
      <c r="J19" s="44">
        <f>J20*AVERAGE(Master!J151:K151)</f>
        <v>1747.227525550619</v>
      </c>
      <c r="K19" s="44">
        <f>K20*AVERAGE(Master!K151:L151)</f>
        <v>2086.6988884849757</v>
      </c>
      <c r="L19" s="44">
        <f>L20*AVERAGE(Master!L151:M151)</f>
        <v>2430.8044035787921</v>
      </c>
      <c r="M19" s="44">
        <f>M20*AVERAGE(Master!M151:N151)</f>
        <v>2784.6914292526817</v>
      </c>
      <c r="N19" s="44">
        <f>N20*AVERAGE(Master!N151:O151)</f>
        <v>3160.5537287451798</v>
      </c>
    </row>
    <row r="20" spans="1:16" s="32" customFormat="1" ht="12.9" x14ac:dyDescent="0.5">
      <c r="A20" s="92" t="s">
        <v>799</v>
      </c>
      <c r="B20" s="92"/>
      <c r="C20" s="176">
        <f>C19/AVERAGE(Master!C147,Master!D147)</f>
        <v>4.124078492823819E-2</v>
      </c>
      <c r="D20" s="176">
        <f>D19/AVERAGE(Master!D147,Master!E147)</f>
        <v>2.7187739463601535E-2</v>
      </c>
      <c r="E20" s="176">
        <f>E19/(AVERAGE(Master!E147,Master!F147)+AVERAGE(Master!E151,Master!F151))</f>
        <v>4.7152077873229871E-2</v>
      </c>
      <c r="F20" s="176">
        <f>F19/(AVERAGE(Master!F147,Master!G147)+AVERAGE(Master!F151,Master!G151))</f>
        <v>0.11130396741225113</v>
      </c>
      <c r="G20" s="159">
        <f t="shared" ref="G20:N20" si="4">G21*G22</f>
        <v>0.14054687500000002</v>
      </c>
      <c r="H20" s="159">
        <f t="shared" si="4"/>
        <v>0.10762500000000001</v>
      </c>
      <c r="I20" s="159">
        <f t="shared" si="4"/>
        <v>8.925000000000001E-2</v>
      </c>
      <c r="J20" s="159">
        <f t="shared" si="4"/>
        <v>8.4000000000000005E-2</v>
      </c>
      <c r="K20" s="159">
        <f t="shared" si="4"/>
        <v>8.4000000000000005E-2</v>
      </c>
      <c r="L20" s="159">
        <f t="shared" si="4"/>
        <v>8.4000000000000005E-2</v>
      </c>
      <c r="M20" s="159">
        <f t="shared" si="4"/>
        <v>8.4000000000000005E-2</v>
      </c>
      <c r="N20" s="159">
        <f t="shared" si="4"/>
        <v>8.4000000000000005E-2</v>
      </c>
      <c r="P20" s="35"/>
    </row>
    <row r="21" spans="1:16" s="32" customFormat="1" ht="14.4" x14ac:dyDescent="0.55000000000000004">
      <c r="A21" s="92" t="s">
        <v>65</v>
      </c>
      <c r="B21" s="269">
        <f>Macro!C2</f>
        <v>6.4199999999999993E-2</v>
      </c>
      <c r="C21" s="269">
        <f>Macro!D2</f>
        <v>5.96E-2</v>
      </c>
      <c r="D21" s="269">
        <f>Macro!E2</f>
        <v>2.7699999999999999E-2</v>
      </c>
      <c r="E21" s="269">
        <f>Macro!F2</f>
        <v>4.3499999999999997E-2</v>
      </c>
      <c r="F21" s="269">
        <f>Macro!G2</f>
        <v>0.127</v>
      </c>
      <c r="G21" s="269">
        <f>Macro!H2</f>
        <v>0.13385416666666666</v>
      </c>
      <c r="H21" s="269">
        <f>Macro!I2</f>
        <v>0.10250000000000001</v>
      </c>
      <c r="I21" s="269">
        <f>Macro!J2</f>
        <v>8.5000000000000006E-2</v>
      </c>
      <c r="J21" s="269">
        <f>Macro!K2</f>
        <v>0.08</v>
      </c>
      <c r="K21" s="269">
        <f>Macro!L2</f>
        <v>0.08</v>
      </c>
      <c r="L21" s="269">
        <f>Macro!M2</f>
        <v>0.08</v>
      </c>
      <c r="M21" s="269">
        <f>Macro!N2</f>
        <v>0.08</v>
      </c>
      <c r="N21" s="269">
        <f>Macro!O2</f>
        <v>0.08</v>
      </c>
      <c r="P21" s="35"/>
    </row>
    <row r="22" spans="1:16" s="32" customFormat="1" ht="14.4" x14ac:dyDescent="0.55000000000000004">
      <c r="A22" s="92" t="s">
        <v>266</v>
      </c>
      <c r="B22" s="272"/>
      <c r="C22" s="272">
        <f>C21/C20</f>
        <v>1.4451713298791018</v>
      </c>
      <c r="D22" s="272">
        <f>D21/D20</f>
        <v>1.0188416009019166</v>
      </c>
      <c r="E22" s="272">
        <f>E21/E20</f>
        <v>0.92254683063917942</v>
      </c>
      <c r="F22" s="272">
        <f>F21/F20</f>
        <v>1.141019524754346</v>
      </c>
      <c r="G22" s="93">
        <v>1.05</v>
      </c>
      <c r="H22" s="93">
        <v>1.05</v>
      </c>
      <c r="I22" s="93">
        <v>1.05</v>
      </c>
      <c r="J22" s="93">
        <v>1.05</v>
      </c>
      <c r="K22" s="93">
        <v>1.05</v>
      </c>
      <c r="L22" s="93">
        <v>1.05</v>
      </c>
      <c r="M22" s="93">
        <v>1.05</v>
      </c>
      <c r="N22" s="93">
        <v>1.05</v>
      </c>
      <c r="P22" s="35"/>
    </row>
    <row r="23" spans="1:16" s="32" customFormat="1" ht="12.9" x14ac:dyDescent="0.5">
      <c r="A23" s="452"/>
      <c r="B23" s="92"/>
      <c r="C23" s="158"/>
      <c r="D23" s="158"/>
      <c r="E23" s="158"/>
      <c r="F23" s="159"/>
      <c r="G23" s="218"/>
      <c r="H23" s="218"/>
      <c r="I23" s="218"/>
      <c r="J23" s="218"/>
      <c r="K23" s="218"/>
      <c r="L23" s="218"/>
      <c r="M23" s="218"/>
      <c r="N23" s="218"/>
      <c r="P23" s="35"/>
    </row>
    <row r="24" spans="1:16" s="32" customFormat="1" ht="12.9" x14ac:dyDescent="0.5">
      <c r="A24" s="92"/>
      <c r="B24" s="92"/>
      <c r="C24" s="158"/>
      <c r="D24" s="158"/>
      <c r="E24" s="158"/>
      <c r="F24" s="218"/>
      <c r="G24" s="218"/>
      <c r="H24" s="218"/>
      <c r="I24" s="218"/>
      <c r="J24" s="218"/>
      <c r="K24" s="218"/>
      <c r="L24" s="218"/>
      <c r="M24" s="218"/>
      <c r="N24" s="218"/>
      <c r="P24" s="35"/>
    </row>
    <row r="25" spans="1:16" s="32" customFormat="1" ht="12.9" x14ac:dyDescent="0.5">
      <c r="A25" s="92"/>
      <c r="B25" s="92"/>
      <c r="C25" s="158"/>
      <c r="D25" s="158"/>
      <c r="E25" s="158"/>
      <c r="F25" s="218"/>
      <c r="G25" s="218"/>
      <c r="H25" s="218"/>
      <c r="I25" s="218"/>
      <c r="J25" s="218"/>
      <c r="K25" s="218"/>
      <c r="L25" s="218"/>
      <c r="M25" s="218"/>
      <c r="N25" s="218"/>
      <c r="P25" s="35"/>
    </row>
    <row r="26" spans="1:16" s="32" customFormat="1" ht="14.4" x14ac:dyDescent="0.55000000000000004">
      <c r="A26" s="168" t="s">
        <v>88</v>
      </c>
      <c r="B26" s="95">
        <f>B28+B33</f>
        <v>157.30000000000001</v>
      </c>
      <c r="C26" s="95">
        <f t="shared" ref="C26:N26" si="5">C28+C33</f>
        <v>274.20000000000005</v>
      </c>
      <c r="D26" s="95">
        <f t="shared" si="5"/>
        <v>354.20000000000005</v>
      </c>
      <c r="E26" s="95">
        <f>E28+E33</f>
        <v>651.27700000000004</v>
      </c>
      <c r="F26" s="95">
        <f>F28+F33</f>
        <v>1235</v>
      </c>
      <c r="G26" s="95">
        <f>G28+G33</f>
        <v>1596.4608172181649</v>
      </c>
      <c r="H26" s="95">
        <f t="shared" si="5"/>
        <v>2007.5004990196635</v>
      </c>
      <c r="I26" s="95">
        <f t="shared" si="5"/>
        <v>2712.2761464609107</v>
      </c>
      <c r="J26" s="95">
        <f t="shared" si="5"/>
        <v>3236.423897163741</v>
      </c>
      <c r="K26" s="95">
        <f t="shared" si="5"/>
        <v>3834.2538176263633</v>
      </c>
      <c r="L26" s="95">
        <f t="shared" si="5"/>
        <v>4302.4963082112954</v>
      </c>
      <c r="M26" s="95">
        <f t="shared" si="5"/>
        <v>4786.8296407125636</v>
      </c>
      <c r="N26" s="95">
        <f t="shared" si="5"/>
        <v>5291.6130643240531</v>
      </c>
    </row>
    <row r="27" spans="1:16" s="32" customFormat="1" ht="14.4" x14ac:dyDescent="0.55000000000000004">
      <c r="A27" s="29"/>
      <c r="B27" s="44"/>
      <c r="C27" s="44"/>
      <c r="D27" s="44"/>
      <c r="E27" s="174"/>
      <c r="F27" s="44"/>
      <c r="G27" s="44"/>
      <c r="H27" s="44"/>
      <c r="I27" s="44"/>
      <c r="J27" s="44"/>
      <c r="K27" s="44"/>
      <c r="L27" s="44"/>
      <c r="M27" s="44"/>
      <c r="N27" s="44"/>
    </row>
    <row r="28" spans="1:16" s="32" customFormat="1" ht="14.4" x14ac:dyDescent="0.55000000000000004">
      <c r="A28" s="106" t="s">
        <v>162</v>
      </c>
      <c r="B28" s="151">
        <v>116.5</v>
      </c>
      <c r="C28" s="151">
        <v>203.9</v>
      </c>
      <c r="D28" s="44">
        <f>Drivers!E194</f>
        <v>254.3</v>
      </c>
      <c r="E28" s="44">
        <f>Drivers!F194</f>
        <v>471.505</v>
      </c>
      <c r="F28" s="44">
        <f>Drivers!G194</f>
        <v>917</v>
      </c>
      <c r="G28" s="44">
        <f>Drivers!H194</f>
        <v>1168.3232454497493</v>
      </c>
      <c r="H28" s="44">
        <f>Drivers!I194</f>
        <v>1425.9836566140139</v>
      </c>
      <c r="I28" s="44">
        <f>Drivers!J194</f>
        <v>1973.9597576059828</v>
      </c>
      <c r="J28" s="44">
        <f>Drivers!K194</f>
        <v>2372.5599282977792</v>
      </c>
      <c r="K28" s="44">
        <f>Drivers!L194</f>
        <v>2827.3795756649079</v>
      </c>
      <c r="L28" s="44">
        <f>Drivers!M194</f>
        <v>3163.8126412799993</v>
      </c>
      <c r="M28" s="44">
        <f>Drivers!N194</f>
        <v>3507.7517656954888</v>
      </c>
      <c r="N28" s="44">
        <f>Drivers!O194</f>
        <v>3864.1938799484037</v>
      </c>
      <c r="P28" s="35"/>
    </row>
    <row r="29" spans="1:16" s="32" customFormat="1" ht="14.4" x14ac:dyDescent="0.55000000000000004">
      <c r="A29" s="455" t="s">
        <v>802</v>
      </c>
      <c r="B29" s="31"/>
      <c r="C29" s="31"/>
      <c r="D29" s="31"/>
      <c r="E29" s="31">
        <f>8.1%*E4</f>
        <v>137.45344977000002</v>
      </c>
      <c r="F29" s="44"/>
      <c r="G29" s="44"/>
      <c r="H29" s="44"/>
      <c r="I29" s="44"/>
      <c r="J29" s="44"/>
      <c r="K29" s="44"/>
      <c r="L29" s="44"/>
      <c r="M29" s="44"/>
      <c r="N29" s="44"/>
      <c r="P29" s="35"/>
    </row>
    <row r="30" spans="1:16" s="32" customFormat="1" ht="14.4" x14ac:dyDescent="0.55000000000000004">
      <c r="A30" s="455" t="s">
        <v>804</v>
      </c>
      <c r="B30" s="31"/>
      <c r="C30" s="31"/>
      <c r="D30" s="31">
        <f>Drivers!E220*Drivers!E207*1000</f>
        <v>159.80000000000001</v>
      </c>
      <c r="E30" s="31">
        <f>Drivers!F220*Drivers!F207*1000</f>
        <v>172.19904081632654</v>
      </c>
      <c r="F30" s="44"/>
      <c r="G30" s="44"/>
      <c r="H30" s="44"/>
      <c r="I30" s="44"/>
      <c r="J30" s="44"/>
      <c r="K30" s="44"/>
      <c r="L30" s="44"/>
      <c r="M30" s="44"/>
      <c r="N30" s="44"/>
      <c r="P30" s="35"/>
    </row>
    <row r="31" spans="1:16" s="32" customFormat="1" ht="14.4" x14ac:dyDescent="0.55000000000000004">
      <c r="A31" s="455" t="s">
        <v>803</v>
      </c>
      <c r="B31" s="31"/>
      <c r="C31" s="31"/>
      <c r="D31" s="31"/>
      <c r="E31" s="31">
        <f>E28-E30-E29</f>
        <v>161.85250941367343</v>
      </c>
      <c r="F31" s="44"/>
      <c r="G31" s="44"/>
      <c r="H31" s="44"/>
      <c r="I31" s="44"/>
      <c r="J31" s="44"/>
      <c r="K31" s="44"/>
      <c r="L31" s="44"/>
      <c r="M31" s="44"/>
      <c r="N31" s="44"/>
      <c r="P31" s="35"/>
    </row>
    <row r="32" spans="1:16" s="32" customFormat="1" ht="14.4" x14ac:dyDescent="0.55000000000000004">
      <c r="A32" s="106"/>
      <c r="B32" s="30"/>
      <c r="C32" s="30"/>
      <c r="D32" s="30"/>
      <c r="E32" s="30"/>
      <c r="F32" s="44"/>
      <c r="G32" s="44"/>
      <c r="H32" s="44"/>
      <c r="I32" s="44"/>
      <c r="J32" s="44"/>
      <c r="K32" s="44"/>
      <c r="L32" s="44"/>
      <c r="M32" s="44"/>
      <c r="N32" s="44"/>
      <c r="P32" s="35"/>
    </row>
    <row r="33" spans="1:16" s="32" customFormat="1" ht="14.4" x14ac:dyDescent="0.55000000000000004">
      <c r="A33" s="175" t="s">
        <v>287</v>
      </c>
      <c r="B33" s="44">
        <f t="shared" ref="B33:G33" si="6">SUM(B35:B39)</f>
        <v>40.800000000000004</v>
      </c>
      <c r="C33" s="44">
        <f t="shared" si="6"/>
        <v>70.300000000000011</v>
      </c>
      <c r="D33" s="44">
        <f t="shared" si="6"/>
        <v>99.9</v>
      </c>
      <c r="E33" s="44">
        <f t="shared" si="6"/>
        <v>179.77199999999999</v>
      </c>
      <c r="F33" s="44">
        <f t="shared" si="6"/>
        <v>318</v>
      </c>
      <c r="G33" s="44">
        <f t="shared" si="6"/>
        <v>428.13757176841568</v>
      </c>
      <c r="H33" s="44">
        <f t="shared" ref="H33:N33" si="7">SUM(H35:H39)</f>
        <v>581.51684240564975</v>
      </c>
      <c r="I33" s="44">
        <f t="shared" si="7"/>
        <v>738.31638885492805</v>
      </c>
      <c r="J33" s="44">
        <f t="shared" si="7"/>
        <v>863.86396886596197</v>
      </c>
      <c r="K33" s="44">
        <f t="shared" si="7"/>
        <v>1006.8742419614556</v>
      </c>
      <c r="L33" s="44">
        <f t="shared" si="7"/>
        <v>1138.6836669312956</v>
      </c>
      <c r="M33" s="44">
        <f t="shared" si="7"/>
        <v>1279.0778750170753</v>
      </c>
      <c r="N33" s="44">
        <f t="shared" si="7"/>
        <v>1427.4191843756494</v>
      </c>
      <c r="P33" s="35"/>
    </row>
    <row r="34" spans="1:16" s="32" customFormat="1" ht="12.9" x14ac:dyDescent="0.5">
      <c r="A34" s="92" t="s">
        <v>261</v>
      </c>
      <c r="B34" s="92"/>
      <c r="C34" s="158">
        <f>D33/C33-1</f>
        <v>0.42105263157894712</v>
      </c>
      <c r="D34" s="158">
        <f>E33/D33-1</f>
        <v>0.79951951951951927</v>
      </c>
      <c r="E34" s="158">
        <f>F33/E33-1</f>
        <v>0.76890728255790686</v>
      </c>
      <c r="F34" s="158">
        <f>F33/E33-1</f>
        <v>0.76890728255790686</v>
      </c>
      <c r="G34" s="158">
        <f>G33/F33-1</f>
        <v>0.34634456530948321</v>
      </c>
      <c r="H34" s="158">
        <f>Drivers!I$9</f>
        <v>0.15191545574636733</v>
      </c>
      <c r="I34" s="158">
        <f>Drivers!J$9</f>
        <v>0.13761467889908263</v>
      </c>
      <c r="J34" s="158">
        <f>Drivers!K$9</f>
        <v>0.10080645161290325</v>
      </c>
      <c r="K34" s="158">
        <f>Drivers!L$9</f>
        <v>7.3260073260073222E-2</v>
      </c>
      <c r="L34" s="158">
        <f>Drivers!M$9</f>
        <v>4.6928327645051171E-2</v>
      </c>
      <c r="M34" s="158">
        <f>Drivers!N$9</f>
        <v>3.6674816625916762E-2</v>
      </c>
      <c r="N34" s="158">
        <f>Drivers!O$9</f>
        <v>2.7515723270440384E-2</v>
      </c>
      <c r="P34" s="35"/>
    </row>
    <row r="35" spans="1:16" s="32" customFormat="1" ht="14.4" x14ac:dyDescent="0.55000000000000004">
      <c r="A35" s="106" t="s">
        <v>163</v>
      </c>
      <c r="B35" s="151">
        <v>0</v>
      </c>
      <c r="C35" s="151">
        <v>0.4</v>
      </c>
      <c r="D35" s="151">
        <v>15.3</v>
      </c>
      <c r="E35" s="151">
        <v>48.378</v>
      </c>
      <c r="F35" s="151">
        <v>77</v>
      </c>
      <c r="G35" s="30">
        <v>80</v>
      </c>
      <c r="H35" s="30">
        <f>G35*1.5</f>
        <v>120</v>
      </c>
      <c r="I35" s="30">
        <f>H35*1.2</f>
        <v>144</v>
      </c>
      <c r="J35" s="30">
        <f t="shared" ref="J35:N37" si="8">I35*1.1</f>
        <v>158.4</v>
      </c>
      <c r="K35" s="30">
        <f t="shared" si="8"/>
        <v>174.24</v>
      </c>
      <c r="L35" s="30">
        <f t="shared" si="8"/>
        <v>191.66400000000002</v>
      </c>
      <c r="M35" s="30">
        <f t="shared" si="8"/>
        <v>210.83040000000003</v>
      </c>
      <c r="N35" s="30">
        <f t="shared" si="8"/>
        <v>231.91344000000004</v>
      </c>
    </row>
    <row r="36" spans="1:16" s="32" customFormat="1" ht="14.4" x14ac:dyDescent="0.55000000000000004">
      <c r="A36" s="106" t="s">
        <v>164</v>
      </c>
      <c r="B36" s="151">
        <v>12.6</v>
      </c>
      <c r="C36" s="151">
        <v>21</v>
      </c>
      <c r="D36" s="151">
        <v>23.5</v>
      </c>
      <c r="E36" s="151">
        <v>26.856999999999999</v>
      </c>
      <c r="F36" s="151">
        <v>22</v>
      </c>
      <c r="G36" s="30">
        <f>F36</f>
        <v>22</v>
      </c>
      <c r="H36" s="30">
        <f t="shared" ref="H36:N36" si="9">G36</f>
        <v>22</v>
      </c>
      <c r="I36" s="30">
        <f t="shared" si="9"/>
        <v>22</v>
      </c>
      <c r="J36" s="30">
        <f t="shared" si="9"/>
        <v>22</v>
      </c>
      <c r="K36" s="30">
        <f t="shared" si="9"/>
        <v>22</v>
      </c>
      <c r="L36" s="30">
        <f t="shared" si="9"/>
        <v>22</v>
      </c>
      <c r="M36" s="30">
        <f t="shared" si="9"/>
        <v>22</v>
      </c>
      <c r="N36" s="30">
        <f t="shared" si="9"/>
        <v>22</v>
      </c>
    </row>
    <row r="37" spans="1:16" s="32" customFormat="1" ht="14.4" x14ac:dyDescent="0.55000000000000004">
      <c r="A37" s="106" t="s">
        <v>165</v>
      </c>
      <c r="B37" s="151">
        <v>17.100000000000001</v>
      </c>
      <c r="C37" s="151">
        <v>27.8</v>
      </c>
      <c r="D37" s="151">
        <v>31.2</v>
      </c>
      <c r="E37" s="151">
        <v>49.951000000000001</v>
      </c>
      <c r="F37" s="151">
        <v>104</v>
      </c>
      <c r="G37" s="30">
        <v>160</v>
      </c>
      <c r="H37" s="30">
        <f>G37*1.3</f>
        <v>208</v>
      </c>
      <c r="I37" s="30">
        <f>H37*1.2</f>
        <v>249.6</v>
      </c>
      <c r="J37" s="30">
        <f t="shared" si="8"/>
        <v>274.56</v>
      </c>
      <c r="K37" s="30">
        <f t="shared" si="8"/>
        <v>302.01600000000002</v>
      </c>
      <c r="L37" s="30">
        <f t="shared" si="8"/>
        <v>332.21760000000006</v>
      </c>
      <c r="M37" s="30">
        <f t="shared" si="8"/>
        <v>365.43936000000008</v>
      </c>
      <c r="N37" s="30">
        <f t="shared" si="8"/>
        <v>401.98329600000011</v>
      </c>
    </row>
    <row r="38" spans="1:16" s="32" customFormat="1" ht="12.9" x14ac:dyDescent="0.5">
      <c r="A38" s="37" t="s">
        <v>166</v>
      </c>
      <c r="B38" s="151">
        <v>11.1</v>
      </c>
      <c r="C38" s="151">
        <v>21.1</v>
      </c>
      <c r="D38" s="151">
        <v>29.9</v>
      </c>
      <c r="E38" s="151">
        <v>65.766000000000005</v>
      </c>
      <c r="F38" s="151">
        <v>115</v>
      </c>
      <c r="G38" s="31">
        <f>G41</f>
        <v>166.13757176841568</v>
      </c>
      <c r="H38" s="31">
        <f>H41</f>
        <v>231.51684240564978</v>
      </c>
      <c r="I38" s="31">
        <f t="shared" ref="I38:N38" si="10">I41</f>
        <v>322.71638885492803</v>
      </c>
      <c r="J38" s="31">
        <f t="shared" si="10"/>
        <v>408.90396886596193</v>
      </c>
      <c r="K38" s="31">
        <f t="shared" si="10"/>
        <v>508.61824196145557</v>
      </c>
      <c r="L38" s="31">
        <f t="shared" si="10"/>
        <v>592.80206693129571</v>
      </c>
      <c r="M38" s="31">
        <f t="shared" si="10"/>
        <v>680.80811501707501</v>
      </c>
      <c r="N38" s="31">
        <f t="shared" si="10"/>
        <v>771.52244837564933</v>
      </c>
    </row>
    <row r="39" spans="1:16" s="32" customFormat="1" ht="12.9" x14ac:dyDescent="0.5">
      <c r="A39" s="37" t="s">
        <v>709</v>
      </c>
      <c r="B39" s="151"/>
      <c r="C39" s="151"/>
      <c r="D39" s="151"/>
      <c r="E39" s="151">
        <v>-11.18</v>
      </c>
      <c r="F39" s="151">
        <v>0</v>
      </c>
      <c r="G39" s="30">
        <f>F39</f>
        <v>0</v>
      </c>
      <c r="H39" s="30">
        <f t="shared" ref="H39:N39" si="11">G39</f>
        <v>0</v>
      </c>
      <c r="I39" s="30">
        <f t="shared" si="11"/>
        <v>0</v>
      </c>
      <c r="J39" s="30">
        <f t="shared" si="11"/>
        <v>0</v>
      </c>
      <c r="K39" s="30">
        <f t="shared" si="11"/>
        <v>0</v>
      </c>
      <c r="L39" s="30">
        <f t="shared" si="11"/>
        <v>0</v>
      </c>
      <c r="M39" s="30">
        <f t="shared" si="11"/>
        <v>0</v>
      </c>
      <c r="N39" s="30">
        <f t="shared" si="11"/>
        <v>0</v>
      </c>
    </row>
    <row r="41" spans="1:16" s="198" customFormat="1" ht="15.9" thickBot="1" x14ac:dyDescent="0.65">
      <c r="A41" s="1107" t="str">
        <f>A38</f>
        <v>Other fee and commission income</v>
      </c>
      <c r="B41" s="1107"/>
      <c r="C41" s="1108">
        <f>C38</f>
        <v>21.1</v>
      </c>
      <c r="D41" s="1108">
        <f>D38</f>
        <v>29.9</v>
      </c>
      <c r="E41" s="1108">
        <f>E38</f>
        <v>65.766000000000005</v>
      </c>
      <c r="F41" s="1108">
        <f>F38</f>
        <v>115</v>
      </c>
      <c r="G41" s="1108">
        <f>G43+G49+G54+G59</f>
        <v>166.13757176841568</v>
      </c>
      <c r="H41" s="1108">
        <f t="shared" ref="H41:N41" si="12">H43+H49+H54+H59</f>
        <v>231.51684240564978</v>
      </c>
      <c r="I41" s="1108">
        <f t="shared" si="12"/>
        <v>322.71638885492803</v>
      </c>
      <c r="J41" s="1108">
        <f t="shared" si="12"/>
        <v>408.90396886596193</v>
      </c>
      <c r="K41" s="1108">
        <f t="shared" si="12"/>
        <v>508.61824196145557</v>
      </c>
      <c r="L41" s="1108">
        <f t="shared" si="12"/>
        <v>592.80206693129571</v>
      </c>
      <c r="M41" s="1108">
        <f t="shared" si="12"/>
        <v>680.80811501707501</v>
      </c>
      <c r="N41" s="1108">
        <f t="shared" si="12"/>
        <v>771.52244837564933</v>
      </c>
    </row>
    <row r="42" spans="1:16" x14ac:dyDescent="0.6">
      <c r="A42" s="238"/>
      <c r="B42" s="238"/>
      <c r="C42" s="238"/>
      <c r="D42" s="238"/>
      <c r="E42" s="238"/>
      <c r="F42" s="239"/>
      <c r="G42" s="239"/>
      <c r="H42" s="239"/>
      <c r="I42" s="239"/>
      <c r="J42" s="239"/>
      <c r="K42" s="239"/>
      <c r="L42" s="239"/>
      <c r="M42" s="239"/>
      <c r="N42" s="239"/>
    </row>
    <row r="43" spans="1:16" x14ac:dyDescent="0.6">
      <c r="A43" s="168" t="s">
        <v>317</v>
      </c>
      <c r="B43" s="238"/>
      <c r="C43" s="238"/>
      <c r="D43" s="238"/>
      <c r="E43" s="238">
        <f>E45*E46</f>
        <v>0</v>
      </c>
      <c r="F43" s="23">
        <f t="shared" ref="F43:N43" si="13">F45*F46</f>
        <v>23.948651162790693</v>
      </c>
      <c r="G43" s="23">
        <f t="shared" si="13"/>
        <v>45.718875373878362</v>
      </c>
      <c r="H43" s="23">
        <f t="shared" si="13"/>
        <v>69.068471953578353</v>
      </c>
      <c r="I43" s="23">
        <f t="shared" si="13"/>
        <v>102.34920634920636</v>
      </c>
      <c r="J43" s="23">
        <f t="shared" si="13"/>
        <v>135.91914893617019</v>
      </c>
      <c r="K43" s="23">
        <f t="shared" si="13"/>
        <v>176.82011605415858</v>
      </c>
      <c r="L43" s="23">
        <f t="shared" si="13"/>
        <v>200.54448742746615</v>
      </c>
      <c r="M43" s="23">
        <f t="shared" si="13"/>
        <v>223.89168278529976</v>
      </c>
      <c r="N43" s="23">
        <f t="shared" si="13"/>
        <v>246.48452611218573</v>
      </c>
    </row>
    <row r="44" spans="1:16" x14ac:dyDescent="0.6">
      <c r="A44" s="303" t="s">
        <v>464</v>
      </c>
      <c r="B44" s="238"/>
      <c r="C44" s="238"/>
      <c r="D44" s="238"/>
      <c r="E44" s="238">
        <f>Drivers!F317</f>
        <v>0</v>
      </c>
      <c r="F44" s="241">
        <f>Drivers!G317</f>
        <v>4.8959999999999999</v>
      </c>
      <c r="G44" s="241">
        <f>Drivers!H317</f>
        <v>9.0839999999999996</v>
      </c>
      <c r="H44" s="241">
        <f>Drivers!I317</f>
        <v>12.208000000000002</v>
      </c>
      <c r="I44" s="241">
        <f>Drivers!J317</f>
        <v>15.872000000000002</v>
      </c>
      <c r="J44" s="241">
        <f>Drivers!K317</f>
        <v>19.655999999999999</v>
      </c>
      <c r="K44" s="241">
        <f>Drivers!L317</f>
        <v>23.44</v>
      </c>
      <c r="L44" s="241">
        <f>Drivers!M317</f>
        <v>24.540000000000003</v>
      </c>
      <c r="M44" s="241">
        <f>Drivers!N317</f>
        <v>25.44</v>
      </c>
      <c r="N44" s="241">
        <f>Drivers!O317</f>
        <v>26.140000000000004</v>
      </c>
    </row>
    <row r="45" spans="1:16" x14ac:dyDescent="0.6">
      <c r="A45" s="240" t="s">
        <v>325</v>
      </c>
      <c r="B45" s="238"/>
      <c r="C45" s="238"/>
      <c r="D45" s="238"/>
      <c r="E45" s="238">
        <f>Drivers!F321</f>
        <v>0</v>
      </c>
      <c r="F45" s="239">
        <f>Drivers!G321</f>
        <v>1197.4325581395346</v>
      </c>
      <c r="G45" s="239">
        <f>Drivers!H321</f>
        <v>2285.9437686939182</v>
      </c>
      <c r="H45" s="239">
        <f>Drivers!I321</f>
        <v>3069.7098646034824</v>
      </c>
      <c r="I45" s="239">
        <f>Drivers!J321</f>
        <v>4093.9682539682544</v>
      </c>
      <c r="J45" s="239">
        <f>Drivers!K321</f>
        <v>4942.5145067698259</v>
      </c>
      <c r="K45" s="239">
        <f>Drivers!L321</f>
        <v>5894.0038684719539</v>
      </c>
      <c r="L45" s="239">
        <f>Drivers!M321</f>
        <v>6170.5996131528054</v>
      </c>
      <c r="M45" s="239">
        <f>Drivers!N321</f>
        <v>6396.9052224371371</v>
      </c>
      <c r="N45" s="239">
        <f>Drivers!O321</f>
        <v>6572.9206963249535</v>
      </c>
    </row>
    <row r="46" spans="1:16" x14ac:dyDescent="0.6">
      <c r="A46" s="240" t="s">
        <v>326</v>
      </c>
      <c r="B46" s="238"/>
      <c r="C46" s="238"/>
      <c r="D46" s="238"/>
      <c r="E46" s="238">
        <v>0</v>
      </c>
      <c r="F46" s="245">
        <v>0.02</v>
      </c>
      <c r="G46" s="269">
        <f>F46+G47</f>
        <v>0.02</v>
      </c>
      <c r="H46" s="269">
        <f t="shared" ref="H46:N46" si="14">G46+H47</f>
        <v>2.2499999999999999E-2</v>
      </c>
      <c r="I46" s="269">
        <f t="shared" si="14"/>
        <v>2.4999999999999998E-2</v>
      </c>
      <c r="J46" s="269">
        <f t="shared" si="14"/>
        <v>2.7499999999999997E-2</v>
      </c>
      <c r="K46" s="269">
        <f t="shared" si="14"/>
        <v>2.9999999999999995E-2</v>
      </c>
      <c r="L46" s="269">
        <f t="shared" si="14"/>
        <v>3.2499999999999994E-2</v>
      </c>
      <c r="M46" s="269">
        <f t="shared" si="14"/>
        <v>3.4999999999999996E-2</v>
      </c>
      <c r="N46" s="269">
        <f t="shared" si="14"/>
        <v>3.7499999999999999E-2</v>
      </c>
    </row>
    <row r="47" spans="1:16" s="32" customFormat="1" ht="12.9" x14ac:dyDescent="0.5">
      <c r="A47" s="92" t="s">
        <v>438</v>
      </c>
      <c r="B47" s="92"/>
      <c r="C47" s="158"/>
      <c r="D47" s="158"/>
      <c r="E47" s="158"/>
      <c r="F47" s="159">
        <f>F46-E46</f>
        <v>0.02</v>
      </c>
      <c r="G47" s="182">
        <v>0</v>
      </c>
      <c r="H47" s="182">
        <v>2.5000000000000001E-3</v>
      </c>
      <c r="I47" s="182">
        <v>2.5000000000000001E-3</v>
      </c>
      <c r="J47" s="182">
        <v>2.5000000000000001E-3</v>
      </c>
      <c r="K47" s="182">
        <v>2.5000000000000001E-3</v>
      </c>
      <c r="L47" s="182">
        <v>2.5000000000000001E-3</v>
      </c>
      <c r="M47" s="182">
        <v>2.5000000000000001E-3</v>
      </c>
      <c r="N47" s="182">
        <v>2.5000000000000001E-3</v>
      </c>
      <c r="P47" s="35"/>
    </row>
    <row r="48" spans="1:16" x14ac:dyDescent="0.6">
      <c r="A48" s="238"/>
      <c r="B48" s="238"/>
      <c r="C48" s="238"/>
      <c r="D48" s="238"/>
      <c r="E48" s="238"/>
      <c r="F48" s="239"/>
      <c r="G48" s="239"/>
      <c r="H48" s="239"/>
      <c r="I48" s="239"/>
      <c r="J48" s="239"/>
      <c r="K48" s="239"/>
      <c r="L48" s="239"/>
      <c r="M48" s="239"/>
      <c r="N48" s="239"/>
    </row>
    <row r="49" spans="1:16" x14ac:dyDescent="0.6">
      <c r="A49" s="168" t="s">
        <v>318</v>
      </c>
      <c r="B49" s="238"/>
      <c r="C49" s="238"/>
      <c r="D49" s="238"/>
      <c r="E49" s="238">
        <f>E50*E51</f>
        <v>0</v>
      </c>
      <c r="F49" s="23">
        <f t="shared" ref="F49:N49" si="15">F50*F51</f>
        <v>25.704000000000004</v>
      </c>
      <c r="G49" s="23">
        <f t="shared" si="15"/>
        <v>42.392000000000003</v>
      </c>
      <c r="H49" s="23">
        <f t="shared" si="15"/>
        <v>69.760000000000005</v>
      </c>
      <c r="I49" s="23">
        <f t="shared" si="15"/>
        <v>107.136</v>
      </c>
      <c r="J49" s="23">
        <f t="shared" si="15"/>
        <v>141.96</v>
      </c>
      <c r="K49" s="23">
        <f t="shared" si="15"/>
        <v>180.488</v>
      </c>
      <c r="L49" s="23">
        <f t="shared" si="15"/>
        <v>220.86000000000007</v>
      </c>
      <c r="M49" s="23">
        <f t="shared" si="15"/>
        <v>264.57600000000002</v>
      </c>
      <c r="N49" s="23">
        <f t="shared" si="15"/>
        <v>311.06600000000014</v>
      </c>
    </row>
    <row r="50" spans="1:16" x14ac:dyDescent="0.6">
      <c r="A50" s="240" t="str">
        <f>A44</f>
        <v>Active clients, millions</v>
      </c>
      <c r="B50" s="238"/>
      <c r="C50" s="238"/>
      <c r="D50" s="238"/>
      <c r="E50" s="241">
        <f>Drivers!F339</f>
        <v>1.2330000000000001</v>
      </c>
      <c r="F50" s="241">
        <f>Drivers!G339</f>
        <v>4.2840000000000007</v>
      </c>
      <c r="G50" s="241">
        <f>Drivers!H339</f>
        <v>6.056</v>
      </c>
      <c r="H50" s="241">
        <f>Drivers!I339</f>
        <v>8.7200000000000006</v>
      </c>
      <c r="I50" s="241">
        <f>Drivers!J339</f>
        <v>11.904</v>
      </c>
      <c r="J50" s="241">
        <f>Drivers!K339</f>
        <v>14.196000000000002</v>
      </c>
      <c r="K50" s="241">
        <f>Drivers!L339</f>
        <v>16.408000000000001</v>
      </c>
      <c r="L50" s="241">
        <f>Drivers!M339</f>
        <v>18.405000000000005</v>
      </c>
      <c r="M50" s="241">
        <f>Drivers!N339</f>
        <v>20.352000000000004</v>
      </c>
      <c r="N50" s="241">
        <f>Drivers!O339</f>
        <v>22.219000000000008</v>
      </c>
    </row>
    <row r="51" spans="1:16" x14ac:dyDescent="0.6">
      <c r="A51" s="240" t="s">
        <v>327</v>
      </c>
      <c r="B51" s="238"/>
      <c r="C51" s="238"/>
      <c r="D51" s="238"/>
      <c r="E51" s="238">
        <v>0</v>
      </c>
      <c r="F51" s="265">
        <v>6</v>
      </c>
      <c r="G51" s="266">
        <f t="shared" ref="G51:N51" si="16">F51+G52</f>
        <v>7</v>
      </c>
      <c r="H51" s="266">
        <f t="shared" si="16"/>
        <v>8</v>
      </c>
      <c r="I51" s="266">
        <f t="shared" si="16"/>
        <v>9</v>
      </c>
      <c r="J51" s="266">
        <f t="shared" si="16"/>
        <v>10</v>
      </c>
      <c r="K51" s="266">
        <f t="shared" si="16"/>
        <v>11</v>
      </c>
      <c r="L51" s="266">
        <f t="shared" si="16"/>
        <v>12</v>
      </c>
      <c r="M51" s="266">
        <f t="shared" si="16"/>
        <v>13</v>
      </c>
      <c r="N51" s="266">
        <f t="shared" si="16"/>
        <v>14</v>
      </c>
    </row>
    <row r="52" spans="1:16" s="32" customFormat="1" ht="12.9" x14ac:dyDescent="0.5">
      <c r="A52" s="92" t="s">
        <v>439</v>
      </c>
      <c r="B52" s="92"/>
      <c r="C52" s="158"/>
      <c r="D52" s="158"/>
      <c r="E52" s="158"/>
      <c r="F52" s="284"/>
      <c r="G52" s="284">
        <v>1</v>
      </c>
      <c r="H52" s="284">
        <v>1</v>
      </c>
      <c r="I52" s="284">
        <v>1</v>
      </c>
      <c r="J52" s="284">
        <v>1</v>
      </c>
      <c r="K52" s="284">
        <v>1</v>
      </c>
      <c r="L52" s="284">
        <v>1</v>
      </c>
      <c r="M52" s="284">
        <v>1</v>
      </c>
      <c r="N52" s="284">
        <v>1</v>
      </c>
      <c r="P52" s="35"/>
    </row>
    <row r="53" spans="1:16" x14ac:dyDescent="0.6">
      <c r="A53" s="238"/>
      <c r="B53" s="238"/>
      <c r="C53" s="238"/>
      <c r="D53" s="238"/>
      <c r="E53" s="238"/>
      <c r="F53" s="239"/>
      <c r="G53" s="239"/>
      <c r="H53" s="239"/>
      <c r="I53" s="239"/>
      <c r="J53" s="239"/>
      <c r="K53" s="239"/>
      <c r="L53" s="239"/>
      <c r="M53" s="239"/>
      <c r="N53" s="239"/>
    </row>
    <row r="54" spans="1:16" x14ac:dyDescent="0.6">
      <c r="A54" s="168" t="s">
        <v>319</v>
      </c>
      <c r="B54" s="238"/>
      <c r="C54" s="238"/>
      <c r="D54" s="238"/>
      <c r="E54" s="238">
        <f>E55*E56</f>
        <v>0</v>
      </c>
      <c r="F54" s="23">
        <f t="shared" ref="F54:N54" si="17">F55*F56</f>
        <v>35.581395348837212</v>
      </c>
      <c r="G54" s="23">
        <f t="shared" si="17"/>
        <v>45.284147557328019</v>
      </c>
      <c r="H54" s="23">
        <f t="shared" si="17"/>
        <v>56.671566731141205</v>
      </c>
      <c r="I54" s="23">
        <f t="shared" si="17"/>
        <v>73.612698412698407</v>
      </c>
      <c r="J54" s="23">
        <f t="shared" si="17"/>
        <v>87.444487427466171</v>
      </c>
      <c r="K54" s="23">
        <f t="shared" si="17"/>
        <v>103.37176015473889</v>
      </c>
      <c r="L54" s="23">
        <f t="shared" si="17"/>
        <v>118.66537717601551</v>
      </c>
      <c r="M54" s="23">
        <f t="shared" si="17"/>
        <v>134.33500967117993</v>
      </c>
      <c r="N54" s="23">
        <f t="shared" si="17"/>
        <v>150.16595744680856</v>
      </c>
    </row>
    <row r="55" spans="1:16" x14ac:dyDescent="0.6">
      <c r="A55" s="240" t="str">
        <f>A50</f>
        <v>Active clients, millions</v>
      </c>
      <c r="B55" s="238"/>
      <c r="C55" s="238"/>
      <c r="D55" s="238"/>
      <c r="E55" s="241">
        <f>Drivers!F352</f>
        <v>3.2880000000000003</v>
      </c>
      <c r="F55" s="241">
        <f>Drivers!G352</f>
        <v>7.3440000000000003</v>
      </c>
      <c r="G55" s="241">
        <f>Drivers!H352</f>
        <v>11.355</v>
      </c>
      <c r="H55" s="241">
        <f>Drivers!I352</f>
        <v>13.952</v>
      </c>
      <c r="I55" s="241">
        <f>Drivers!J352</f>
        <v>16.864000000000001</v>
      </c>
      <c r="J55" s="241">
        <f>Drivers!K352</f>
        <v>19.656000000000002</v>
      </c>
      <c r="K55" s="241">
        <f>Drivers!L352</f>
        <v>22.268000000000004</v>
      </c>
      <c r="L55" s="241">
        <f>Drivers!M352</f>
        <v>24.540000000000006</v>
      </c>
      <c r="M55" s="241">
        <f>Drivers!N352</f>
        <v>26.712000000000007</v>
      </c>
      <c r="N55" s="241">
        <f>Drivers!O352</f>
        <v>28.754000000000012</v>
      </c>
    </row>
    <row r="56" spans="1:16" x14ac:dyDescent="0.6">
      <c r="A56" s="240" t="s">
        <v>327</v>
      </c>
      <c r="B56" s="238"/>
      <c r="C56" s="238"/>
      <c r="D56" s="238"/>
      <c r="E56" s="238">
        <v>0</v>
      </c>
      <c r="F56" s="266">
        <f>Drivers!G360</f>
        <v>4.8449612403100772</v>
      </c>
      <c r="G56" s="266">
        <f>Drivers!H360</f>
        <v>3.988035892323031</v>
      </c>
      <c r="H56" s="266">
        <f>Drivers!I360</f>
        <v>4.0618955512572539</v>
      </c>
      <c r="I56" s="266">
        <f>Drivers!J360</f>
        <v>4.3650793650793647</v>
      </c>
      <c r="J56" s="266">
        <f>Drivers!K360</f>
        <v>4.4487427466150873</v>
      </c>
      <c r="K56" s="266">
        <f>Drivers!L360</f>
        <v>4.6421663442940035</v>
      </c>
      <c r="L56" s="266">
        <f>Drivers!M360</f>
        <v>4.8355899419729207</v>
      </c>
      <c r="M56" s="266">
        <f>Drivers!N360</f>
        <v>5.0290135396518378</v>
      </c>
      <c r="N56" s="266">
        <f>Drivers!O360</f>
        <v>5.2224371373307541</v>
      </c>
    </row>
    <row r="57" spans="1:16" s="32" customFormat="1" ht="12.9" x14ac:dyDescent="0.5">
      <c r="A57" s="92" t="s">
        <v>439</v>
      </c>
      <c r="B57" s="92"/>
      <c r="C57" s="158"/>
      <c r="D57" s="158"/>
      <c r="E57" s="158"/>
      <c r="F57" s="285"/>
      <c r="G57" s="285"/>
      <c r="H57" s="285">
        <f t="shared" ref="H57:N57" si="18">H56-G56</f>
        <v>7.385965893422286E-2</v>
      </c>
      <c r="I57" s="285">
        <f t="shared" si="18"/>
        <v>0.30318381382211079</v>
      </c>
      <c r="J57" s="285">
        <f t="shared" si="18"/>
        <v>8.3663381535722614E-2</v>
      </c>
      <c r="K57" s="285">
        <f t="shared" si="18"/>
        <v>0.19342359767891626</v>
      </c>
      <c r="L57" s="285">
        <f t="shared" si="18"/>
        <v>0.19342359767891715</v>
      </c>
      <c r="M57" s="285">
        <f t="shared" si="18"/>
        <v>0.19342359767891715</v>
      </c>
      <c r="N57" s="285">
        <f t="shared" si="18"/>
        <v>0.19342359767891626</v>
      </c>
      <c r="P57" s="35"/>
    </row>
    <row r="59" spans="1:16" x14ac:dyDescent="0.6">
      <c r="A59" s="168" t="s">
        <v>1296</v>
      </c>
      <c r="C59" s="43">
        <f>C41-C43-C49-C54</f>
        <v>21.1</v>
      </c>
      <c r="D59" s="43">
        <f>D41-D43-D49-D54</f>
        <v>29.9</v>
      </c>
      <c r="E59" s="43">
        <f>E41-E43-E49-E54</f>
        <v>65.766000000000005</v>
      </c>
      <c r="F59" s="43">
        <f>F41-F43-F49-F54</f>
        <v>29.765953488372084</v>
      </c>
      <c r="G59" s="59">
        <f>F59*1.1</f>
        <v>32.742548837209291</v>
      </c>
      <c r="H59" s="59">
        <f t="shared" ref="H59:N59" si="19">G59*1.1</f>
        <v>36.016803720930227</v>
      </c>
      <c r="I59" s="59">
        <f t="shared" si="19"/>
        <v>39.618484093023255</v>
      </c>
      <c r="J59" s="59">
        <f t="shared" si="19"/>
        <v>43.580332502325582</v>
      </c>
      <c r="K59" s="59">
        <f t="shared" si="19"/>
        <v>47.938365752558141</v>
      </c>
      <c r="L59" s="59">
        <f t="shared" si="19"/>
        <v>52.732202327813958</v>
      </c>
      <c r="M59" s="59">
        <f t="shared" si="19"/>
        <v>58.005422560595356</v>
      </c>
      <c r="N59" s="59">
        <f t="shared" si="19"/>
        <v>63.8059648166549</v>
      </c>
    </row>
    <row r="64" spans="1:16" s="88" customFormat="1" ht="15.9" thickBot="1" x14ac:dyDescent="0.65">
      <c r="A64" s="87" t="s">
        <v>91</v>
      </c>
      <c r="B64" s="109">
        <f>B65+B73+B79</f>
        <v>-207.2</v>
      </c>
      <c r="C64" s="109">
        <f>C65+C73+C79</f>
        <v>-364.2</v>
      </c>
      <c r="D64" s="109">
        <f>D65+D73+D79</f>
        <v>-410.2</v>
      </c>
      <c r="E64" s="109">
        <f>E65+E73+E79</f>
        <v>-965.10599999999999</v>
      </c>
      <c r="F64" s="109">
        <f t="shared" ref="F64:N64" si="20">F65+F73+F79</f>
        <v>-3127</v>
      </c>
      <c r="G64" s="109">
        <f t="shared" si="20"/>
        <v>-4549.9116505708153</v>
      </c>
      <c r="H64" s="109">
        <f t="shared" si="20"/>
        <v>-5458.104806399926</v>
      </c>
      <c r="I64" s="109">
        <f t="shared" si="20"/>
        <v>-6204.4487352435535</v>
      </c>
      <c r="J64" s="109">
        <f t="shared" si="20"/>
        <v>-7078.5255494389858</v>
      </c>
      <c r="K64" s="109">
        <f t="shared" si="20"/>
        <v>-7961.7219483449608</v>
      </c>
      <c r="L64" s="109">
        <f t="shared" si="20"/>
        <v>-8787.0346528168993</v>
      </c>
      <c r="M64" s="109">
        <f t="shared" si="20"/>
        <v>-9669.0528977660579</v>
      </c>
      <c r="N64" s="109">
        <f t="shared" si="20"/>
        <v>-10539.932765976069</v>
      </c>
    </row>
    <row r="65" spans="1:20" s="26" customFormat="1" ht="14.4" x14ac:dyDescent="0.55000000000000004">
      <c r="A65" s="17" t="s">
        <v>89</v>
      </c>
      <c r="B65" s="108">
        <f t="shared" ref="B65:G65" si="21">B66+B72</f>
        <v>-45.4</v>
      </c>
      <c r="C65" s="108">
        <f t="shared" si="21"/>
        <v>-109.69999999999999</v>
      </c>
      <c r="D65" s="108">
        <f t="shared" si="21"/>
        <v>-113.9</v>
      </c>
      <c r="E65" s="108">
        <f t="shared" si="21"/>
        <v>-367.34399999999999</v>
      </c>
      <c r="F65" s="108">
        <f>F66+F72</f>
        <v>-1548</v>
      </c>
      <c r="G65" s="108">
        <f t="shared" si="21"/>
        <v>-1869.5716505708156</v>
      </c>
      <c r="H65" s="108">
        <f t="shared" ref="H65:N65" si="22">H66+H72</f>
        <v>-1868.1948063999262</v>
      </c>
      <c r="I65" s="108">
        <f t="shared" si="22"/>
        <v>-1921.4462352435539</v>
      </c>
      <c r="J65" s="108">
        <f t="shared" si="22"/>
        <v>-2208.6217994389854</v>
      </c>
      <c r="K65" s="108">
        <f t="shared" si="22"/>
        <v>-2612.6377401543514</v>
      </c>
      <c r="L65" s="108">
        <f t="shared" si="22"/>
        <v>-3024.4675446337778</v>
      </c>
      <c r="M65" s="108">
        <f t="shared" si="22"/>
        <v>-3450.0998165479441</v>
      </c>
      <c r="N65" s="108">
        <f t="shared" si="22"/>
        <v>-3903.3833845936947</v>
      </c>
    </row>
    <row r="66" spans="1:20" x14ac:dyDescent="0.6">
      <c r="A66" s="313" t="s">
        <v>167</v>
      </c>
      <c r="B66" s="173">
        <v>-16.899999999999999</v>
      </c>
      <c r="C66" s="173">
        <v>-81.099999999999994</v>
      </c>
      <c r="D66" s="173">
        <v>-87.2</v>
      </c>
      <c r="E66" s="173">
        <v>-317.42</v>
      </c>
      <c r="F66" s="173">
        <v>-1408</v>
      </c>
      <c r="G66" s="43">
        <f>-G67*AVERAGE(Master!G173:H173)</f>
        <v>-1669.5716505708156</v>
      </c>
      <c r="H66" s="43">
        <f>-H67*AVERAGE(Master!H173:I173)</f>
        <v>-1648.1948063999262</v>
      </c>
      <c r="I66" s="43">
        <f>-I67*AVERAGE(Master!I173:J173)</f>
        <v>-1679.4462352435539</v>
      </c>
      <c r="J66" s="43">
        <f>-J67*AVERAGE(Master!J173:K173)</f>
        <v>-1942.4217994389851</v>
      </c>
      <c r="K66" s="43">
        <f>-K67*AVERAGE(Master!K173:L173)</f>
        <v>-2319.8177401543512</v>
      </c>
      <c r="L66" s="43">
        <f>-L67*AVERAGE(Master!L173:M173)</f>
        <v>-2702.3655446337775</v>
      </c>
      <c r="M66" s="43">
        <f>-M67*AVERAGE(Master!M173:N173)</f>
        <v>-3095.7876165479438</v>
      </c>
      <c r="N66" s="43">
        <f>-N67*AVERAGE(Master!N173:O173)</f>
        <v>-3513.6399645936945</v>
      </c>
    </row>
    <row r="67" spans="1:20" x14ac:dyDescent="0.6">
      <c r="A67" s="24" t="s">
        <v>265</v>
      </c>
      <c r="B67" s="269">
        <f>-B66/AVERAGE(Master!C173)</f>
        <v>2.688086527755686E-2</v>
      </c>
      <c r="C67" s="269">
        <f>-C66/AVERAGE(Master!C173:D173)</f>
        <v>4.8827478250398869E-2</v>
      </c>
      <c r="D67" s="269">
        <f>-D66/AVERAGE(Master!D173:E173)</f>
        <v>2.1067636293352343E-2</v>
      </c>
      <c r="E67" s="269">
        <f>-E66/AVERAGE(Master!E173:F173)</f>
        <v>4.1622847851457499E-2</v>
      </c>
      <c r="F67" s="269">
        <f>-F66/AVERAGE(Master!F173:G173)</f>
        <v>0.11053844311941372</v>
      </c>
      <c r="G67" s="195">
        <f>G69*Macro!H2</f>
        <v>9.1071890919001475E-2</v>
      </c>
      <c r="H67" s="195">
        <f>H69*Macro!I2</f>
        <v>7.1789097793227605E-2</v>
      </c>
      <c r="I67" s="195">
        <f>I69*Macro!J2</f>
        <v>5.9532422560237525E-2</v>
      </c>
      <c r="J67" s="195">
        <f>J69*Macro!K2</f>
        <v>5.6030515350811785E-2</v>
      </c>
      <c r="K67" s="195">
        <f>K69*Macro!L2</f>
        <v>5.6030515350811785E-2</v>
      </c>
      <c r="L67" s="195">
        <f>L69*Macro!M2</f>
        <v>5.6030515350811785E-2</v>
      </c>
      <c r="M67" s="195">
        <f>M69*Macro!N2</f>
        <v>5.6030515350811785E-2</v>
      </c>
      <c r="N67" s="195">
        <f>N69*Macro!O2</f>
        <v>5.6030515350811785E-2</v>
      </c>
    </row>
    <row r="68" spans="1:20" x14ac:dyDescent="0.6">
      <c r="A68" s="24" t="s">
        <v>65</v>
      </c>
      <c r="B68" s="269"/>
      <c r="C68" s="269"/>
      <c r="D68" s="269">
        <f>Macro!E2</f>
        <v>2.7699999999999999E-2</v>
      </c>
      <c r="E68" s="269">
        <f>Macro!F2</f>
        <v>4.3499999999999997E-2</v>
      </c>
      <c r="F68" s="269">
        <f>Macro!G2</f>
        <v>0.127</v>
      </c>
      <c r="G68" s="269">
        <f>Macro!H2</f>
        <v>0.13385416666666666</v>
      </c>
      <c r="H68" s="269">
        <f>Macro!I2</f>
        <v>0.10250000000000001</v>
      </c>
      <c r="I68" s="269">
        <f>Macro!J2</f>
        <v>8.5000000000000006E-2</v>
      </c>
      <c r="J68" s="269">
        <f>Macro!K2</f>
        <v>0.08</v>
      </c>
      <c r="K68" s="269">
        <f>Macro!L2</f>
        <v>0.08</v>
      </c>
      <c r="L68" s="269">
        <f>Macro!M2</f>
        <v>0.08</v>
      </c>
      <c r="M68" s="269">
        <f>Macro!N2</f>
        <v>0.08</v>
      </c>
      <c r="N68" s="269">
        <f>Macro!O2</f>
        <v>0.08</v>
      </c>
    </row>
    <row r="69" spans="1:20" x14ac:dyDescent="0.6">
      <c r="A69" s="24" t="s">
        <v>266</v>
      </c>
      <c r="B69" s="272">
        <f>B67/Macro!C2</f>
        <v>0.41870506662861157</v>
      </c>
      <c r="C69" s="272">
        <f>C67/Macro!D2</f>
        <v>0.81925299077850455</v>
      </c>
      <c r="D69" s="272">
        <f>D67/Macro!E2</f>
        <v>0.76056448712463331</v>
      </c>
      <c r="E69" s="272">
        <f>E67/Macro!F2</f>
        <v>0.95684707704500005</v>
      </c>
      <c r="F69" s="272">
        <f>F67/Macro!G2</f>
        <v>0.87038144188514732</v>
      </c>
      <c r="G69" s="39">
        <f>F69+G70</f>
        <v>0.68038144188514726</v>
      </c>
      <c r="H69" s="39">
        <f t="shared" ref="H69:N69" si="23">G69+H70</f>
        <v>0.70038144188514728</v>
      </c>
      <c r="I69" s="39">
        <f t="shared" si="23"/>
        <v>0.70038144188514728</v>
      </c>
      <c r="J69" s="39">
        <f t="shared" si="23"/>
        <v>0.70038144188514728</v>
      </c>
      <c r="K69" s="39">
        <f t="shared" si="23"/>
        <v>0.70038144188514728</v>
      </c>
      <c r="L69" s="39">
        <f t="shared" si="23"/>
        <v>0.70038144188514728</v>
      </c>
      <c r="M69" s="39">
        <f t="shared" si="23"/>
        <v>0.70038144188514728</v>
      </c>
      <c r="N69" s="39">
        <f t="shared" si="23"/>
        <v>0.70038144188514728</v>
      </c>
      <c r="O69" s="166"/>
    </row>
    <row r="70" spans="1:20" s="32" customFormat="1" ht="12.9" x14ac:dyDescent="0.5">
      <c r="A70" s="92" t="s">
        <v>440</v>
      </c>
      <c r="B70" s="92"/>
      <c r="C70" s="158"/>
      <c r="D70" s="158"/>
      <c r="E70" s="159"/>
      <c r="F70" s="159">
        <f>F69-E69</f>
        <v>-8.6465635159852727E-2</v>
      </c>
      <c r="G70" s="218">
        <v>-0.19</v>
      </c>
      <c r="H70" s="218">
        <v>0.02</v>
      </c>
      <c r="I70" s="218">
        <v>0</v>
      </c>
      <c r="J70" s="218">
        <v>0</v>
      </c>
      <c r="K70" s="218">
        <v>0</v>
      </c>
      <c r="L70" s="218">
        <v>0</v>
      </c>
      <c r="M70" s="218">
        <v>0</v>
      </c>
      <c r="N70" s="218">
        <v>0</v>
      </c>
      <c r="P70" s="35"/>
      <c r="R70" s="39"/>
      <c r="S70" s="39"/>
      <c r="T70" s="39"/>
    </row>
    <row r="71" spans="1:20" x14ac:dyDescent="0.6">
      <c r="A71" s="29"/>
      <c r="B71" s="59"/>
      <c r="C71" s="59"/>
      <c r="D71" s="59"/>
      <c r="E71" s="59"/>
      <c r="S71" s="43"/>
      <c r="T71" s="43"/>
    </row>
    <row r="72" spans="1:20" x14ac:dyDescent="0.6">
      <c r="A72" s="29" t="s">
        <v>168</v>
      </c>
      <c r="B72" s="173">
        <v>-28.5</v>
      </c>
      <c r="C72" s="173">
        <v>-28.6</v>
      </c>
      <c r="D72" s="173">
        <v>-26.7</v>
      </c>
      <c r="E72" s="173">
        <v>-49.923999999999999</v>
      </c>
      <c r="F72" s="173">
        <v>-140</v>
      </c>
      <c r="G72" s="30">
        <v>-200</v>
      </c>
      <c r="H72" s="30">
        <f t="shared" ref="H72:N72" si="24">G72*1.1</f>
        <v>-220.00000000000003</v>
      </c>
      <c r="I72" s="30">
        <f t="shared" si="24"/>
        <v>-242.00000000000006</v>
      </c>
      <c r="J72" s="30">
        <f t="shared" si="24"/>
        <v>-266.2000000000001</v>
      </c>
      <c r="K72" s="30">
        <f t="shared" si="24"/>
        <v>-292.82000000000016</v>
      </c>
      <c r="L72" s="30">
        <f t="shared" si="24"/>
        <v>-322.1020000000002</v>
      </c>
      <c r="M72" s="30">
        <f t="shared" si="24"/>
        <v>-354.31220000000025</v>
      </c>
      <c r="N72" s="30">
        <f t="shared" si="24"/>
        <v>-389.7434200000003</v>
      </c>
      <c r="O72" s="166"/>
      <c r="S72" s="43"/>
      <c r="T72" s="43"/>
    </row>
    <row r="73" spans="1:20" x14ac:dyDescent="0.6">
      <c r="A73" s="17" t="s">
        <v>173</v>
      </c>
      <c r="B73" s="108">
        <f>B75+B76+B77+B78</f>
        <v>-43.199999999999996</v>
      </c>
      <c r="C73" s="108">
        <f>C75+C76+C77+C78</f>
        <v>-79.3</v>
      </c>
      <c r="D73" s="108">
        <f>D75+D76+D77+D78</f>
        <v>-126.8</v>
      </c>
      <c r="E73" s="108">
        <f>E75+E76+E77+E78</f>
        <v>-117.11899999999999</v>
      </c>
      <c r="F73" s="108">
        <f>F75+F76+F77+F78</f>
        <v>-174</v>
      </c>
      <c r="G73" s="30">
        <f>F73*1.25</f>
        <v>-217.5</v>
      </c>
      <c r="H73" s="30">
        <f>G73*1.3</f>
        <v>-282.75</v>
      </c>
      <c r="I73" s="30">
        <f>H73*1.15</f>
        <v>-325.16249999999997</v>
      </c>
      <c r="J73" s="30">
        <f>I73*1.5</f>
        <v>-487.74374999999998</v>
      </c>
      <c r="K73" s="44">
        <f>K28/J28*J73</f>
        <v>-581.24420819060902</v>
      </c>
      <c r="L73" s="44">
        <f>L28/K28*K73</f>
        <v>-650.40710818312107</v>
      </c>
      <c r="M73" s="44">
        <f>M28/L28*L73</f>
        <v>-721.11308121811396</v>
      </c>
      <c r="N73" s="44">
        <f>N28/M28*M73</f>
        <v>-794.38938138237484</v>
      </c>
      <c r="R73" s="195"/>
      <c r="S73" s="195"/>
      <c r="T73" s="195"/>
    </row>
    <row r="74" spans="1:20" x14ac:dyDescent="0.6">
      <c r="A74" s="92"/>
      <c r="B74" s="92"/>
      <c r="C74" s="158"/>
      <c r="D74" s="158"/>
      <c r="E74" s="158"/>
      <c r="F74" s="158"/>
      <c r="G74" s="158"/>
      <c r="H74" s="158"/>
      <c r="I74" s="158"/>
      <c r="J74" s="158"/>
      <c r="K74" s="158"/>
      <c r="L74" s="158"/>
      <c r="M74" s="158"/>
      <c r="N74" s="158"/>
    </row>
    <row r="75" spans="1:20" x14ac:dyDescent="0.6">
      <c r="A75" s="29" t="s">
        <v>169</v>
      </c>
      <c r="B75" s="173">
        <v>-18.2</v>
      </c>
      <c r="C75" s="173">
        <v>-31.5</v>
      </c>
      <c r="D75" s="173">
        <v>-46.5</v>
      </c>
      <c r="E75" s="173">
        <v>-36.149000000000001</v>
      </c>
      <c r="F75" s="173">
        <v>-33</v>
      </c>
      <c r="O75" s="166"/>
    </row>
    <row r="76" spans="1:20" x14ac:dyDescent="0.6">
      <c r="A76" s="29" t="s">
        <v>170</v>
      </c>
      <c r="B76" s="173">
        <v>-10.3</v>
      </c>
      <c r="C76" s="173">
        <v>-21.5</v>
      </c>
      <c r="D76" s="173">
        <v>-29.6</v>
      </c>
      <c r="E76" s="173">
        <v>-36.884999999999998</v>
      </c>
      <c r="F76" s="173">
        <v>-42</v>
      </c>
      <c r="O76" s="166"/>
    </row>
    <row r="77" spans="1:20" x14ac:dyDescent="0.6">
      <c r="A77" s="29" t="s">
        <v>171</v>
      </c>
      <c r="B77" s="173">
        <v>-10.3</v>
      </c>
      <c r="C77" s="173">
        <v>-14.7</v>
      </c>
      <c r="D77" s="173">
        <v>-25</v>
      </c>
      <c r="E77" s="173">
        <v>-22.704999999999998</v>
      </c>
      <c r="F77" s="173">
        <v>-54</v>
      </c>
      <c r="O77" s="166"/>
    </row>
    <row r="78" spans="1:20" x14ac:dyDescent="0.6">
      <c r="A78" s="29" t="s">
        <v>172</v>
      </c>
      <c r="B78" s="173">
        <v>-4.4000000000000004</v>
      </c>
      <c r="C78" s="173">
        <v>-11.6</v>
      </c>
      <c r="D78" s="173">
        <v>-25.7</v>
      </c>
      <c r="E78" s="173">
        <v>-21.38</v>
      </c>
      <c r="F78" s="173">
        <v>-45</v>
      </c>
      <c r="O78" s="166"/>
    </row>
    <row r="79" spans="1:20" x14ac:dyDescent="0.6">
      <c r="A79" s="17" t="s">
        <v>90</v>
      </c>
      <c r="B79" s="173">
        <v>-118.6</v>
      </c>
      <c r="C79" s="173">
        <v>-175.2</v>
      </c>
      <c r="D79" s="173">
        <v>-169.5</v>
      </c>
      <c r="E79" s="173">
        <v>-480.64299999999997</v>
      </c>
      <c r="F79" s="173">
        <v>-1405</v>
      </c>
      <c r="G79" s="43">
        <f t="shared" ref="G79:N79" si="25">G131</f>
        <v>-2462.84</v>
      </c>
      <c r="H79" s="43">
        <f t="shared" si="25"/>
        <v>-3307.16</v>
      </c>
      <c r="I79" s="43">
        <f t="shared" si="25"/>
        <v>-3957.8399999999997</v>
      </c>
      <c r="J79" s="43">
        <f t="shared" si="25"/>
        <v>-4382.16</v>
      </c>
      <c r="K79" s="43">
        <f t="shared" si="25"/>
        <v>-4767.84</v>
      </c>
      <c r="L79" s="43">
        <f t="shared" si="25"/>
        <v>-5112.16</v>
      </c>
      <c r="M79" s="43">
        <f t="shared" si="25"/>
        <v>-5497.84</v>
      </c>
      <c r="N79" s="43">
        <f t="shared" si="25"/>
        <v>-5842.16</v>
      </c>
      <c r="O79" s="166"/>
    </row>
    <row r="80" spans="1:20" x14ac:dyDescent="0.6">
      <c r="A80" s="183" t="s">
        <v>1049</v>
      </c>
      <c r="B80" s="117"/>
      <c r="C80" s="117">
        <f>SUM(Master!D154:D155)/SUM(Master!C154:C155)-1</f>
        <v>0.75175514225889883</v>
      </c>
      <c r="D80" s="117">
        <f>SUM(Master!E154:E155)/SUM(Master!D154:D155)-1</f>
        <v>9.376888078584944E-2</v>
      </c>
      <c r="E80" s="117">
        <f>SUM(Master!F154:F155)/SUM(Master!E154:E155)-1</f>
        <v>0.92056469184730139</v>
      </c>
      <c r="F80" s="117">
        <f>SUM(Master!G154:G155)/SUM(Master!F154:F155)-1</f>
        <v>0.65782193727187388</v>
      </c>
      <c r="G80" s="117">
        <f>SUM(Master!H154:H155)/SUM(Master!G154:G155)-1</f>
        <v>0.5436906882557424</v>
      </c>
      <c r="H80" s="117">
        <f>SUM(Master!I154:I155)/SUM(Master!H154:H155)-1</f>
        <v>0.35578922483961084</v>
      </c>
      <c r="I80" s="117">
        <f>SUM(Master!J154:J155)/SUM(Master!I154:I155)-1</f>
        <v>0.25085302151907118</v>
      </c>
      <c r="J80" s="117">
        <f>SUM(Master!K154:K155)/SUM(Master!J154:J155)-1</f>
        <v>0.189398199890491</v>
      </c>
      <c r="K80" s="117">
        <f>SUM(Master!L154:L155)/SUM(Master!K154:K155)-1</f>
        <v>0.14893836028237462</v>
      </c>
      <c r="L80" s="117">
        <f>SUM(Master!M154:M155)/SUM(Master!L154:L155)-1</f>
        <v>0.12212014621306766</v>
      </c>
      <c r="M80" s="117">
        <f>SUM(Master!N154:N155)/SUM(Master!M154:M155)-1</f>
        <v>9.8197310829266415E-2</v>
      </c>
      <c r="N80" s="117">
        <f>SUM(Master!O154:O155)/SUM(Master!N154:N155)-1</f>
        <v>8.8357366958194516E-2</v>
      </c>
    </row>
    <row r="81" spans="1:16" x14ac:dyDescent="0.6">
      <c r="A81" s="347" t="s">
        <v>1079</v>
      </c>
      <c r="B81" s="271">
        <f>-B79/Master!C4</f>
        <v>0.37190341799937288</v>
      </c>
      <c r="C81" s="271">
        <f>-C79/Master!D4</f>
        <v>0.28622774056526712</v>
      </c>
      <c r="D81" s="271">
        <f>-D79/Master!E4</f>
        <v>0.22995522995522996</v>
      </c>
      <c r="E81" s="271">
        <f>-E79/Master!F4</f>
        <v>0.28323831133481775</v>
      </c>
      <c r="F81" s="271">
        <f>-F79/Master!G4</f>
        <v>0.2933089445032338</v>
      </c>
      <c r="G81" s="271">
        <f>-G79/Master!H4</f>
        <v>0.31849235659646502</v>
      </c>
      <c r="H81" s="271">
        <f>-H79/Master!I4</f>
        <v>0.32994718972253184</v>
      </c>
      <c r="I81" s="271">
        <f>-I79/Master!J4</f>
        <v>0.31529652135295944</v>
      </c>
      <c r="J81" s="271">
        <f>-J79/Master!K4</f>
        <v>0.295541066024465</v>
      </c>
      <c r="K81" s="271">
        <f>-K79/Master!L4</f>
        <v>0.28164101684759479</v>
      </c>
      <c r="L81" s="271">
        <f>-L79/Master!M4</f>
        <v>0.27302106007577392</v>
      </c>
      <c r="M81" s="271">
        <f>-M79/Master!N4</f>
        <v>0.26213945510363201</v>
      </c>
      <c r="N81" s="271">
        <f>-N79/Master!O4</f>
        <v>0.25226161993121637</v>
      </c>
    </row>
    <row r="82" spans="1:16" ht="15.9" thickBot="1" x14ac:dyDescent="0.65">
      <c r="A82" s="183"/>
      <c r="B82" s="117"/>
      <c r="C82" s="117"/>
      <c r="D82" s="117"/>
      <c r="E82" s="117"/>
      <c r="F82" s="231"/>
      <c r="G82" s="184"/>
      <c r="H82" s="184"/>
      <c r="I82" s="184"/>
      <c r="J82" s="184"/>
      <c r="K82" s="184"/>
      <c r="L82" s="184"/>
      <c r="M82" s="184"/>
      <c r="N82" s="184"/>
    </row>
    <row r="83" spans="1:16" s="32" customFormat="1" ht="15.9" thickBot="1" x14ac:dyDescent="0.65">
      <c r="A83" t="s">
        <v>1041</v>
      </c>
      <c r="B83" s="92"/>
      <c r="C83" s="548">
        <v>6</v>
      </c>
      <c r="D83" s="176"/>
      <c r="E83" s="176"/>
      <c r="F83" s="176"/>
      <c r="G83" s="180"/>
      <c r="H83" s="180"/>
      <c r="I83" s="180"/>
      <c r="J83" s="180"/>
      <c r="K83" s="180"/>
      <c r="L83" s="180"/>
      <c r="M83" s="180"/>
      <c r="N83" s="180"/>
      <c r="P83" s="35"/>
    </row>
    <row r="84" spans="1:16" x14ac:dyDescent="0.6">
      <c r="A84"/>
      <c r="C84" s="43"/>
      <c r="D84" s="43"/>
      <c r="E84" s="43"/>
    </row>
    <row r="85" spans="1:16" x14ac:dyDescent="0.6">
      <c r="A85" t="s">
        <v>996</v>
      </c>
      <c r="B85" s="49">
        <f t="shared" ref="B85:G85" si="26">SUM(B86:B87)</f>
        <v>1770</v>
      </c>
      <c r="C85" s="49">
        <f t="shared" si="26"/>
        <v>3073</v>
      </c>
      <c r="D85" s="49">
        <f t="shared" si="26"/>
        <v>3320</v>
      </c>
      <c r="E85" s="49">
        <f t="shared" si="26"/>
        <v>6554</v>
      </c>
      <c r="F85" s="49">
        <f t="shared" si="26"/>
        <v>9946</v>
      </c>
      <c r="G85" s="49">
        <f t="shared" si="26"/>
        <v>13054</v>
      </c>
      <c r="H85" s="49">
        <f t="shared" ref="H85:N85" si="27">SUM(H86:H87)</f>
        <v>15946</v>
      </c>
      <c r="I85" s="49">
        <f t="shared" si="27"/>
        <v>18554</v>
      </c>
      <c r="J85" s="49">
        <f t="shared" si="27"/>
        <v>19446</v>
      </c>
      <c r="K85" s="49">
        <f t="shared" si="27"/>
        <v>21554</v>
      </c>
      <c r="L85" s="49">
        <f t="shared" si="27"/>
        <v>22446</v>
      </c>
      <c r="M85" s="49">
        <f t="shared" si="27"/>
        <v>24554</v>
      </c>
      <c r="N85" s="49">
        <f t="shared" si="27"/>
        <v>25446</v>
      </c>
    </row>
    <row r="86" spans="1:16" x14ac:dyDescent="0.6">
      <c r="A86" s="167" t="s">
        <v>180</v>
      </c>
      <c r="B86" s="49">
        <v>1770</v>
      </c>
      <c r="C86" s="49">
        <v>3010</v>
      </c>
      <c r="D86" s="49">
        <v>3119</v>
      </c>
      <c r="E86" s="49">
        <v>5162</v>
      </c>
      <c r="F86" s="43">
        <f t="shared" ref="F86:N86" si="28">E86-F90+F94</f>
        <v>8338</v>
      </c>
      <c r="G86" s="43">
        <f t="shared" si="28"/>
        <v>9662</v>
      </c>
      <c r="H86" s="43">
        <f t="shared" si="28"/>
        <v>12338</v>
      </c>
      <c r="I86" s="43">
        <f t="shared" si="28"/>
        <v>13662</v>
      </c>
      <c r="J86" s="43">
        <f t="shared" si="28"/>
        <v>14338</v>
      </c>
      <c r="K86" s="43">
        <f t="shared" si="28"/>
        <v>15662</v>
      </c>
      <c r="L86" s="43">
        <f t="shared" si="28"/>
        <v>16338</v>
      </c>
      <c r="M86" s="43">
        <f t="shared" si="28"/>
        <v>17662</v>
      </c>
      <c r="N86" s="43">
        <f t="shared" si="28"/>
        <v>18338</v>
      </c>
    </row>
    <row r="87" spans="1:16" x14ac:dyDescent="0.6">
      <c r="A87" s="167" t="s">
        <v>218</v>
      </c>
      <c r="B87" s="49">
        <v>0</v>
      </c>
      <c r="C87" s="49">
        <v>63</v>
      </c>
      <c r="D87" s="49">
        <v>201</v>
      </c>
      <c r="E87" s="49">
        <v>1392</v>
      </c>
      <c r="F87" s="43">
        <f t="shared" ref="F87:N87" si="29">E87-F91+F95</f>
        <v>1608</v>
      </c>
      <c r="G87" s="43">
        <f t="shared" si="29"/>
        <v>3392</v>
      </c>
      <c r="H87" s="43">
        <f t="shared" si="29"/>
        <v>3608</v>
      </c>
      <c r="I87" s="43">
        <f t="shared" si="29"/>
        <v>4892</v>
      </c>
      <c r="J87" s="43">
        <f t="shared" si="29"/>
        <v>5108</v>
      </c>
      <c r="K87" s="43">
        <f t="shared" si="29"/>
        <v>5892</v>
      </c>
      <c r="L87" s="43">
        <f t="shared" si="29"/>
        <v>6108</v>
      </c>
      <c r="M87" s="43">
        <f t="shared" si="29"/>
        <v>6892</v>
      </c>
      <c r="N87" s="43">
        <f t="shared" si="29"/>
        <v>7108</v>
      </c>
    </row>
    <row r="88" spans="1:16" x14ac:dyDescent="0.6">
      <c r="A88"/>
    </row>
    <row r="89" spans="1:16" x14ac:dyDescent="0.6">
      <c r="A89" t="s">
        <v>1087</v>
      </c>
      <c r="C89" s="43">
        <f t="shared" ref="C89:D91" si="30">12/$C$83*B85</f>
        <v>3540</v>
      </c>
      <c r="D89" s="43">
        <f t="shared" si="30"/>
        <v>6146</v>
      </c>
      <c r="E89" s="43">
        <f t="shared" ref="E89:F91" si="31">12/$C$83*D85</f>
        <v>6640</v>
      </c>
      <c r="F89" s="43">
        <f t="shared" si="31"/>
        <v>13108</v>
      </c>
      <c r="G89" s="43">
        <f>12/$C$83*F85</f>
        <v>19892</v>
      </c>
      <c r="H89" s="43">
        <f t="shared" ref="H89:N89" si="32">12/$C$83*G85</f>
        <v>26108</v>
      </c>
      <c r="I89" s="43">
        <f t="shared" si="32"/>
        <v>31892</v>
      </c>
      <c r="J89" s="43">
        <f t="shared" si="32"/>
        <v>37108</v>
      </c>
      <c r="K89" s="43">
        <f t="shared" si="32"/>
        <v>38892</v>
      </c>
      <c r="L89" s="43">
        <f t="shared" si="32"/>
        <v>43108</v>
      </c>
      <c r="M89" s="43">
        <f t="shared" si="32"/>
        <v>44892</v>
      </c>
      <c r="N89" s="43">
        <f t="shared" si="32"/>
        <v>49108</v>
      </c>
    </row>
    <row r="90" spans="1:16" x14ac:dyDescent="0.6">
      <c r="A90" s="167" t="s">
        <v>1038</v>
      </c>
      <c r="C90" s="43">
        <f t="shared" si="30"/>
        <v>3540</v>
      </c>
      <c r="D90" s="43">
        <f t="shared" si="30"/>
        <v>6020</v>
      </c>
      <c r="E90" s="43">
        <f>12/$C$83*D86</f>
        <v>6238</v>
      </c>
      <c r="F90" s="43">
        <f t="shared" si="31"/>
        <v>10324</v>
      </c>
      <c r="G90" s="43">
        <f t="shared" ref="G90:N90" si="33">12/$C$83*F86</f>
        <v>16676</v>
      </c>
      <c r="H90" s="43">
        <f t="shared" si="33"/>
        <v>19324</v>
      </c>
      <c r="I90" s="43">
        <f t="shared" si="33"/>
        <v>24676</v>
      </c>
      <c r="J90" s="43">
        <f t="shared" si="33"/>
        <v>27324</v>
      </c>
      <c r="K90" s="43">
        <f t="shared" si="33"/>
        <v>28676</v>
      </c>
      <c r="L90" s="43">
        <f t="shared" si="33"/>
        <v>31324</v>
      </c>
      <c r="M90" s="43">
        <f t="shared" si="33"/>
        <v>32676</v>
      </c>
      <c r="N90" s="43">
        <f t="shared" si="33"/>
        <v>35324</v>
      </c>
    </row>
    <row r="91" spans="1:16" x14ac:dyDescent="0.6">
      <c r="A91" s="167" t="s">
        <v>1037</v>
      </c>
      <c r="C91" s="43">
        <f t="shared" si="30"/>
        <v>0</v>
      </c>
      <c r="D91" s="43">
        <f t="shared" si="30"/>
        <v>126</v>
      </c>
      <c r="E91" s="43">
        <f>12/$C$83*D87</f>
        <v>402</v>
      </c>
      <c r="F91" s="43">
        <f t="shared" si="31"/>
        <v>2784</v>
      </c>
      <c r="G91" s="43">
        <f t="shared" ref="G91:N91" si="34">12/$C$83*F87</f>
        <v>3216</v>
      </c>
      <c r="H91" s="43">
        <f t="shared" si="34"/>
        <v>6784</v>
      </c>
      <c r="I91" s="43">
        <f t="shared" si="34"/>
        <v>7216</v>
      </c>
      <c r="J91" s="43">
        <f t="shared" si="34"/>
        <v>9784</v>
      </c>
      <c r="K91" s="43">
        <f t="shared" si="34"/>
        <v>10216</v>
      </c>
      <c r="L91" s="43">
        <f t="shared" si="34"/>
        <v>11784</v>
      </c>
      <c r="M91" s="43">
        <f t="shared" si="34"/>
        <v>12216</v>
      </c>
      <c r="N91" s="43">
        <f t="shared" si="34"/>
        <v>13784</v>
      </c>
    </row>
    <row r="92" spans="1:16" x14ac:dyDescent="0.6">
      <c r="A92"/>
    </row>
    <row r="93" spans="1:16" x14ac:dyDescent="0.6">
      <c r="A93" s="20" t="s">
        <v>1088</v>
      </c>
      <c r="C93" s="23">
        <f t="shared" ref="C93:E95" si="35">(C85)-(B85-C89)</f>
        <v>4843</v>
      </c>
      <c r="D93" s="23">
        <f t="shared" si="35"/>
        <v>6393</v>
      </c>
      <c r="E93" s="23">
        <f t="shared" si="35"/>
        <v>9874</v>
      </c>
      <c r="F93" s="23">
        <f t="shared" ref="F93:N93" si="36">F94+F95</f>
        <v>16500</v>
      </c>
      <c r="G93" s="23">
        <f t="shared" si="36"/>
        <v>23000</v>
      </c>
      <c r="H93" s="23">
        <f t="shared" si="36"/>
        <v>29000</v>
      </c>
      <c r="I93" s="23">
        <f t="shared" si="36"/>
        <v>34500</v>
      </c>
      <c r="J93" s="23">
        <f t="shared" si="36"/>
        <v>38000</v>
      </c>
      <c r="K93" s="23">
        <f t="shared" si="36"/>
        <v>41000</v>
      </c>
      <c r="L93" s="23">
        <f t="shared" si="36"/>
        <v>44000</v>
      </c>
      <c r="M93" s="23">
        <f t="shared" si="36"/>
        <v>47000</v>
      </c>
      <c r="N93" s="23">
        <f t="shared" si="36"/>
        <v>50000</v>
      </c>
    </row>
    <row r="94" spans="1:16" x14ac:dyDescent="0.6">
      <c r="A94" s="167" t="s">
        <v>1038</v>
      </c>
      <c r="C94" s="23">
        <f t="shared" si="35"/>
        <v>4780</v>
      </c>
      <c r="D94" s="23">
        <f t="shared" si="35"/>
        <v>6129</v>
      </c>
      <c r="E94" s="23">
        <f t="shared" si="35"/>
        <v>8281</v>
      </c>
      <c r="F94" s="496">
        <v>13500</v>
      </c>
      <c r="G94" s="496">
        <v>18000</v>
      </c>
      <c r="H94" s="496">
        <f>G94+4000</f>
        <v>22000</v>
      </c>
      <c r="I94" s="496">
        <f>H94+4000</f>
        <v>26000</v>
      </c>
      <c r="J94" s="496">
        <f>I94+2000</f>
        <v>28000</v>
      </c>
      <c r="K94" s="496">
        <f>J94+2000</f>
        <v>30000</v>
      </c>
      <c r="L94" s="496">
        <f>K94+2000</f>
        <v>32000</v>
      </c>
      <c r="M94" s="496">
        <f>L94+2000</f>
        <v>34000</v>
      </c>
      <c r="N94" s="496">
        <f>M94+2000</f>
        <v>36000</v>
      </c>
    </row>
    <row r="95" spans="1:16" x14ac:dyDescent="0.6">
      <c r="A95" s="167" t="s">
        <v>1037</v>
      </c>
      <c r="C95" s="23">
        <f t="shared" si="35"/>
        <v>63</v>
      </c>
      <c r="D95" s="23">
        <f t="shared" si="35"/>
        <v>264</v>
      </c>
      <c r="E95" s="23">
        <f t="shared" si="35"/>
        <v>1593</v>
      </c>
      <c r="F95" s="496">
        <v>3000</v>
      </c>
      <c r="G95" s="496">
        <v>5000</v>
      </c>
      <c r="H95" s="496">
        <v>7000</v>
      </c>
      <c r="I95" s="496">
        <f>H95+1500</f>
        <v>8500</v>
      </c>
      <c r="J95" s="496">
        <f>I95+1500</f>
        <v>10000</v>
      </c>
      <c r="K95" s="496">
        <f>J95+1000</f>
        <v>11000</v>
      </c>
      <c r="L95" s="496">
        <f>K95+1000</f>
        <v>12000</v>
      </c>
      <c r="M95" s="496">
        <f>L95+1000</f>
        <v>13000</v>
      </c>
      <c r="N95" s="496">
        <f>M95+1000</f>
        <v>14000</v>
      </c>
    </row>
    <row r="96" spans="1:16" x14ac:dyDescent="0.6">
      <c r="A96" s="167"/>
    </row>
    <row r="97" spans="1:20" x14ac:dyDescent="0.6">
      <c r="A97" t="s">
        <v>1054</v>
      </c>
      <c r="C97" s="110"/>
      <c r="D97" s="110">
        <f t="shared" ref="D97:G99" si="37">D93/C93-1</f>
        <v>0.32004955606029317</v>
      </c>
      <c r="E97" s="110">
        <f t="shared" si="37"/>
        <v>0.54450179884248406</v>
      </c>
      <c r="F97" s="110">
        <f t="shared" si="37"/>
        <v>0.67105529673891029</v>
      </c>
      <c r="G97" s="110">
        <f t="shared" si="37"/>
        <v>0.39393939393939403</v>
      </c>
      <c r="H97" s="110">
        <f t="shared" ref="H97:N97" si="38">H93/G93-1</f>
        <v>0.26086956521739135</v>
      </c>
      <c r="I97" s="110">
        <f t="shared" si="38"/>
        <v>0.18965517241379315</v>
      </c>
      <c r="J97" s="110">
        <f t="shared" si="38"/>
        <v>0.10144927536231885</v>
      </c>
      <c r="K97" s="110">
        <f t="shared" si="38"/>
        <v>7.8947368421052655E-2</v>
      </c>
      <c r="L97" s="110">
        <f t="shared" si="38"/>
        <v>7.3170731707317138E-2</v>
      </c>
      <c r="M97" s="110">
        <f t="shared" si="38"/>
        <v>6.8181818181818121E-2</v>
      </c>
      <c r="N97" s="110">
        <f t="shared" si="38"/>
        <v>6.3829787234042534E-2</v>
      </c>
    </row>
    <row r="98" spans="1:20" x14ac:dyDescent="0.6">
      <c r="A98" s="167" t="s">
        <v>1038</v>
      </c>
      <c r="C98" s="110"/>
      <c r="D98" s="110">
        <f t="shared" si="37"/>
        <v>0.28221757322175733</v>
      </c>
      <c r="E98" s="110">
        <f t="shared" si="37"/>
        <v>0.35111763746124969</v>
      </c>
      <c r="F98" s="110">
        <f t="shared" si="37"/>
        <v>0.63023789397415775</v>
      </c>
      <c r="G98" s="110">
        <f t="shared" si="37"/>
        <v>0.33333333333333326</v>
      </c>
      <c r="H98" s="110">
        <f t="shared" ref="H98:N98" si="39">H94/G94-1</f>
        <v>0.22222222222222232</v>
      </c>
      <c r="I98" s="110">
        <f t="shared" si="39"/>
        <v>0.18181818181818188</v>
      </c>
      <c r="J98" s="110">
        <f t="shared" si="39"/>
        <v>7.6923076923076872E-2</v>
      </c>
      <c r="K98" s="110">
        <f t="shared" si="39"/>
        <v>7.1428571428571397E-2</v>
      </c>
      <c r="L98" s="110">
        <f t="shared" si="39"/>
        <v>6.6666666666666652E-2</v>
      </c>
      <c r="M98" s="110">
        <f t="shared" si="39"/>
        <v>6.25E-2</v>
      </c>
      <c r="N98" s="110">
        <f t="shared" si="39"/>
        <v>5.8823529411764719E-2</v>
      </c>
    </row>
    <row r="99" spans="1:20" x14ac:dyDescent="0.6">
      <c r="A99" s="167" t="s">
        <v>1037</v>
      </c>
      <c r="C99" s="110"/>
      <c r="D99" s="110">
        <f t="shared" si="37"/>
        <v>3.1904761904761907</v>
      </c>
      <c r="E99" s="110">
        <f t="shared" si="37"/>
        <v>5.0340909090909092</v>
      </c>
      <c r="F99" s="110">
        <f t="shared" si="37"/>
        <v>0.88323917137476449</v>
      </c>
      <c r="G99" s="110">
        <f t="shared" si="37"/>
        <v>0.66666666666666674</v>
      </c>
      <c r="H99" s="110">
        <f t="shared" ref="H99:N99" si="40">H95/G95-1</f>
        <v>0.39999999999999991</v>
      </c>
      <c r="I99" s="110">
        <f t="shared" si="40"/>
        <v>0.21428571428571419</v>
      </c>
      <c r="J99" s="110">
        <f t="shared" si="40"/>
        <v>0.17647058823529416</v>
      </c>
      <c r="K99" s="110">
        <f t="shared" si="40"/>
        <v>0.10000000000000009</v>
      </c>
      <c r="L99" s="110">
        <f t="shared" si="40"/>
        <v>9.0909090909090828E-2</v>
      </c>
      <c r="M99" s="110">
        <f t="shared" si="40"/>
        <v>8.3333333333333259E-2</v>
      </c>
      <c r="N99" s="110">
        <f t="shared" si="40"/>
        <v>7.6923076923076872E-2</v>
      </c>
    </row>
    <row r="100" spans="1:20" x14ac:dyDescent="0.6">
      <c r="A100" s="167"/>
    </row>
    <row r="101" spans="1:20" x14ac:dyDescent="0.6">
      <c r="A101" s="167"/>
    </row>
    <row r="102" spans="1:20" x14ac:dyDescent="0.6">
      <c r="A102"/>
    </row>
    <row r="103" spans="1:20" x14ac:dyDescent="0.6">
      <c r="A103" s="167" t="s">
        <v>1039</v>
      </c>
      <c r="B103" s="281">
        <f>B86/B85</f>
        <v>1</v>
      </c>
      <c r="C103" s="281">
        <f>C86/C85</f>
        <v>0.97949886104783601</v>
      </c>
      <c r="D103" s="281">
        <f>D86/D85</f>
        <v>0.93945783132530125</v>
      </c>
      <c r="E103" s="281">
        <f>E86/E85</f>
        <v>0.78761061946902655</v>
      </c>
      <c r="F103" s="281">
        <f t="shared" ref="F103:N103" si="41">1-F104</f>
        <v>0.77</v>
      </c>
      <c r="G103" s="281">
        <f t="shared" si="41"/>
        <v>0.73</v>
      </c>
      <c r="H103" s="281">
        <f t="shared" si="41"/>
        <v>0.72</v>
      </c>
      <c r="I103" s="281">
        <f t="shared" si="41"/>
        <v>0.71</v>
      </c>
      <c r="J103" s="281">
        <f t="shared" si="41"/>
        <v>0.7</v>
      </c>
      <c r="K103" s="281">
        <f t="shared" si="41"/>
        <v>0.69</v>
      </c>
      <c r="L103" s="281">
        <f t="shared" si="41"/>
        <v>0.67999999999999994</v>
      </c>
      <c r="M103" s="281">
        <f t="shared" si="41"/>
        <v>0.66999999999999993</v>
      </c>
      <c r="N103" s="281">
        <f t="shared" si="41"/>
        <v>0.65999999999999992</v>
      </c>
    </row>
    <row r="104" spans="1:20" x14ac:dyDescent="0.6">
      <c r="A104" s="167" t="s">
        <v>1040</v>
      </c>
      <c r="B104" s="281">
        <f>1-B103</f>
        <v>0</v>
      </c>
      <c r="C104" s="281">
        <f>1-C103</f>
        <v>2.0501138952163989E-2</v>
      </c>
      <c r="D104" s="281">
        <f>1-D103</f>
        <v>6.0542168674698749E-2</v>
      </c>
      <c r="E104" s="281">
        <f>1-E103</f>
        <v>0.21238938053097345</v>
      </c>
      <c r="F104" s="535">
        <v>0.23</v>
      </c>
      <c r="G104" s="535">
        <v>0.27</v>
      </c>
      <c r="H104" s="754">
        <f>G104+1%</f>
        <v>0.28000000000000003</v>
      </c>
      <c r="I104" s="754">
        <f t="shared" ref="I104:N104" si="42">H104+1%</f>
        <v>0.29000000000000004</v>
      </c>
      <c r="J104" s="754">
        <f t="shared" si="42"/>
        <v>0.30000000000000004</v>
      </c>
      <c r="K104" s="754">
        <f t="shared" si="42"/>
        <v>0.31000000000000005</v>
      </c>
      <c r="L104" s="754">
        <f t="shared" si="42"/>
        <v>0.32000000000000006</v>
      </c>
      <c r="M104" s="754">
        <f t="shared" si="42"/>
        <v>0.33000000000000007</v>
      </c>
      <c r="N104" s="754">
        <f t="shared" si="42"/>
        <v>0.34000000000000008</v>
      </c>
    </row>
    <row r="107" spans="1:20" x14ac:dyDescent="0.6">
      <c r="A107" s="338" t="s">
        <v>180</v>
      </c>
      <c r="B107" s="338"/>
      <c r="C107" s="339"/>
      <c r="D107" s="339"/>
      <c r="E107" s="339"/>
      <c r="F107" s="339"/>
      <c r="G107" s="541"/>
      <c r="H107" s="541"/>
      <c r="I107" s="541"/>
      <c r="J107" s="541"/>
      <c r="K107" s="541"/>
      <c r="L107" s="541"/>
      <c r="M107" s="339"/>
      <c r="N107" s="339"/>
      <c r="O107" s="339"/>
      <c r="P107" s="339"/>
      <c r="Q107" s="339"/>
      <c r="R107" s="339"/>
      <c r="S107" s="339"/>
      <c r="T107" s="339"/>
    </row>
    <row r="108" spans="1:20" x14ac:dyDescent="0.6">
      <c r="A108" s="538" t="s">
        <v>1045</v>
      </c>
      <c r="B108" s="536"/>
      <c r="C108" s="536">
        <f>C118/C94</f>
        <v>0</v>
      </c>
      <c r="D108" s="536">
        <f>D118/D94</f>
        <v>5.0978299885788877E-2</v>
      </c>
      <c r="E108" s="536">
        <f>E118/E94</f>
        <v>5.551974399227147E-2</v>
      </c>
      <c r="F108" s="546">
        <v>7.4999999999999997E-2</v>
      </c>
      <c r="G108" s="546">
        <v>9.5000000000000001E-2</v>
      </c>
      <c r="H108" s="546">
        <v>0.1</v>
      </c>
      <c r="I108" s="757">
        <f t="shared" ref="I108:N108" si="43">H108</f>
        <v>0.1</v>
      </c>
      <c r="J108" s="757">
        <f t="shared" si="43"/>
        <v>0.1</v>
      </c>
      <c r="K108" s="757">
        <f t="shared" si="43"/>
        <v>0.1</v>
      </c>
      <c r="L108" s="757">
        <f t="shared" si="43"/>
        <v>0.1</v>
      </c>
      <c r="M108" s="757">
        <f t="shared" si="43"/>
        <v>0.1</v>
      </c>
      <c r="N108" s="757">
        <f t="shared" si="43"/>
        <v>0.1</v>
      </c>
      <c r="O108" s="546"/>
      <c r="P108" s="339"/>
      <c r="Q108" s="546"/>
      <c r="R108" s="546"/>
      <c r="S108" s="546"/>
      <c r="T108" s="546"/>
    </row>
    <row r="109" spans="1:20" x14ac:dyDescent="0.6">
      <c r="A109" s="539" t="s">
        <v>1046</v>
      </c>
      <c r="B109" s="537"/>
      <c r="C109" s="537">
        <f>C119/B86</f>
        <v>0</v>
      </c>
      <c r="D109" s="537">
        <f>D119/C86</f>
        <v>-5.0390697674418602E-2</v>
      </c>
      <c r="E109" s="537">
        <f>E119/D86</f>
        <v>-4.7501763385700543E-2</v>
      </c>
      <c r="F109" s="547">
        <v>-0.01</v>
      </c>
      <c r="G109" s="547">
        <v>-0.02</v>
      </c>
      <c r="H109" s="758">
        <f>G109</f>
        <v>-0.02</v>
      </c>
      <c r="I109" s="758">
        <f t="shared" ref="I109:N109" si="44">H109</f>
        <v>-0.02</v>
      </c>
      <c r="J109" s="758">
        <f t="shared" si="44"/>
        <v>-0.02</v>
      </c>
      <c r="K109" s="758">
        <f t="shared" si="44"/>
        <v>-0.02</v>
      </c>
      <c r="L109" s="758">
        <f t="shared" si="44"/>
        <v>-0.02</v>
      </c>
      <c r="M109" s="758">
        <f t="shared" si="44"/>
        <v>-0.02</v>
      </c>
      <c r="N109" s="758">
        <f t="shared" si="44"/>
        <v>-0.02</v>
      </c>
      <c r="O109" s="547"/>
      <c r="P109" s="342"/>
      <c r="Q109" s="547"/>
      <c r="R109" s="547"/>
      <c r="S109" s="547"/>
      <c r="T109" s="547"/>
    </row>
    <row r="110" spans="1:20" x14ac:dyDescent="0.6">
      <c r="A110" s="337"/>
      <c r="B110" s="541"/>
      <c r="C110" s="541"/>
      <c r="D110" s="541"/>
      <c r="E110" s="541"/>
      <c r="F110" s="541"/>
      <c r="G110" s="541"/>
      <c r="H110" s="759"/>
      <c r="I110" s="759"/>
      <c r="J110" s="759"/>
      <c r="K110" s="759"/>
      <c r="L110" s="759"/>
      <c r="M110" s="759"/>
      <c r="N110" s="759"/>
      <c r="O110" s="339"/>
      <c r="P110" s="339"/>
      <c r="Q110" s="339"/>
      <c r="R110" s="339"/>
      <c r="S110" s="339"/>
      <c r="T110" s="339"/>
    </row>
    <row r="111" spans="1:20" x14ac:dyDescent="0.6">
      <c r="A111" s="338" t="s">
        <v>218</v>
      </c>
      <c r="B111" s="541"/>
      <c r="C111" s="541"/>
      <c r="D111" s="541"/>
      <c r="E111" s="541"/>
      <c r="F111" s="541"/>
      <c r="G111" s="541"/>
      <c r="H111" s="759"/>
      <c r="I111" s="759"/>
      <c r="J111" s="759"/>
      <c r="K111" s="759"/>
      <c r="L111" s="759"/>
      <c r="M111" s="759"/>
      <c r="N111" s="759"/>
      <c r="O111" s="339"/>
      <c r="P111" s="339"/>
      <c r="Q111" s="339"/>
      <c r="R111" s="339"/>
      <c r="S111" s="339"/>
      <c r="T111" s="339"/>
    </row>
    <row r="112" spans="1:20" x14ac:dyDescent="0.6">
      <c r="A112" s="538" t="s">
        <v>1045</v>
      </c>
      <c r="B112" s="536"/>
      <c r="C112" s="536">
        <f>C125/C95</f>
        <v>0</v>
      </c>
      <c r="D112" s="536">
        <f>D125/D95</f>
        <v>0.15570075757575758</v>
      </c>
      <c r="E112" s="536">
        <f>E125/E95</f>
        <v>0.15445323289391086</v>
      </c>
      <c r="F112" s="546">
        <v>0.17</v>
      </c>
      <c r="G112" s="546">
        <v>0.2</v>
      </c>
      <c r="H112" s="546">
        <v>0.21</v>
      </c>
      <c r="I112" s="757">
        <f t="shared" ref="I112:N112" si="45">H112</f>
        <v>0.21</v>
      </c>
      <c r="J112" s="757">
        <f t="shared" si="45"/>
        <v>0.21</v>
      </c>
      <c r="K112" s="757">
        <f t="shared" si="45"/>
        <v>0.21</v>
      </c>
      <c r="L112" s="757">
        <f t="shared" si="45"/>
        <v>0.21</v>
      </c>
      <c r="M112" s="757">
        <f t="shared" si="45"/>
        <v>0.21</v>
      </c>
      <c r="N112" s="757">
        <f t="shared" si="45"/>
        <v>0.21</v>
      </c>
      <c r="O112" s="546"/>
      <c r="P112" s="339"/>
      <c r="Q112" s="546"/>
      <c r="R112" s="546"/>
      <c r="S112" s="546"/>
      <c r="T112" s="546"/>
    </row>
    <row r="113" spans="1:49" x14ac:dyDescent="0.6">
      <c r="A113" s="539" t="s">
        <v>1046</v>
      </c>
      <c r="B113" s="537"/>
      <c r="C113" s="537"/>
      <c r="D113" s="537">
        <f>D126/C87</f>
        <v>-0.22357142857142859</v>
      </c>
      <c r="E113" s="537">
        <f>E126/D87</f>
        <v>-0.26848756218905473</v>
      </c>
      <c r="F113" s="547">
        <v>-0.05</v>
      </c>
      <c r="G113" s="547">
        <v>-0.05</v>
      </c>
      <c r="H113" s="758">
        <f>G113</f>
        <v>-0.05</v>
      </c>
      <c r="I113" s="758">
        <f t="shared" ref="I113:N113" si="46">H113</f>
        <v>-0.05</v>
      </c>
      <c r="J113" s="758">
        <f t="shared" si="46"/>
        <v>-0.05</v>
      </c>
      <c r="K113" s="758">
        <f t="shared" si="46"/>
        <v>-0.05</v>
      </c>
      <c r="L113" s="758">
        <f t="shared" si="46"/>
        <v>-0.05</v>
      </c>
      <c r="M113" s="758">
        <f t="shared" si="46"/>
        <v>-0.05</v>
      </c>
      <c r="N113" s="758">
        <f t="shared" si="46"/>
        <v>-0.05</v>
      </c>
      <c r="O113" s="547"/>
      <c r="P113" s="342"/>
      <c r="Q113" s="547"/>
      <c r="R113" s="547"/>
      <c r="S113" s="547"/>
      <c r="T113" s="547"/>
    </row>
    <row r="116" spans="1:49" x14ac:dyDescent="0.6">
      <c r="A116" s="338" t="s">
        <v>1044</v>
      </c>
    </row>
    <row r="117" spans="1:49" x14ac:dyDescent="0.6">
      <c r="A117" s="338" t="s">
        <v>180</v>
      </c>
    </row>
    <row r="118" spans="1:49" x14ac:dyDescent="0.6">
      <c r="A118" s="538" t="s">
        <v>556</v>
      </c>
      <c r="B118" s="49"/>
      <c r="C118" s="49"/>
      <c r="D118" s="49">
        <v>312.44600000000003</v>
      </c>
      <c r="E118" s="49">
        <v>459.75900000000001</v>
      </c>
      <c r="F118" s="49">
        <f>F108*F94</f>
        <v>1012.5</v>
      </c>
      <c r="G118" s="49">
        <f t="shared" ref="G118:N118" si="47">G108*G94</f>
        <v>1710</v>
      </c>
      <c r="H118" s="49">
        <f t="shared" si="47"/>
        <v>2200</v>
      </c>
      <c r="I118" s="49">
        <f t="shared" si="47"/>
        <v>2600</v>
      </c>
      <c r="J118" s="49">
        <f t="shared" si="47"/>
        <v>2800</v>
      </c>
      <c r="K118" s="49">
        <f t="shared" si="47"/>
        <v>3000</v>
      </c>
      <c r="L118" s="49">
        <f t="shared" si="47"/>
        <v>3200</v>
      </c>
      <c r="M118" s="49">
        <f t="shared" si="47"/>
        <v>3400</v>
      </c>
      <c r="N118" s="49">
        <f t="shared" si="47"/>
        <v>3600</v>
      </c>
      <c r="O118" s="49"/>
      <c r="P118" s="49"/>
    </row>
    <row r="119" spans="1:49" s="344" customFormat="1" x14ac:dyDescent="0.6">
      <c r="A119" s="539" t="s">
        <v>557</v>
      </c>
      <c r="B119" s="755"/>
      <c r="C119" s="755"/>
      <c r="D119" s="755">
        <v>-151.67599999999999</v>
      </c>
      <c r="E119" s="755">
        <v>-148.15799999999999</v>
      </c>
      <c r="F119" s="755">
        <f>F109*E86</f>
        <v>-51.620000000000005</v>
      </c>
      <c r="G119" s="755">
        <f t="shared" ref="G119:N119" si="48">G109*F86</f>
        <v>-166.76</v>
      </c>
      <c r="H119" s="755">
        <f t="shared" si="48"/>
        <v>-193.24</v>
      </c>
      <c r="I119" s="755">
        <f t="shared" si="48"/>
        <v>-246.76000000000002</v>
      </c>
      <c r="J119" s="755">
        <f t="shared" si="48"/>
        <v>-273.24</v>
      </c>
      <c r="K119" s="755">
        <f t="shared" si="48"/>
        <v>-286.76</v>
      </c>
      <c r="L119" s="755">
        <f t="shared" si="48"/>
        <v>-313.24</v>
      </c>
      <c r="M119" s="755">
        <f t="shared" si="48"/>
        <v>-326.76</v>
      </c>
      <c r="N119" s="755">
        <f t="shared" si="48"/>
        <v>-353.24</v>
      </c>
      <c r="O119" s="755"/>
      <c r="P119" s="755"/>
      <c r="S119" s="84"/>
      <c r="T119" s="84"/>
      <c r="U119" s="84"/>
      <c r="V119" s="84"/>
      <c r="W119" s="84"/>
      <c r="X119" s="84"/>
      <c r="Y119" s="84"/>
      <c r="Z119" s="84"/>
      <c r="AA119" s="84"/>
      <c r="AB119" s="84"/>
      <c r="AC119" s="84"/>
      <c r="AD119" s="84"/>
      <c r="AE119" s="84"/>
      <c r="AF119" s="84"/>
      <c r="AG119" s="84"/>
      <c r="AH119" s="84"/>
      <c r="AI119" s="84"/>
      <c r="AJ119" s="84"/>
      <c r="AK119" s="84"/>
      <c r="AL119" s="84"/>
      <c r="AM119" s="84"/>
      <c r="AN119" s="84"/>
      <c r="AO119" s="84"/>
      <c r="AP119" s="84"/>
      <c r="AQ119" s="84"/>
      <c r="AR119" s="84"/>
      <c r="AS119" s="84"/>
      <c r="AT119" s="84"/>
      <c r="AU119" s="84"/>
      <c r="AV119" s="84"/>
      <c r="AW119" s="84"/>
    </row>
    <row r="120" spans="1:49" x14ac:dyDescent="0.6">
      <c r="A120" s="338" t="s">
        <v>1042</v>
      </c>
      <c r="B120" s="49"/>
      <c r="C120" s="49"/>
      <c r="D120" s="49">
        <f t="shared" ref="D120:N120" si="49">SUM(D118:D119)</f>
        <v>160.77000000000004</v>
      </c>
      <c r="E120" s="49">
        <f t="shared" si="49"/>
        <v>311.601</v>
      </c>
      <c r="F120" s="49">
        <f t="shared" si="49"/>
        <v>960.88</v>
      </c>
      <c r="G120" s="49">
        <f t="shared" si="49"/>
        <v>1543.24</v>
      </c>
      <c r="H120" s="49">
        <f t="shared" si="49"/>
        <v>2006.76</v>
      </c>
      <c r="I120" s="49">
        <f t="shared" si="49"/>
        <v>2353.2399999999998</v>
      </c>
      <c r="J120" s="49">
        <f t="shared" si="49"/>
        <v>2526.7600000000002</v>
      </c>
      <c r="K120" s="49">
        <f t="shared" si="49"/>
        <v>2713.24</v>
      </c>
      <c r="L120" s="49">
        <f t="shared" si="49"/>
        <v>2886.76</v>
      </c>
      <c r="M120" s="49">
        <f t="shared" si="49"/>
        <v>3073.24</v>
      </c>
      <c r="N120" s="49">
        <f t="shared" si="49"/>
        <v>3246.76</v>
      </c>
      <c r="O120" s="49"/>
      <c r="P120" s="49"/>
    </row>
    <row r="121" spans="1:49" s="344" customFormat="1" x14ac:dyDescent="0.6">
      <c r="A121" s="343" t="s">
        <v>559</v>
      </c>
      <c r="B121" s="755"/>
      <c r="C121" s="755"/>
      <c r="D121" s="755">
        <v>-18.202000000000002</v>
      </c>
      <c r="E121" s="755">
        <v>-22.494</v>
      </c>
      <c r="F121" s="756">
        <v>0</v>
      </c>
      <c r="G121" s="756">
        <v>0</v>
      </c>
      <c r="H121" s="756">
        <v>0</v>
      </c>
      <c r="I121" s="756">
        <v>0</v>
      </c>
      <c r="J121" s="756">
        <v>0</v>
      </c>
      <c r="K121" s="756">
        <v>0</v>
      </c>
      <c r="L121" s="756">
        <v>0</v>
      </c>
      <c r="M121" s="756">
        <v>0</v>
      </c>
      <c r="N121" s="756">
        <v>0</v>
      </c>
      <c r="O121" s="755"/>
      <c r="P121" s="755"/>
      <c r="S121" s="84"/>
      <c r="T121" s="84"/>
      <c r="U121" s="84"/>
      <c r="V121" s="84"/>
      <c r="W121" s="84"/>
      <c r="X121" s="84"/>
      <c r="Y121" s="84"/>
      <c r="Z121" s="84"/>
      <c r="AA121" s="84"/>
      <c r="AB121" s="84"/>
      <c r="AC121" s="84"/>
      <c r="AD121" s="84"/>
      <c r="AE121" s="84"/>
      <c r="AF121" s="84"/>
      <c r="AG121" s="84"/>
      <c r="AH121" s="84"/>
      <c r="AI121" s="84"/>
      <c r="AJ121" s="84"/>
      <c r="AK121" s="84"/>
      <c r="AL121" s="84"/>
      <c r="AM121" s="84"/>
      <c r="AN121" s="84"/>
      <c r="AO121" s="84"/>
      <c r="AP121" s="84"/>
      <c r="AQ121" s="84"/>
      <c r="AR121" s="84"/>
      <c r="AS121" s="84"/>
      <c r="AT121" s="84"/>
      <c r="AU121" s="84"/>
      <c r="AV121" s="84"/>
      <c r="AW121" s="84"/>
    </row>
    <row r="122" spans="1:49" x14ac:dyDescent="0.6">
      <c r="A122" s="338" t="s">
        <v>106</v>
      </c>
      <c r="B122" s="49"/>
      <c r="C122" s="49"/>
      <c r="D122" s="49">
        <f t="shared" ref="D122:N122" si="50">SUM(D120:D121)</f>
        <v>142.56800000000004</v>
      </c>
      <c r="E122" s="49">
        <f t="shared" si="50"/>
        <v>289.10699999999997</v>
      </c>
      <c r="F122" s="49">
        <f t="shared" si="50"/>
        <v>960.88</v>
      </c>
      <c r="G122" s="49">
        <f t="shared" si="50"/>
        <v>1543.24</v>
      </c>
      <c r="H122" s="49">
        <f t="shared" si="50"/>
        <v>2006.76</v>
      </c>
      <c r="I122" s="49">
        <f t="shared" si="50"/>
        <v>2353.2399999999998</v>
      </c>
      <c r="J122" s="49">
        <f t="shared" si="50"/>
        <v>2526.7600000000002</v>
      </c>
      <c r="K122" s="49">
        <f t="shared" si="50"/>
        <v>2713.24</v>
      </c>
      <c r="L122" s="49">
        <f t="shared" si="50"/>
        <v>2886.76</v>
      </c>
      <c r="M122" s="49">
        <f t="shared" si="50"/>
        <v>3073.24</v>
      </c>
      <c r="N122" s="49">
        <f t="shared" si="50"/>
        <v>3246.76</v>
      </c>
      <c r="O122" s="49"/>
      <c r="P122" s="49"/>
    </row>
    <row r="123" spans="1:49" x14ac:dyDescent="0.6">
      <c r="A123" s="337"/>
      <c r="B123" s="49"/>
      <c r="C123" s="49"/>
      <c r="D123" s="49"/>
      <c r="E123" s="49"/>
      <c r="F123" s="49"/>
      <c r="G123" s="49"/>
      <c r="H123" s="49"/>
      <c r="I123" s="49"/>
      <c r="J123" s="49"/>
      <c r="K123" s="49"/>
      <c r="L123" s="49"/>
      <c r="M123" s="49"/>
      <c r="N123" s="49"/>
      <c r="O123" s="49"/>
      <c r="P123" s="49"/>
    </row>
    <row r="124" spans="1:49" x14ac:dyDescent="0.6">
      <c r="A124" s="338" t="s">
        <v>218</v>
      </c>
      <c r="B124" s="49"/>
      <c r="C124" s="49"/>
      <c r="D124" s="49"/>
      <c r="E124" s="49"/>
      <c r="F124" s="49"/>
      <c r="G124" s="49"/>
      <c r="H124" s="49"/>
      <c r="I124" s="49"/>
      <c r="J124" s="49"/>
      <c r="K124" s="49"/>
      <c r="L124" s="49"/>
      <c r="M124" s="49"/>
      <c r="N124" s="49"/>
      <c r="O124" s="49"/>
      <c r="P124" s="49"/>
    </row>
    <row r="125" spans="1:49" x14ac:dyDescent="0.6">
      <c r="A125" s="538" t="s">
        <v>556</v>
      </c>
      <c r="B125" s="49"/>
      <c r="C125" s="49"/>
      <c r="D125" s="49">
        <v>41.104999999999997</v>
      </c>
      <c r="E125" s="49">
        <v>246.04400000000001</v>
      </c>
      <c r="F125" s="49">
        <f>F112*F95</f>
        <v>510.00000000000006</v>
      </c>
      <c r="G125" s="49">
        <f>G112*G95</f>
        <v>1000</v>
      </c>
      <c r="H125" s="49">
        <f t="shared" ref="H125:N125" si="51">H112*H95</f>
        <v>1470</v>
      </c>
      <c r="I125" s="49">
        <f t="shared" si="51"/>
        <v>1785</v>
      </c>
      <c r="J125" s="49">
        <f t="shared" si="51"/>
        <v>2100</v>
      </c>
      <c r="K125" s="49">
        <f t="shared" si="51"/>
        <v>2310</v>
      </c>
      <c r="L125" s="49">
        <f t="shared" si="51"/>
        <v>2520</v>
      </c>
      <c r="M125" s="49">
        <f t="shared" si="51"/>
        <v>2730</v>
      </c>
      <c r="N125" s="49">
        <f t="shared" si="51"/>
        <v>2940</v>
      </c>
      <c r="O125" s="49"/>
      <c r="P125" s="49"/>
    </row>
    <row r="126" spans="1:49" s="344" customFormat="1" x14ac:dyDescent="0.6">
      <c r="A126" s="539" t="s">
        <v>557</v>
      </c>
      <c r="B126" s="755"/>
      <c r="C126" s="755"/>
      <c r="D126" s="755">
        <v>-14.085000000000001</v>
      </c>
      <c r="E126" s="755">
        <v>-53.966000000000001</v>
      </c>
      <c r="F126" s="755">
        <f>F113*E87</f>
        <v>-69.600000000000009</v>
      </c>
      <c r="G126" s="755">
        <f>G113*F87</f>
        <v>-80.400000000000006</v>
      </c>
      <c r="H126" s="755">
        <f t="shared" ref="H126:N126" si="52">H113*G87</f>
        <v>-169.60000000000002</v>
      </c>
      <c r="I126" s="755">
        <f t="shared" si="52"/>
        <v>-180.4</v>
      </c>
      <c r="J126" s="755">
        <f t="shared" si="52"/>
        <v>-244.60000000000002</v>
      </c>
      <c r="K126" s="755">
        <f t="shared" si="52"/>
        <v>-255.4</v>
      </c>
      <c r="L126" s="755">
        <f t="shared" si="52"/>
        <v>-294.60000000000002</v>
      </c>
      <c r="M126" s="755">
        <f t="shared" si="52"/>
        <v>-305.40000000000003</v>
      </c>
      <c r="N126" s="755">
        <f t="shared" si="52"/>
        <v>-344.6</v>
      </c>
      <c r="O126" s="755"/>
      <c r="P126" s="755"/>
      <c r="S126" s="84"/>
      <c r="T126" s="84"/>
      <c r="U126" s="84"/>
      <c r="V126" s="84"/>
      <c r="W126" s="84"/>
      <c r="X126" s="84"/>
      <c r="Y126" s="84"/>
      <c r="Z126" s="84"/>
      <c r="AA126" s="84"/>
      <c r="AB126" s="84"/>
      <c r="AC126" s="84"/>
      <c r="AD126" s="84"/>
      <c r="AE126" s="84"/>
      <c r="AF126" s="84"/>
      <c r="AG126" s="84"/>
      <c r="AH126" s="84"/>
      <c r="AI126" s="84"/>
      <c r="AJ126" s="84"/>
      <c r="AK126" s="84"/>
      <c r="AL126" s="84"/>
      <c r="AM126" s="84"/>
      <c r="AN126" s="84"/>
      <c r="AO126" s="84"/>
      <c r="AP126" s="84"/>
      <c r="AQ126" s="84"/>
      <c r="AR126" s="84"/>
      <c r="AS126" s="84"/>
      <c r="AT126" s="84"/>
      <c r="AU126" s="84"/>
      <c r="AV126" s="84"/>
      <c r="AW126" s="84"/>
    </row>
    <row r="127" spans="1:49" x14ac:dyDescent="0.6">
      <c r="A127" s="338" t="s">
        <v>1042</v>
      </c>
      <c r="B127" s="49"/>
      <c r="C127" s="49"/>
      <c r="D127" s="49">
        <f t="shared" ref="D127:N127" si="53">SUM(D125:D126)</f>
        <v>27.019999999999996</v>
      </c>
      <c r="E127" s="49">
        <f t="shared" si="53"/>
        <v>192.078</v>
      </c>
      <c r="F127" s="49">
        <f t="shared" si="53"/>
        <v>440.40000000000003</v>
      </c>
      <c r="G127" s="49">
        <f t="shared" si="53"/>
        <v>919.6</v>
      </c>
      <c r="H127" s="49">
        <f t="shared" si="53"/>
        <v>1300.4000000000001</v>
      </c>
      <c r="I127" s="49">
        <f t="shared" si="53"/>
        <v>1604.6</v>
      </c>
      <c r="J127" s="49">
        <f t="shared" si="53"/>
        <v>1855.4</v>
      </c>
      <c r="K127" s="49">
        <f t="shared" si="53"/>
        <v>2054.6</v>
      </c>
      <c r="L127" s="49">
        <f t="shared" si="53"/>
        <v>2225.4</v>
      </c>
      <c r="M127" s="49">
        <f t="shared" si="53"/>
        <v>2424.6</v>
      </c>
      <c r="N127" s="49">
        <f t="shared" si="53"/>
        <v>2595.4</v>
      </c>
      <c r="O127" s="49"/>
      <c r="P127" s="49"/>
    </row>
    <row r="128" spans="1:49" s="344" customFormat="1" x14ac:dyDescent="0.6">
      <c r="A128" s="343" t="s">
        <v>559</v>
      </c>
      <c r="B128" s="755"/>
      <c r="C128" s="755"/>
      <c r="D128" s="755">
        <v>-0.10299999999999999</v>
      </c>
      <c r="E128" s="755">
        <v>-0.54600000000000004</v>
      </c>
      <c r="F128" s="756">
        <v>0</v>
      </c>
      <c r="G128" s="756">
        <v>0</v>
      </c>
      <c r="H128" s="756">
        <v>0</v>
      </c>
      <c r="I128" s="756">
        <v>0</v>
      </c>
      <c r="J128" s="756">
        <v>0</v>
      </c>
      <c r="K128" s="756">
        <v>0</v>
      </c>
      <c r="L128" s="756">
        <v>0</v>
      </c>
      <c r="M128" s="756">
        <v>0</v>
      </c>
      <c r="N128" s="756">
        <v>0</v>
      </c>
      <c r="O128" s="755"/>
      <c r="P128" s="755"/>
      <c r="S128" s="84"/>
      <c r="T128" s="84"/>
      <c r="U128" s="84"/>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row>
    <row r="129" spans="1:16" x14ac:dyDescent="0.6">
      <c r="A129" s="338" t="s">
        <v>1055</v>
      </c>
      <c r="B129" s="49"/>
      <c r="C129" s="49"/>
      <c r="D129" s="49">
        <f>SUM(D127:D128)</f>
        <v>26.916999999999994</v>
      </c>
      <c r="E129" s="49">
        <f>SUM(E127:E128)</f>
        <v>191.53200000000001</v>
      </c>
      <c r="F129" s="49">
        <f>SUM(F127:F128)</f>
        <v>440.40000000000003</v>
      </c>
      <c r="G129" s="49">
        <f>SUM(G127:G128)</f>
        <v>919.6</v>
      </c>
      <c r="H129" s="49">
        <f t="shared" ref="H129:N129" si="54">SUM(H127:H128)</f>
        <v>1300.4000000000001</v>
      </c>
      <c r="I129" s="49">
        <f t="shared" si="54"/>
        <v>1604.6</v>
      </c>
      <c r="J129" s="49">
        <f t="shared" si="54"/>
        <v>1855.4</v>
      </c>
      <c r="K129" s="49">
        <f t="shared" si="54"/>
        <v>2054.6</v>
      </c>
      <c r="L129" s="49">
        <f t="shared" si="54"/>
        <v>2225.4</v>
      </c>
      <c r="M129" s="49">
        <f t="shared" si="54"/>
        <v>2424.6</v>
      </c>
      <c r="N129" s="49">
        <f t="shared" si="54"/>
        <v>2595.4</v>
      </c>
      <c r="O129" s="49"/>
      <c r="P129" s="49"/>
    </row>
    <row r="131" spans="1:16" x14ac:dyDescent="0.6">
      <c r="A131" s="338" t="s">
        <v>354</v>
      </c>
      <c r="D131" s="49">
        <f>-(D129+D122)</f>
        <v>-169.48500000000004</v>
      </c>
      <c r="E131" s="49">
        <f>-(E129+E122)</f>
        <v>-480.63900000000001</v>
      </c>
      <c r="F131" s="49">
        <f>-(F129+F122)</f>
        <v>-1401.28</v>
      </c>
      <c r="G131" s="49">
        <f>-(G129+G122)</f>
        <v>-2462.84</v>
      </c>
      <c r="H131" s="49">
        <f t="shared" ref="H131:N131" si="55">-(H129+H122)</f>
        <v>-3307.16</v>
      </c>
      <c r="I131" s="49">
        <f t="shared" si="55"/>
        <v>-3957.8399999999997</v>
      </c>
      <c r="J131" s="49">
        <f t="shared" si="55"/>
        <v>-4382.16</v>
      </c>
      <c r="K131" s="49">
        <f t="shared" si="55"/>
        <v>-4767.84</v>
      </c>
      <c r="L131" s="49">
        <f t="shared" si="55"/>
        <v>-5112.16</v>
      </c>
      <c r="M131" s="49">
        <f t="shared" si="55"/>
        <v>-5497.84</v>
      </c>
      <c r="N131" s="49">
        <f t="shared" si="55"/>
        <v>-5842.16</v>
      </c>
    </row>
  </sheetData>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01F40-B733-4619-93BE-ECFA8BBDB352}">
  <dimension ref="A1:AP383"/>
  <sheetViews>
    <sheetView zoomScale="64" zoomScaleNormal="80" workbookViewId="0">
      <pane xSplit="2" ySplit="2" topLeftCell="C201" activePane="bottomRight" state="frozen"/>
      <selection pane="topRight" activeCell="C1" sqref="C1"/>
      <selection pane="bottomLeft" activeCell="A2" sqref="A2"/>
      <selection pane="bottomRight" activeCell="U228" sqref="U228"/>
    </sheetView>
  </sheetViews>
  <sheetFormatPr defaultColWidth="8.69921875" defaultRowHeight="15.6" x14ac:dyDescent="0.6"/>
  <cols>
    <col min="2" max="2" width="55.69921875" customWidth="1"/>
    <col min="3" max="3" width="8.09765625" customWidth="1"/>
    <col min="4" max="6" width="8.09765625" style="43" customWidth="1"/>
    <col min="7" max="8" width="9.19921875" style="43" bestFit="1" customWidth="1"/>
    <col min="9" max="9" width="8.19921875" style="43" customWidth="1"/>
    <col min="10" max="10" width="8.19921875" style="43" bestFit="1" customWidth="1"/>
    <col min="11" max="11" width="8.19921875" style="43" customWidth="1"/>
    <col min="12" max="12" width="8.69921875" style="43"/>
    <col min="13" max="15" width="9.796875" style="43" bestFit="1" customWidth="1"/>
    <col min="16" max="22" width="8.69921875" style="43"/>
    <col min="23" max="23" width="9.046875" style="43" bestFit="1" customWidth="1"/>
    <col min="24" max="27" width="8.69921875" style="43"/>
    <col min="28" max="28" width="11.19921875" bestFit="1" customWidth="1"/>
    <col min="29" max="36" width="8.69921875" style="32"/>
  </cols>
  <sheetData>
    <row r="1" spans="2:42" x14ac:dyDescent="0.6">
      <c r="AC1" s="238"/>
      <c r="AD1" s="238"/>
      <c r="AE1" s="238"/>
      <c r="AF1" s="238"/>
      <c r="AG1" s="238"/>
      <c r="AH1" s="238"/>
      <c r="AI1" s="238"/>
      <c r="AJ1" s="238"/>
      <c r="AK1" s="238"/>
    </row>
    <row r="2" spans="2:42" x14ac:dyDescent="0.6">
      <c r="B2" s="262" t="s">
        <v>370</v>
      </c>
      <c r="C2" s="397" t="s">
        <v>693</v>
      </c>
      <c r="D2" s="397" t="s">
        <v>694</v>
      </c>
      <c r="E2" s="397" t="s">
        <v>695</v>
      </c>
      <c r="F2" s="397" t="s">
        <v>561</v>
      </c>
      <c r="G2" s="397" t="s">
        <v>674</v>
      </c>
      <c r="H2" s="397" t="s">
        <v>375</v>
      </c>
      <c r="I2" s="397" t="s">
        <v>376</v>
      </c>
      <c r="J2" s="397" t="s">
        <v>377</v>
      </c>
      <c r="K2" s="397" t="s">
        <v>672</v>
      </c>
      <c r="L2" s="25">
        <v>2021</v>
      </c>
      <c r="M2" s="489" t="s">
        <v>870</v>
      </c>
      <c r="N2" s="489" t="s">
        <v>1010</v>
      </c>
      <c r="O2" s="489" t="s">
        <v>1011</v>
      </c>
      <c r="P2" s="929" t="s">
        <v>1012</v>
      </c>
      <c r="Q2" s="25">
        <v>2022</v>
      </c>
      <c r="R2" s="1151" t="s">
        <v>1017</v>
      </c>
      <c r="S2" s="1160" t="s">
        <v>1018</v>
      </c>
      <c r="T2" s="549" t="s">
        <v>1019</v>
      </c>
      <c r="U2" s="549" t="s">
        <v>1020</v>
      </c>
      <c r="V2" s="70">
        <v>2023</v>
      </c>
      <c r="W2" s="549" t="s">
        <v>1325</v>
      </c>
      <c r="X2" s="549" t="s">
        <v>1326</v>
      </c>
      <c r="Y2" s="549" t="s">
        <v>1327</v>
      </c>
      <c r="Z2" s="549" t="s">
        <v>1328</v>
      </c>
      <c r="AA2" s="70">
        <v>2024</v>
      </c>
      <c r="AC2" s="253" t="str">
        <f t="shared" ref="AC2:AK2" si="0">H2</f>
        <v>Q1 21</v>
      </c>
      <c r="AD2" s="253" t="str">
        <f t="shared" si="0"/>
        <v>Q2 21</v>
      </c>
      <c r="AE2" s="253" t="str">
        <f t="shared" si="0"/>
        <v>Q3 21</v>
      </c>
      <c r="AF2" s="253" t="str">
        <f t="shared" si="0"/>
        <v>Q4 21</v>
      </c>
      <c r="AG2" s="253">
        <f t="shared" si="0"/>
        <v>2021</v>
      </c>
      <c r="AH2" s="253" t="str">
        <f t="shared" si="0"/>
        <v>Q1 22</v>
      </c>
      <c r="AI2" s="253" t="str">
        <f t="shared" si="0"/>
        <v>Q2 22</v>
      </c>
      <c r="AJ2" s="253" t="str">
        <f t="shared" si="0"/>
        <v>Q3 22</v>
      </c>
      <c r="AK2" s="253" t="str">
        <f t="shared" si="0"/>
        <v>Q4 22</v>
      </c>
      <c r="AM2" s="254" t="str">
        <f>R2</f>
        <v>Q1 23</v>
      </c>
      <c r="AN2" s="254" t="str">
        <f>S2</f>
        <v>Q2 23</v>
      </c>
      <c r="AO2" s="254" t="str">
        <f>T2</f>
        <v>Q3 23</v>
      </c>
      <c r="AP2" s="254" t="str">
        <f>U2</f>
        <v>Q4 23</v>
      </c>
    </row>
    <row r="3" spans="2:42" x14ac:dyDescent="0.6">
      <c r="B3" s="262"/>
      <c r="C3" s="397"/>
      <c r="D3" s="397"/>
      <c r="E3" s="397"/>
      <c r="F3" s="397"/>
      <c r="G3" s="397"/>
      <c r="H3" s="397"/>
      <c r="I3" s="397"/>
      <c r="J3" s="397"/>
      <c r="K3" s="397"/>
      <c r="L3" s="25"/>
      <c r="M3" s="489"/>
      <c r="N3" s="489"/>
      <c r="O3" s="489"/>
      <c r="P3" s="929"/>
      <c r="Q3" s="25"/>
      <c r="R3" s="1151"/>
      <c r="S3" s="1160"/>
      <c r="T3" s="345">
        <f>T6/T4-1</f>
        <v>-1.234228727872555E-2</v>
      </c>
      <c r="U3" s="345">
        <f>U6/U4-1</f>
        <v>-8.4524127288002626E-3</v>
      </c>
      <c r="V3" s="345"/>
      <c r="W3" s="345">
        <f>W6/W4-1</f>
        <v>-2.1693453326598999E-2</v>
      </c>
      <c r="X3" s="345">
        <f>X6/X4-1</f>
        <v>-3.4670029875865427E-2</v>
      </c>
      <c r="Y3" s="345">
        <f>Y6/Y4-1</f>
        <v>-4.1571620330839387E-2</v>
      </c>
      <c r="Z3" s="345">
        <f>Z6/Z4-1</f>
        <v>2.1009836043621721E-3</v>
      </c>
      <c r="AA3" s="345"/>
      <c r="AC3" s="253"/>
      <c r="AD3" s="253"/>
      <c r="AE3" s="253"/>
      <c r="AF3" s="253"/>
      <c r="AG3" s="253"/>
      <c r="AH3" s="253"/>
      <c r="AI3" s="253"/>
      <c r="AJ3" s="253"/>
      <c r="AK3" s="253"/>
      <c r="AM3" s="1197"/>
      <c r="AN3" s="1197"/>
      <c r="AO3" s="1197"/>
      <c r="AP3" s="1197"/>
    </row>
    <row r="4" spans="2:42" x14ac:dyDescent="0.6">
      <c r="B4" s="20" t="s">
        <v>136</v>
      </c>
      <c r="C4" s="20"/>
      <c r="D4"/>
      <c r="E4"/>
      <c r="F4"/>
      <c r="G4"/>
      <c r="H4"/>
      <c r="I4"/>
      <c r="J4"/>
      <c r="K4"/>
      <c r="L4"/>
      <c r="M4"/>
      <c r="N4"/>
      <c r="O4"/>
      <c r="P4"/>
      <c r="Q4"/>
      <c r="R4"/>
      <c r="S4"/>
      <c r="T4" s="1186">
        <f>T5+T13</f>
        <v>2053</v>
      </c>
      <c r="U4" s="1186">
        <f>U5+U13</f>
        <v>2237</v>
      </c>
      <c r="V4"/>
      <c r="W4" s="1186">
        <f>W5+W13</f>
        <v>2326</v>
      </c>
      <c r="X4" s="1186">
        <f>X5+X13</f>
        <v>2455</v>
      </c>
      <c r="Y4" s="1186">
        <f>Y5+Y13</f>
        <v>2625</v>
      </c>
      <c r="Z4" s="1186">
        <f>Z5+Z13</f>
        <v>2856</v>
      </c>
      <c r="AA4"/>
      <c r="AC4" s="253"/>
      <c r="AD4" s="253"/>
      <c r="AE4" s="253"/>
      <c r="AF4" s="253"/>
      <c r="AG4" s="253"/>
      <c r="AH4" s="253"/>
      <c r="AI4" s="253"/>
      <c r="AJ4" s="253"/>
      <c r="AK4" s="255"/>
      <c r="AM4" s="253"/>
      <c r="AN4" s="253"/>
      <c r="AO4" s="255"/>
      <c r="AP4" s="255"/>
    </row>
    <row r="5" spans="2:42" x14ac:dyDescent="0.6">
      <c r="B5" s="20" t="s">
        <v>9</v>
      </c>
      <c r="C5" s="20"/>
      <c r="H5" s="110"/>
      <c r="I5" s="110"/>
      <c r="J5" s="110"/>
      <c r="K5" s="110"/>
      <c r="S5" s="336"/>
      <c r="T5" s="1186">
        <v>1644</v>
      </c>
      <c r="U5" s="1186">
        <v>1790</v>
      </c>
      <c r="W5" s="1186">
        <v>1841</v>
      </c>
      <c r="X5" s="1186">
        <v>1932</v>
      </c>
      <c r="Y5" s="1186">
        <v>2051</v>
      </c>
      <c r="Z5" s="1186">
        <v>2225</v>
      </c>
      <c r="AC5" s="253"/>
      <c r="AD5" s="253"/>
      <c r="AE5" s="258">
        <f>J6/D6-1</f>
        <v>1.2253586302637669</v>
      </c>
      <c r="AF5" s="258">
        <f>K6/E6-1</f>
        <v>2.9182994454713493</v>
      </c>
      <c r="AG5" s="258"/>
      <c r="AH5" s="258"/>
      <c r="AI5" s="258"/>
      <c r="AJ5" s="258"/>
      <c r="AK5" s="253"/>
      <c r="AM5" s="258"/>
      <c r="AN5" s="258"/>
      <c r="AO5" s="253"/>
      <c r="AP5" s="253"/>
    </row>
    <row r="6" spans="2:42" s="101" customFormat="1" ht="15.9" thickBot="1" x14ac:dyDescent="0.65">
      <c r="B6" s="87" t="s">
        <v>133</v>
      </c>
      <c r="C6" s="87"/>
      <c r="D6" s="54">
        <f>Master!E4-G6-F6-E6</f>
        <v>216.09999999999997</v>
      </c>
      <c r="E6" s="54">
        <f>SUM(E7:E14)</f>
        <v>162.30000000000001</v>
      </c>
      <c r="F6" s="54">
        <f>SUM(F7:F14)</f>
        <v>156.10000000000002</v>
      </c>
      <c r="G6" s="54">
        <f>SUM(G7:G14)</f>
        <v>202.60000000000002</v>
      </c>
      <c r="H6" s="54">
        <f>H7+H14</f>
        <v>245</v>
      </c>
      <c r="I6" s="54">
        <f>I7+I14</f>
        <v>336.1</v>
      </c>
      <c r="J6" s="54">
        <f>J7+J14</f>
        <v>480.9</v>
      </c>
      <c r="K6" s="54">
        <f>K7+K14</f>
        <v>635.94000000000005</v>
      </c>
      <c r="L6" s="54">
        <f>Master!F4</f>
        <v>1696.9561700000002</v>
      </c>
      <c r="M6" s="54">
        <f>M7+M14</f>
        <v>877.26700000000005</v>
      </c>
      <c r="N6" s="54">
        <f>N7+N14</f>
        <v>1157.5610000000001</v>
      </c>
      <c r="O6" s="54">
        <f>O7+O14</f>
        <v>1306.9000000000001</v>
      </c>
      <c r="P6" s="54">
        <f>P7+P14</f>
        <v>1450.2719999999999</v>
      </c>
      <c r="Q6" s="54">
        <f>Master!G4</f>
        <v>4790.1710000000003</v>
      </c>
      <c r="R6" s="54">
        <f>R7+R14</f>
        <v>1618.454</v>
      </c>
      <c r="S6" s="54">
        <f>S7+S14</f>
        <v>1868.6</v>
      </c>
      <c r="T6" s="54">
        <f>T7+T14</f>
        <v>2027.6612842167765</v>
      </c>
      <c r="U6" s="54">
        <f>U7+U14</f>
        <v>2218.0919527256738</v>
      </c>
      <c r="V6" s="54">
        <f>Master!H4</f>
        <v>7732.8072369424499</v>
      </c>
      <c r="W6" s="54">
        <f>W7+W14</f>
        <v>2275.5410275623308</v>
      </c>
      <c r="X6" s="54">
        <f>X7+X14</f>
        <v>2369.8850766547503</v>
      </c>
      <c r="Y6" s="54">
        <f>Y7+Y14</f>
        <v>2515.8744966315467</v>
      </c>
      <c r="Z6" s="54">
        <f>Z7+Z14</f>
        <v>2862.0004091740584</v>
      </c>
      <c r="AA6" s="54">
        <f>Master!I4</f>
        <v>10023.301010022686</v>
      </c>
      <c r="AB6" s="261"/>
      <c r="AC6" s="261">
        <f t="shared" ref="AC6:AF7" si="1">H6/D6-1</f>
        <v>0.13373438223044909</v>
      </c>
      <c r="AD6" s="261">
        <f t="shared" si="1"/>
        <v>1.0708564386937769</v>
      </c>
      <c r="AE6" s="261">
        <f t="shared" si="1"/>
        <v>2.080717488789237</v>
      </c>
      <c r="AF6" s="261">
        <f t="shared" si="1"/>
        <v>2.1388943731490619</v>
      </c>
      <c r="AH6" s="261">
        <f t="shared" ref="AH6:AK7" si="2">M6/H6-1</f>
        <v>2.5806816326530613</v>
      </c>
      <c r="AI6" s="261">
        <f t="shared" si="2"/>
        <v>2.4440969949419817</v>
      </c>
      <c r="AJ6" s="261">
        <f t="shared" si="2"/>
        <v>1.7176128093158662</v>
      </c>
      <c r="AK6" s="261">
        <f t="shared" si="2"/>
        <v>1.2805170299084816</v>
      </c>
      <c r="AL6" s="261"/>
      <c r="AM6" s="261">
        <f t="shared" ref="AM6:AP7" si="3">R6/M6-1</f>
        <v>0.84488188886621729</v>
      </c>
      <c r="AN6" s="261">
        <f t="shared" si="3"/>
        <v>0.61425618174765706</v>
      </c>
      <c r="AO6" s="261">
        <f t="shared" si="3"/>
        <v>0.55150454068159482</v>
      </c>
      <c r="AP6" s="261">
        <f t="shared" si="3"/>
        <v>0.52943168779765037</v>
      </c>
    </row>
    <row r="7" spans="2:42" x14ac:dyDescent="0.6">
      <c r="B7" s="29" t="s">
        <v>87</v>
      </c>
      <c r="C7" s="29"/>
      <c r="D7" s="97">
        <f>Master!E5-G7-F7-E7</f>
        <v>131.1</v>
      </c>
      <c r="E7" s="59">
        <v>91.9</v>
      </c>
      <c r="F7" s="59">
        <v>70.2</v>
      </c>
      <c r="G7" s="59">
        <v>89.7</v>
      </c>
      <c r="H7" s="59">
        <v>127.3</v>
      </c>
      <c r="I7" s="59">
        <v>184.9</v>
      </c>
      <c r="J7" s="59">
        <v>295</v>
      </c>
      <c r="K7" s="407">
        <v>439.54</v>
      </c>
      <c r="L7" s="43">
        <f>Master!F5</f>
        <v>1045.6791700000001</v>
      </c>
      <c r="M7" s="407">
        <v>619.44299999999998</v>
      </c>
      <c r="N7" s="407">
        <v>853.01300000000003</v>
      </c>
      <c r="O7" s="407">
        <v>987.3</v>
      </c>
      <c r="P7" s="407">
        <f>3555-M7-N7-O7</f>
        <v>1095.2439999999999</v>
      </c>
      <c r="Q7" s="43">
        <f>Master!G5</f>
        <v>3555.1709999999998</v>
      </c>
      <c r="R7" s="59">
        <v>1255.454</v>
      </c>
      <c r="S7" s="59">
        <v>1500.2</v>
      </c>
      <c r="T7" s="43">
        <f>T8+T9+T11+T10</f>
        <v>1627.6612842167765</v>
      </c>
      <c r="U7" s="43">
        <f>U8+U9+U11+U10</f>
        <v>1753.0311355075087</v>
      </c>
      <c r="V7" s="43">
        <f>Master!H5</f>
        <v>6136.3464197242847</v>
      </c>
      <c r="W7" s="43">
        <f>W8+W9+W11+W10</f>
        <v>1835.541027562331</v>
      </c>
      <c r="X7" s="43">
        <f>X8+X9+X11+X10</f>
        <v>1889.8850766547503</v>
      </c>
      <c r="Y7" s="43">
        <f>Y8+Y9+Y11+Y10</f>
        <v>1995.8744966315467</v>
      </c>
      <c r="Z7" s="43">
        <f>Z8+Z9+Z11+Z10</f>
        <v>2294.4999101543949</v>
      </c>
      <c r="AA7" s="43">
        <f>Master!I5</f>
        <v>8015.8005110030226</v>
      </c>
      <c r="AC7" s="257">
        <f t="shared" si="1"/>
        <v>-2.8985507246376829E-2</v>
      </c>
      <c r="AD7" s="257">
        <f t="shared" si="1"/>
        <v>1.0119695321001085</v>
      </c>
      <c r="AE7" s="257">
        <f t="shared" si="1"/>
        <v>3.2022792022792022</v>
      </c>
      <c r="AF7" s="257">
        <f t="shared" si="1"/>
        <v>3.9001114827201784</v>
      </c>
      <c r="AH7" s="257">
        <f t="shared" si="2"/>
        <v>3.8660094265514529</v>
      </c>
      <c r="AI7" s="257">
        <f t="shared" si="2"/>
        <v>3.6133747971876691</v>
      </c>
      <c r="AJ7" s="257">
        <f t="shared" si="2"/>
        <v>2.3467796610169489</v>
      </c>
      <c r="AK7" s="257">
        <f t="shared" si="2"/>
        <v>1.4917959685125357</v>
      </c>
      <c r="AL7" s="257"/>
      <c r="AM7" s="257">
        <f t="shared" si="3"/>
        <v>1.0267466094539772</v>
      </c>
      <c r="AN7" s="257">
        <f t="shared" si="3"/>
        <v>0.75870707714888286</v>
      </c>
      <c r="AO7" s="257">
        <f t="shared" si="3"/>
        <v>0.64859848497597139</v>
      </c>
      <c r="AP7" s="257">
        <f t="shared" si="3"/>
        <v>0.60058501622242066</v>
      </c>
    </row>
    <row r="8" spans="2:42" x14ac:dyDescent="0.6">
      <c r="B8" s="1009" t="s">
        <v>1301</v>
      </c>
      <c r="C8" s="29"/>
      <c r="D8" s="97"/>
      <c r="E8" s="59"/>
      <c r="F8" s="59"/>
      <c r="G8" s="59"/>
      <c r="H8" s="59">
        <v>61</v>
      </c>
      <c r="I8" s="407">
        <v>83</v>
      </c>
      <c r="J8" s="407">
        <v>94</v>
      </c>
      <c r="K8" s="407">
        <f>358-H8-I8-J8</f>
        <v>120</v>
      </c>
      <c r="M8" s="407">
        <v>190</v>
      </c>
      <c r="N8" s="407">
        <v>244</v>
      </c>
      <c r="O8" s="407">
        <v>262</v>
      </c>
      <c r="P8" s="407">
        <f>1015-M8-N8-O8</f>
        <v>319</v>
      </c>
      <c r="R8" s="59">
        <v>447.69600000000003</v>
      </c>
      <c r="S8" s="59">
        <v>594</v>
      </c>
      <c r="T8" s="43">
        <f>T21*AVERAGE(T203,S203)/4</f>
        <v>654.43000166112961</v>
      </c>
      <c r="U8" s="43">
        <f>V8-R8-S8-T8</f>
        <v>720.21692899002437</v>
      </c>
      <c r="V8" s="43">
        <f>'Revenue and Expenses breakdown'!G8</f>
        <v>2416.3429306511539</v>
      </c>
      <c r="W8" s="43">
        <f>W21*AVERAGE(W203,U203)/4</f>
        <v>743.56256477494878</v>
      </c>
      <c r="X8" s="43">
        <f t="shared" ref="X8:Y10" si="4">X21*AVERAGE(X203,W203)/4</f>
        <v>789.33875508842914</v>
      </c>
      <c r="Y8" s="43">
        <f t="shared" si="4"/>
        <v>861.38061105532222</v>
      </c>
      <c r="Z8" s="43">
        <f>AA8-W8-X8-Y8</f>
        <v>1058.2398798236559</v>
      </c>
      <c r="AA8" s="43">
        <f>'Revenue and Expenses breakdown'!H8</f>
        <v>3452.5218107423561</v>
      </c>
      <c r="AC8" s="257"/>
      <c r="AD8" s="257"/>
      <c r="AE8" s="257"/>
      <c r="AF8" s="257"/>
      <c r="AH8" s="257"/>
      <c r="AI8" s="257"/>
      <c r="AJ8" s="257"/>
      <c r="AK8" s="257"/>
      <c r="AL8" s="257"/>
      <c r="AM8" s="257"/>
      <c r="AN8" s="257"/>
      <c r="AO8" s="257"/>
      <c r="AP8" s="257"/>
    </row>
    <row r="9" spans="2:42" x14ac:dyDescent="0.6">
      <c r="B9" s="1009" t="s">
        <v>753</v>
      </c>
      <c r="C9" s="29"/>
      <c r="D9" s="97"/>
      <c r="E9" s="59"/>
      <c r="F9" s="59"/>
      <c r="G9" s="59"/>
      <c r="H9" s="59">
        <v>29</v>
      </c>
      <c r="I9" s="59">
        <v>47</v>
      </c>
      <c r="J9" s="407">
        <v>85</v>
      </c>
      <c r="K9" s="407">
        <f>293-H9-I9-J9</f>
        <v>132</v>
      </c>
      <c r="M9" s="407">
        <v>194</v>
      </c>
      <c r="N9" s="407">
        <v>228</v>
      </c>
      <c r="O9" s="407">
        <v>250</v>
      </c>
      <c r="P9" s="407">
        <f>932-M9-N9-O9</f>
        <v>260</v>
      </c>
      <c r="R9" s="59">
        <v>286</v>
      </c>
      <c r="S9" s="59">
        <v>353</v>
      </c>
      <c r="T9" s="43">
        <f>T22*AVERAGE(T204,S204)/4</f>
        <v>397.29378255564677</v>
      </c>
      <c r="U9" s="43">
        <f>V9-R9-S9-T9</f>
        <v>458.82156184102166</v>
      </c>
      <c r="V9" s="43">
        <f>'Revenue and Expenses breakdown'!G11</f>
        <v>1495.1153443966684</v>
      </c>
      <c r="W9" s="43">
        <f>W22*AVERAGE(W204,U204)/4</f>
        <v>484.02966248965362</v>
      </c>
      <c r="X9" s="43">
        <f t="shared" si="4"/>
        <v>504.69362461372441</v>
      </c>
      <c r="Y9" s="43">
        <f t="shared" si="4"/>
        <v>546.55221376869554</v>
      </c>
      <c r="Z9" s="43">
        <f>AA9-W9-X9-Y9</f>
        <v>675.29755176839876</v>
      </c>
      <c r="AA9" s="43">
        <f>'Revenue and Expenses breakdown'!H11</f>
        <v>2210.5730526404723</v>
      </c>
      <c r="AC9" s="257"/>
      <c r="AD9" s="257"/>
      <c r="AE9" s="257"/>
      <c r="AF9" s="257"/>
      <c r="AH9" s="257"/>
      <c r="AI9" s="257"/>
      <c r="AJ9" s="257"/>
      <c r="AK9" s="257"/>
      <c r="AL9" s="257"/>
      <c r="AM9" s="257"/>
      <c r="AN9" s="257"/>
      <c r="AO9" s="257"/>
      <c r="AP9" s="257"/>
    </row>
    <row r="10" spans="2:42" x14ac:dyDescent="0.6">
      <c r="B10" s="1105" t="s">
        <v>1335</v>
      </c>
      <c r="C10" s="29"/>
      <c r="D10" s="97"/>
      <c r="E10" s="59"/>
      <c r="F10" s="59"/>
      <c r="G10" s="59"/>
      <c r="H10" s="59"/>
      <c r="I10" s="59"/>
      <c r="J10" s="407"/>
      <c r="K10" s="407"/>
      <c r="M10" s="407"/>
      <c r="N10" s="407"/>
      <c r="O10" s="407"/>
      <c r="P10" s="407"/>
      <c r="T10" s="43">
        <f>T23*AVERAGE(T205,S205)/4</f>
        <v>5.9375</v>
      </c>
      <c r="U10" s="43">
        <f>V10-R10-S10-T10</f>
        <v>11.323872558406745</v>
      </c>
      <c r="V10" s="43">
        <f>'Revenue and Expenses breakdown'!G14</f>
        <v>17.261372558406745</v>
      </c>
      <c r="W10" s="43">
        <f>W23*AVERAGE(W205,V205)/4</f>
        <v>17.948800297728628</v>
      </c>
      <c r="X10" s="43">
        <f t="shared" si="4"/>
        <v>25.852696952596773</v>
      </c>
      <c r="Y10" s="43">
        <f t="shared" si="4"/>
        <v>37.941671807529076</v>
      </c>
      <c r="Z10" s="43">
        <f>AA10-W10-X10-Y10</f>
        <v>74.996727550157942</v>
      </c>
      <c r="AA10" s="43">
        <f>'Revenue and Expenses breakdown'!H14</f>
        <v>156.73989660801243</v>
      </c>
      <c r="AC10" s="257"/>
      <c r="AD10" s="257"/>
      <c r="AE10" s="257"/>
      <c r="AF10" s="257"/>
      <c r="AH10" s="257"/>
      <c r="AI10" s="257"/>
      <c r="AJ10" s="257"/>
      <c r="AK10" s="257"/>
      <c r="AL10" s="257"/>
      <c r="AM10" s="257"/>
      <c r="AN10" s="257"/>
      <c r="AO10" s="257"/>
      <c r="AP10" s="257"/>
    </row>
    <row r="11" spans="2:42" x14ac:dyDescent="0.6">
      <c r="B11" s="1009" t="s">
        <v>1302</v>
      </c>
      <c r="C11" s="29"/>
      <c r="D11" s="97"/>
      <c r="E11" s="59"/>
      <c r="F11" s="59"/>
      <c r="G11" s="59"/>
      <c r="H11" s="211">
        <f>H7-H8-H9</f>
        <v>37.299999999999997</v>
      </c>
      <c r="I11" s="211">
        <f>I7-I8-I9</f>
        <v>54.900000000000006</v>
      </c>
      <c r="J11" s="211">
        <f>J7-J8-J9</f>
        <v>116</v>
      </c>
      <c r="K11" s="211">
        <f>K7-K8-K9</f>
        <v>187.54000000000002</v>
      </c>
      <c r="M11" s="211">
        <f>M7-M8-M9</f>
        <v>235.44299999999998</v>
      </c>
      <c r="N11" s="211">
        <f>N7-N8-N9</f>
        <v>381.01300000000003</v>
      </c>
      <c r="O11" s="211">
        <f>O7-O8-O9</f>
        <v>475.29999999999995</v>
      </c>
      <c r="P11" s="211">
        <f>P7-P8-P9</f>
        <v>516.24399999999991</v>
      </c>
      <c r="R11" s="97">
        <f>R7-R8-R9</f>
        <v>521.75799999999992</v>
      </c>
      <c r="S11" s="97">
        <f>S7-S8-S9</f>
        <v>553.20000000000005</v>
      </c>
      <c r="T11" s="114">
        <v>570</v>
      </c>
      <c r="U11" s="43">
        <f>V11-R11-S11-T11</f>
        <v>562.66877211805581</v>
      </c>
      <c r="V11" s="43">
        <f>V7-V8-V9-V10</f>
        <v>2207.6267721180557</v>
      </c>
      <c r="W11" s="114">
        <v>590</v>
      </c>
      <c r="X11" s="114">
        <v>570</v>
      </c>
      <c r="Y11" s="114">
        <v>550</v>
      </c>
      <c r="Z11" s="43">
        <f>AA11-W11-X11-Y11</f>
        <v>485.96575101218195</v>
      </c>
      <c r="AA11" s="43">
        <f>AA7-AA8-AA9-AA10</f>
        <v>2195.965751012182</v>
      </c>
      <c r="AC11" s="257"/>
      <c r="AD11" s="257"/>
      <c r="AE11" s="257"/>
      <c r="AF11" s="257"/>
      <c r="AH11" s="257"/>
      <c r="AI11" s="257"/>
      <c r="AJ11" s="257"/>
      <c r="AK11" s="257"/>
      <c r="AL11" s="257"/>
      <c r="AM11" s="257"/>
      <c r="AN11" s="257"/>
      <c r="AO11" s="257"/>
      <c r="AP11" s="257"/>
    </row>
    <row r="12" spans="2:42" x14ac:dyDescent="0.6">
      <c r="B12" s="1155" t="s">
        <v>1472</v>
      </c>
      <c r="C12" s="29"/>
      <c r="D12" s="97"/>
      <c r="E12" s="59"/>
      <c r="F12" s="59"/>
      <c r="G12" s="59"/>
      <c r="H12" s="1015"/>
      <c r="I12" s="1015"/>
      <c r="J12" s="1015"/>
      <c r="K12" s="1015"/>
      <c r="M12" s="1015"/>
      <c r="N12" s="1015"/>
      <c r="O12" s="1015">
        <f>O11*4/AVERAGE(N187, O187)</f>
        <v>0.21383421437408615</v>
      </c>
      <c r="P12" s="1015">
        <f>P11*4/AVERAGE(O187, P187)</f>
        <v>0.21877063248225445</v>
      </c>
      <c r="R12" s="1015">
        <f>R11*4/AVERAGE(P187, R187)</f>
        <v>0.23367093993170238</v>
      </c>
      <c r="S12" s="1015">
        <f>S11*4/AVERAGE(Q187, S187)</f>
        <v>0.25395076605267691</v>
      </c>
      <c r="T12" s="1015">
        <f>T11*4/AVERAGE(S187, T187)</f>
        <v>0.23974259216420263</v>
      </c>
      <c r="U12" s="1015">
        <f>U11*4/AVERAGE(T187, U187)</f>
        <v>0.18564386429390825</v>
      </c>
      <c r="W12" s="1015">
        <f>W11*4/AVERAGE(V187, W187)</f>
        <v>0.17890903423303239</v>
      </c>
      <c r="X12" s="1015">
        <f>X11*4/AVERAGE(W187, X187)</f>
        <v>0.16230890510218002</v>
      </c>
      <c r="Y12" s="1015">
        <f>Y11*4/AVERAGE(X187, Y187)</f>
        <v>0.14873619798194065</v>
      </c>
      <c r="Z12" s="1015">
        <f>Z11*4/AVERAGE(Y187, Z187)</f>
        <v>0.12767421856869801</v>
      </c>
      <c r="AC12" s="257"/>
      <c r="AD12" s="257"/>
      <c r="AE12" s="257"/>
      <c r="AF12" s="257"/>
      <c r="AH12" s="257"/>
      <c r="AI12" s="257"/>
      <c r="AJ12" s="257"/>
      <c r="AK12" s="257"/>
      <c r="AL12" s="257"/>
      <c r="AM12" s="257"/>
      <c r="AN12" s="257"/>
      <c r="AO12" s="257"/>
      <c r="AP12" s="257"/>
    </row>
    <row r="13" spans="2:42" x14ac:dyDescent="0.6">
      <c r="B13" s="29"/>
      <c r="C13" s="29"/>
      <c r="D13" s="97"/>
      <c r="E13" s="59"/>
      <c r="F13" s="59"/>
      <c r="G13" s="59"/>
      <c r="H13" s="59"/>
      <c r="I13" s="59"/>
      <c r="J13" s="59"/>
      <c r="K13" s="407"/>
      <c r="M13" s="407"/>
      <c r="N13" s="407"/>
      <c r="O13" s="407"/>
      <c r="P13" s="407"/>
      <c r="T13" s="1186">
        <v>409</v>
      </c>
      <c r="U13" s="1186">
        <v>447</v>
      </c>
      <c r="W13" s="1186">
        <v>485</v>
      </c>
      <c r="X13" s="1186">
        <v>523</v>
      </c>
      <c r="Y13" s="1186">
        <v>574</v>
      </c>
      <c r="Z13" s="1186">
        <v>631</v>
      </c>
      <c r="AC13" s="257"/>
      <c r="AD13" s="257"/>
      <c r="AE13" s="257"/>
      <c r="AF13" s="257"/>
      <c r="AH13" s="257"/>
      <c r="AI13" s="257"/>
      <c r="AJ13" s="257"/>
      <c r="AK13" s="257"/>
      <c r="AL13" s="257"/>
      <c r="AM13" s="257"/>
      <c r="AN13" s="257"/>
      <c r="AO13" s="257"/>
      <c r="AP13" s="257"/>
    </row>
    <row r="14" spans="2:42" x14ac:dyDescent="0.6">
      <c r="B14" s="29" t="s">
        <v>88</v>
      </c>
      <c r="C14" s="29"/>
      <c r="D14" s="97">
        <f>Master!E6-G14-F14-E14</f>
        <v>85.000000000000028</v>
      </c>
      <c r="E14" s="59">
        <v>70.400000000000006</v>
      </c>
      <c r="F14" s="59">
        <v>85.9</v>
      </c>
      <c r="G14" s="59">
        <v>112.9</v>
      </c>
      <c r="H14" s="59">
        <v>117.7</v>
      </c>
      <c r="I14" s="59">
        <v>151.19999999999999</v>
      </c>
      <c r="J14" s="59">
        <v>185.9</v>
      </c>
      <c r="K14" s="407">
        <v>196.4</v>
      </c>
      <c r="M14" s="407">
        <v>257.82400000000001</v>
      </c>
      <c r="N14" s="407">
        <v>304.548</v>
      </c>
      <c r="O14" s="407">
        <v>319.60000000000002</v>
      </c>
      <c r="P14" s="407">
        <f>1237-M14-N14-O14</f>
        <v>355.02799999999991</v>
      </c>
      <c r="R14" s="59">
        <v>363</v>
      </c>
      <c r="S14" s="59">
        <v>368.4</v>
      </c>
      <c r="T14" s="43">
        <f>T15+T16</f>
        <v>400</v>
      </c>
      <c r="U14" s="43">
        <f>V14-T14-S14-R14</f>
        <v>465.06081721816497</v>
      </c>
      <c r="V14" s="43">
        <f>Master!H6</f>
        <v>1596.4608172181649</v>
      </c>
      <c r="W14" s="43">
        <f>W15+W16</f>
        <v>440</v>
      </c>
      <c r="X14" s="43">
        <f>X15+X16</f>
        <v>480</v>
      </c>
      <c r="Y14" s="43">
        <f>Y15+Y16</f>
        <v>520</v>
      </c>
      <c r="Z14" s="43">
        <f>AA14-Y14-X14-W14</f>
        <v>567.50049901966349</v>
      </c>
      <c r="AA14" s="43">
        <f>Master!I6</f>
        <v>2007.5004990196635</v>
      </c>
      <c r="AC14" s="257">
        <f>H14/D14-1</f>
        <v>0.38470588235294079</v>
      </c>
      <c r="AD14" s="257">
        <f>I14/E14-1</f>
        <v>1.1477272727272725</v>
      </c>
      <c r="AE14" s="257">
        <f>J14/F14-1</f>
        <v>1.1641443538998835</v>
      </c>
      <c r="AF14" s="257">
        <f>K14/G14-1</f>
        <v>0.73959255978742244</v>
      </c>
      <c r="AH14" s="257">
        <f>M14/H14-1</f>
        <v>1.1905182667799492</v>
      </c>
      <c r="AI14" s="257">
        <f>N14/I14-1</f>
        <v>1.0142063492063493</v>
      </c>
      <c r="AJ14" s="257">
        <f>O14/J14-1</f>
        <v>0.71920387305002698</v>
      </c>
      <c r="AK14" s="257">
        <f>P14/K14-1</f>
        <v>0.80767820773930699</v>
      </c>
      <c r="AL14" s="257"/>
      <c r="AM14" s="257">
        <f>R14/M14-1</f>
        <v>0.40793719746804014</v>
      </c>
      <c r="AN14" s="257">
        <f>S14/N14-1</f>
        <v>0.20966153118720188</v>
      </c>
      <c r="AO14" s="257">
        <f>T14/O14-1</f>
        <v>0.25156445556946183</v>
      </c>
      <c r="AP14" s="257">
        <f>U14/P14-1</f>
        <v>0.30992715283911432</v>
      </c>
    </row>
    <row r="15" spans="2:42" x14ac:dyDescent="0.6">
      <c r="B15" s="1099" t="s">
        <v>1323</v>
      </c>
      <c r="C15" s="29"/>
      <c r="D15" s="97"/>
      <c r="E15" s="59"/>
      <c r="F15" s="59"/>
      <c r="G15" s="59"/>
      <c r="H15" s="407">
        <f>321-I15-J15</f>
        <v>84</v>
      </c>
      <c r="I15" s="59">
        <v>107</v>
      </c>
      <c r="J15" s="59">
        <v>130</v>
      </c>
      <c r="K15" s="407">
        <f>472-H15-I15-J15</f>
        <v>151</v>
      </c>
      <c r="M15" s="407">
        <f>658-N15-O15</f>
        <v>189</v>
      </c>
      <c r="N15" s="407">
        <v>225</v>
      </c>
      <c r="O15" s="407">
        <v>244</v>
      </c>
      <c r="P15" s="407">
        <f>917-M15-N15-O15</f>
        <v>259</v>
      </c>
      <c r="R15" s="59">
        <v>265.39999999999998</v>
      </c>
      <c r="S15" s="59">
        <v>271</v>
      </c>
      <c r="T15" s="1100">
        <v>295</v>
      </c>
      <c r="U15" s="43">
        <f>V15-T15-S15-R15</f>
        <v>336.92324544974929</v>
      </c>
      <c r="V15" s="43">
        <f>'Revenue and Expenses breakdown'!G28</f>
        <v>1168.3232454497493</v>
      </c>
      <c r="W15" s="1100">
        <v>330</v>
      </c>
      <c r="X15" s="1100">
        <v>350</v>
      </c>
      <c r="Y15" s="1100">
        <v>370</v>
      </c>
      <c r="Z15" s="43">
        <f>AA15-Y15-X15-W15</f>
        <v>375.98365661401385</v>
      </c>
      <c r="AA15" s="43">
        <f>'Revenue and Expenses breakdown'!H28</f>
        <v>1425.9836566140139</v>
      </c>
      <c r="AC15" s="257"/>
      <c r="AD15" s="257"/>
      <c r="AE15" s="257"/>
      <c r="AF15" s="257"/>
      <c r="AH15" s="257"/>
      <c r="AI15" s="257"/>
      <c r="AJ15" s="257"/>
      <c r="AK15" s="257"/>
      <c r="AL15" s="257"/>
      <c r="AM15" s="257"/>
      <c r="AN15" s="257"/>
      <c r="AO15" s="257"/>
      <c r="AP15" s="257"/>
    </row>
    <row r="16" spans="2:42" x14ac:dyDescent="0.6">
      <c r="B16" s="1099" t="s">
        <v>1324</v>
      </c>
      <c r="C16" s="29"/>
      <c r="D16" s="97"/>
      <c r="E16" s="59"/>
      <c r="F16" s="59"/>
      <c r="G16" s="59"/>
      <c r="H16" s="211">
        <f>H14-H15</f>
        <v>33.700000000000003</v>
      </c>
      <c r="I16" s="211">
        <f>I14-I15</f>
        <v>44.199999999999989</v>
      </c>
      <c r="J16" s="211">
        <f>J14-J15</f>
        <v>55.900000000000006</v>
      </c>
      <c r="K16" s="211">
        <f>K14-K15</f>
        <v>45.400000000000006</v>
      </c>
      <c r="L16" s="97"/>
      <c r="M16" s="211">
        <f>M14-M15</f>
        <v>68.824000000000012</v>
      </c>
      <c r="N16" s="211">
        <f>N14-N15</f>
        <v>79.548000000000002</v>
      </c>
      <c r="O16" s="211">
        <f>O14-O15</f>
        <v>75.600000000000023</v>
      </c>
      <c r="P16" s="211">
        <f>P14-P15</f>
        <v>96.027999999999906</v>
      </c>
      <c r="Q16" s="97"/>
      <c r="R16" s="211">
        <f>R14-R15</f>
        <v>97.600000000000023</v>
      </c>
      <c r="S16" s="211">
        <f>S14-S15</f>
        <v>97.399999999999977</v>
      </c>
      <c r="T16" s="1100">
        <v>105</v>
      </c>
      <c r="U16" s="277">
        <f>V16-T16-S16-R16</f>
        <v>128.13757176841568</v>
      </c>
      <c r="V16" s="43">
        <f>'Revenue and Expenses breakdown'!G33</f>
        <v>428.13757176841568</v>
      </c>
      <c r="W16" s="1100">
        <v>110</v>
      </c>
      <c r="X16" s="1100">
        <v>130</v>
      </c>
      <c r="Y16" s="1100">
        <v>150</v>
      </c>
      <c r="Z16" s="277">
        <f>AA16-Y16-X16-W16</f>
        <v>191.51684240564975</v>
      </c>
      <c r="AA16" s="43">
        <f>'Revenue and Expenses breakdown'!H33</f>
        <v>581.51684240564975</v>
      </c>
      <c r="AC16" s="257"/>
      <c r="AD16" s="257"/>
      <c r="AE16" s="257"/>
      <c r="AF16" s="257"/>
      <c r="AH16" s="257"/>
      <c r="AI16" s="257"/>
      <c r="AJ16" s="257"/>
      <c r="AK16" s="257"/>
      <c r="AL16" s="257"/>
      <c r="AM16" s="257"/>
      <c r="AN16" s="257"/>
      <c r="AO16" s="257"/>
      <c r="AP16" s="257"/>
    </row>
    <row r="17" spans="2:42" x14ac:dyDescent="0.6">
      <c r="B17" s="17"/>
      <c r="C17" s="17"/>
      <c r="K17" s="277"/>
      <c r="M17" s="277"/>
      <c r="N17" s="277"/>
      <c r="O17" s="277"/>
      <c r="AC17" s="510"/>
      <c r="AD17" s="257"/>
      <c r="AE17" s="257"/>
      <c r="AF17" s="257"/>
      <c r="AH17" s="257"/>
      <c r="AI17" s="257"/>
      <c r="AJ17" s="257"/>
      <c r="AK17" s="257"/>
      <c r="AL17" s="257"/>
      <c r="AM17" s="257"/>
      <c r="AN17" s="257"/>
      <c r="AO17" s="257"/>
      <c r="AP17" s="257"/>
    </row>
    <row r="18" spans="2:42" x14ac:dyDescent="0.6">
      <c r="B18" s="426" t="s">
        <v>1164</v>
      </c>
      <c r="C18" s="426"/>
      <c r="E18" s="427"/>
      <c r="F18" s="427"/>
      <c r="G18" s="1011">
        <f>G7*4/AVERAGE(F206,G206)</f>
        <v>0.10807228915662651</v>
      </c>
      <c r="H18" s="1011">
        <f>H7*4/AVERAGE(G206,H206)</f>
        <v>0.15386009971294756</v>
      </c>
      <c r="I18" s="1011">
        <f>I7*4/AVERAGE(H206,I206)</f>
        <v>0.18540987716219604</v>
      </c>
      <c r="J18" s="1011">
        <f>J7*4/AVERAGE(I206,J206)</f>
        <v>0.2371859296482412</v>
      </c>
      <c r="K18" s="1011">
        <f>K7*4/AVERAGE(J206,K206)</f>
        <v>0.29712388118661293</v>
      </c>
      <c r="L18" s="56"/>
      <c r="M18" s="1012">
        <f>M7*4/AVERAGE(L206,M206)</f>
        <v>0.28086574005694231</v>
      </c>
      <c r="N18" s="1012">
        <f>N7*4/AVERAGE(M206,N206)</f>
        <v>0.38030472845212815</v>
      </c>
      <c r="O18" s="1012">
        <f>O7*4/AVERAGE(N206,O206)</f>
        <v>0.41926065975164017</v>
      </c>
      <c r="P18" s="1012">
        <f>P7*4/AVERAGE(O206,P206)</f>
        <v>0.41775288813434647</v>
      </c>
      <c r="Q18" s="487"/>
      <c r="R18" s="1012">
        <f>R7*4/AVERAGE(P206,R206)</f>
        <v>0.41731964931233639</v>
      </c>
      <c r="S18" s="1012">
        <f>S7*4/AVERAGE(R206,S206)</f>
        <v>0.43383458646616541</v>
      </c>
      <c r="T18" s="1012">
        <f>T7*4/AVERAGE(S206,T206)</f>
        <v>0.42480620564062987</v>
      </c>
      <c r="U18" s="1012">
        <f>U7*4/AVERAGE(T206,U206)</f>
        <v>0.41245109781060257</v>
      </c>
      <c r="V18" s="1012"/>
      <c r="W18" s="1012">
        <f>W7*4/AVERAGE(U206,W206)</f>
        <v>0.39643298981086894</v>
      </c>
      <c r="X18" s="1012">
        <f>X7*4/AVERAGE(W206,X206)</f>
        <v>0.38319237402914141</v>
      </c>
      <c r="Y18" s="1012">
        <f>Y7*4/AVERAGE(X206,Y206)</f>
        <v>0.36805268857706497</v>
      </c>
      <c r="Z18" s="1012">
        <f>Z7*4/AVERAGE(Y206,Z206)</f>
        <v>0.37863380320161627</v>
      </c>
      <c r="AA18" s="429"/>
      <c r="AC18" s="510"/>
      <c r="AD18" s="257"/>
      <c r="AE18" s="257"/>
      <c r="AF18" s="257"/>
      <c r="AH18" s="257"/>
      <c r="AI18" s="257"/>
      <c r="AJ18" s="257"/>
      <c r="AK18" s="257"/>
      <c r="AL18" s="257"/>
      <c r="AM18" s="257"/>
      <c r="AN18" s="257"/>
      <c r="AO18" s="257"/>
      <c r="AP18" s="257"/>
    </row>
    <row r="19" spans="2:42" x14ac:dyDescent="0.6">
      <c r="B19" s="426" t="s">
        <v>1165</v>
      </c>
      <c r="C19" s="426"/>
      <c r="E19" s="427"/>
      <c r="F19" s="427"/>
      <c r="G19" s="1011"/>
      <c r="H19" s="1011"/>
      <c r="I19" s="1012">
        <f>I7*4/AVERAGE(H179,I179)</f>
        <v>0.73960000000000004</v>
      </c>
      <c r="J19" s="1012">
        <f>J7*4/AVERAGE(I179,J179)</f>
        <v>0.98333333333333328</v>
      </c>
      <c r="K19" s="1012">
        <f>K7*4/AVERAGE(J179,K179)</f>
        <v>1.0342117647058824</v>
      </c>
      <c r="L19" s="56"/>
      <c r="M19" s="1012">
        <f>M7*4/AVERAGE(K179,M179)</f>
        <v>0.97167529411764708</v>
      </c>
      <c r="N19" s="1012">
        <f>N7*4/AVERAGE(M179,N179)</f>
        <v>1.0831911111111112</v>
      </c>
      <c r="O19" s="1012">
        <f>O7*4/AVERAGE(N179,O179)</f>
        <v>1.1788656716417909</v>
      </c>
      <c r="P19" s="1012">
        <f>P7*4/AVERAGE(O179,P179)</f>
        <v>1.1682602666666666</v>
      </c>
      <c r="Q19" s="487"/>
      <c r="R19" s="1012">
        <f>R7*4/AVERAGE(P179,R179)</f>
        <v>1.0916991304347825</v>
      </c>
      <c r="S19" s="1012">
        <f>S7*4/AVERAGE(R179,S179)</f>
        <v>1.0436173913043478</v>
      </c>
      <c r="T19" s="1012">
        <f>T7*4/AVERAGE(S179,T179)</f>
        <v>1.0334357360106516</v>
      </c>
      <c r="U19" s="1012"/>
      <c r="V19" s="429"/>
      <c r="W19" s="429"/>
      <c r="X19" s="429"/>
      <c r="Y19" s="429"/>
      <c r="Z19" s="429"/>
      <c r="AA19" s="429"/>
      <c r="AC19" s="510"/>
      <c r="AD19" s="257"/>
      <c r="AE19" s="257"/>
      <c r="AF19" s="257"/>
      <c r="AH19" s="257"/>
      <c r="AI19" s="257"/>
      <c r="AJ19" s="257"/>
      <c r="AK19" s="257"/>
      <c r="AL19" s="257"/>
      <c r="AM19" s="257"/>
      <c r="AN19" s="257"/>
      <c r="AO19" s="257"/>
      <c r="AP19" s="257"/>
    </row>
    <row r="20" spans="2:42" x14ac:dyDescent="0.6">
      <c r="B20" s="426"/>
      <c r="C20" s="426"/>
      <c r="E20" s="427"/>
      <c r="F20" s="427"/>
      <c r="G20" s="428"/>
      <c r="H20" s="428"/>
      <c r="I20" s="533"/>
      <c r="J20" s="533"/>
      <c r="K20" s="533"/>
      <c r="L20" s="59"/>
      <c r="M20" s="533"/>
      <c r="N20" s="533"/>
      <c r="O20" s="533"/>
      <c r="P20" s="533"/>
      <c r="Q20" s="487"/>
      <c r="R20" s="487"/>
      <c r="S20" s="487"/>
      <c r="T20" s="429"/>
      <c r="U20" s="429"/>
      <c r="V20" s="429"/>
      <c r="W20" s="429"/>
      <c r="X20" s="429"/>
      <c r="Y20" s="429"/>
      <c r="Z20" s="429"/>
      <c r="AA20" s="429"/>
      <c r="AC20" s="510"/>
      <c r="AD20" s="257"/>
      <c r="AE20" s="257"/>
      <c r="AF20" s="257"/>
      <c r="AH20" s="257"/>
      <c r="AI20" s="257"/>
      <c r="AJ20" s="257"/>
      <c r="AK20" s="257"/>
      <c r="AL20" s="257"/>
      <c r="AM20" s="257"/>
      <c r="AN20" s="257"/>
      <c r="AO20" s="257"/>
      <c r="AP20" s="257"/>
    </row>
    <row r="21" spans="2:42" x14ac:dyDescent="0.6">
      <c r="B21" s="1014" t="s">
        <v>1303</v>
      </c>
      <c r="C21" s="426"/>
      <c r="E21" s="427"/>
      <c r="F21" s="427"/>
      <c r="G21" s="428"/>
      <c r="H21" s="1013">
        <f t="shared" ref="H21:K22" si="5">H8*4/AVERAGE(G203,H203)</f>
        <v>7.9816813869807005E-2</v>
      </c>
      <c r="I21" s="1013">
        <f t="shared" si="5"/>
        <v>9.3758825190624118E-2</v>
      </c>
      <c r="J21" s="1013">
        <f t="shared" si="5"/>
        <v>8.8941454760496752E-2</v>
      </c>
      <c r="K21" s="1013">
        <f t="shared" si="5"/>
        <v>0.10063759155793177</v>
      </c>
      <c r="L21" s="59"/>
      <c r="M21" s="1013">
        <f t="shared" ref="M21:P22" si="6">M8*4/AVERAGE(L203,M203)</f>
        <v>0.11152838052426851</v>
      </c>
      <c r="N21" s="1013">
        <f t="shared" si="6"/>
        <v>0.13952598049524004</v>
      </c>
      <c r="O21" s="1013">
        <f t="shared" si="6"/>
        <v>0.139844379093292</v>
      </c>
      <c r="P21" s="1013">
        <f t="shared" si="6"/>
        <v>0.14927230919114998</v>
      </c>
      <c r="Q21" s="487"/>
      <c r="R21" s="1013">
        <f>R8*4/AVERAGE(P203,R203)</f>
        <v>0.18127178864257518</v>
      </c>
      <c r="S21" s="1013">
        <f>S8*4/AVERAGE(R203,S203)</f>
        <v>0.2108626198083067</v>
      </c>
      <c r="T21" s="1010">
        <v>0.21199999999999999</v>
      </c>
      <c r="U21" s="1013">
        <f>U8*4/AVERAGE(T203,U203)</f>
        <v>0.21400356258593262</v>
      </c>
      <c r="V21" s="429"/>
      <c r="W21" s="1010">
        <v>0.20499999999999999</v>
      </c>
      <c r="X21" s="1010">
        <v>0.20499999999999999</v>
      </c>
      <c r="Y21" s="1010">
        <v>0.20499999999999999</v>
      </c>
      <c r="Z21" s="1013">
        <f>Z8*4/AVERAGE(Y203,Z203)</f>
        <v>0.22923332341468147</v>
      </c>
      <c r="AA21" s="429"/>
      <c r="AC21" s="510"/>
      <c r="AD21" s="257"/>
      <c r="AE21" s="257"/>
      <c r="AF21" s="257"/>
      <c r="AH21" s="257"/>
      <c r="AI21" s="257"/>
      <c r="AJ21" s="257"/>
      <c r="AK21" s="257"/>
      <c r="AL21" s="257"/>
      <c r="AM21" s="257"/>
      <c r="AN21" s="257"/>
      <c r="AO21" s="257"/>
      <c r="AP21" s="257"/>
    </row>
    <row r="22" spans="2:42" x14ac:dyDescent="0.6">
      <c r="B22" s="1014" t="s">
        <v>1304</v>
      </c>
      <c r="C22" s="426"/>
      <c r="E22" s="427"/>
      <c r="F22" s="427"/>
      <c r="G22" s="428"/>
      <c r="H22" s="1013">
        <f t="shared" si="5"/>
        <v>0.45940594059405943</v>
      </c>
      <c r="I22" s="1013">
        <f t="shared" si="5"/>
        <v>0.41964285714285715</v>
      </c>
      <c r="J22" s="1013">
        <f t="shared" si="5"/>
        <v>0.45484949832775917</v>
      </c>
      <c r="K22" s="1013">
        <f t="shared" si="5"/>
        <v>0.46006135894109212</v>
      </c>
      <c r="L22" s="59"/>
      <c r="M22" s="1013">
        <f t="shared" si="6"/>
        <v>0.38655043586550436</v>
      </c>
      <c r="N22" s="1013">
        <f t="shared" si="6"/>
        <v>0.4613571640496536</v>
      </c>
      <c r="O22" s="1013">
        <f t="shared" si="6"/>
        <v>0.51937421639415093</v>
      </c>
      <c r="P22" s="1013">
        <f t="shared" si="6"/>
        <v>0.53639560207182801</v>
      </c>
      <c r="Q22" s="487"/>
      <c r="R22" s="1013">
        <f>R9*4/AVERAGE(P204,R204)</f>
        <v>0.53098166627987931</v>
      </c>
      <c r="S22" s="1013">
        <f>S9*4/AVERAGE(R204,S204)</f>
        <v>0.55070202808112323</v>
      </c>
      <c r="T22" s="1010">
        <v>0.54500000000000004</v>
      </c>
      <c r="U22" s="1013">
        <f>U9*4/AVERAGE(T204,U204)</f>
        <v>0.55146394976942714</v>
      </c>
      <c r="V22" s="429"/>
      <c r="W22" s="1010">
        <v>0.53</v>
      </c>
      <c r="X22" s="1010">
        <v>0.53</v>
      </c>
      <c r="Y22" s="1010">
        <v>0.53</v>
      </c>
      <c r="Z22" s="1013">
        <f>Z9*4/AVERAGE(Y204,Z204)</f>
        <v>0.57628972844250059</v>
      </c>
      <c r="AA22" s="429"/>
      <c r="AC22" s="510"/>
      <c r="AD22" s="257"/>
      <c r="AE22" s="257"/>
      <c r="AF22" s="257"/>
      <c r="AH22" s="257"/>
      <c r="AI22" s="257"/>
      <c r="AJ22" s="257"/>
      <c r="AK22" s="257"/>
      <c r="AL22" s="257"/>
      <c r="AM22" s="257"/>
      <c r="AN22" s="257"/>
      <c r="AO22" s="257"/>
      <c r="AP22" s="257"/>
    </row>
    <row r="23" spans="2:42" x14ac:dyDescent="0.6">
      <c r="B23" s="1014" t="s">
        <v>1334</v>
      </c>
      <c r="C23" s="426"/>
      <c r="E23" s="427"/>
      <c r="F23" s="427"/>
      <c r="G23" s="428"/>
      <c r="H23" s="1013"/>
      <c r="I23" s="1013"/>
      <c r="J23" s="1013"/>
      <c r="K23" s="1013"/>
      <c r="L23" s="59"/>
      <c r="M23" s="1013"/>
      <c r="N23" s="1013"/>
      <c r="O23" s="1013"/>
      <c r="P23" s="1013"/>
      <c r="Q23" s="487"/>
      <c r="R23" s="487"/>
      <c r="S23" s="487"/>
      <c r="T23" s="1010">
        <v>0.19</v>
      </c>
      <c r="U23" s="1013">
        <f>U10*4/AVERAGE(T205,U205)</f>
        <v>0.21436077700588224</v>
      </c>
      <c r="V23" s="429"/>
      <c r="W23" s="1010">
        <v>0.2</v>
      </c>
      <c r="X23" s="1010">
        <v>0.2</v>
      </c>
      <c r="Y23" s="1010">
        <v>0.2</v>
      </c>
      <c r="Z23" s="1013">
        <f>Z10*4/AVERAGE(Y205,Z205)</f>
        <v>0.27601624760228738</v>
      </c>
      <c r="AA23" s="429"/>
      <c r="AC23" s="510"/>
      <c r="AD23" s="257"/>
      <c r="AE23" s="257"/>
      <c r="AF23" s="257"/>
      <c r="AH23" s="257"/>
      <c r="AI23" s="257"/>
      <c r="AJ23" s="257"/>
      <c r="AK23" s="257"/>
      <c r="AL23" s="257"/>
      <c r="AM23" s="257"/>
      <c r="AN23" s="257"/>
      <c r="AO23" s="257"/>
      <c r="AP23" s="257"/>
    </row>
    <row r="24" spans="2:42" x14ac:dyDescent="0.6">
      <c r="B24" s="17"/>
      <c r="C24" s="17"/>
      <c r="K24" s="277"/>
      <c r="M24" s="277"/>
      <c r="N24" s="277"/>
      <c r="O24" s="277"/>
      <c r="T24" s="1186">
        <v>-487</v>
      </c>
      <c r="U24" s="1186">
        <v>-494</v>
      </c>
      <c r="W24" s="1186">
        <v>-492</v>
      </c>
      <c r="X24" s="1186">
        <v>-490</v>
      </c>
      <c r="Y24" s="1186">
        <v>-496</v>
      </c>
      <c r="Z24" s="1186">
        <v>-519</v>
      </c>
      <c r="AC24" s="510"/>
      <c r="AD24" s="257"/>
      <c r="AE24" s="257"/>
      <c r="AF24" s="257"/>
      <c r="AH24" s="257"/>
      <c r="AI24" s="257"/>
      <c r="AJ24" s="257"/>
      <c r="AK24" s="257"/>
      <c r="AL24" s="257"/>
      <c r="AM24" s="257"/>
      <c r="AN24" s="257"/>
      <c r="AO24" s="257"/>
      <c r="AP24" s="257"/>
    </row>
    <row r="25" spans="2:42" x14ac:dyDescent="0.6">
      <c r="B25" s="29" t="s">
        <v>89</v>
      </c>
      <c r="C25" s="29"/>
      <c r="D25" s="59"/>
      <c r="E25" s="59">
        <v>-25.3</v>
      </c>
      <c r="F25" s="59">
        <v>-24</v>
      </c>
      <c r="G25" s="59">
        <v>-31.4</v>
      </c>
      <c r="H25" s="59">
        <v>-31.7</v>
      </c>
      <c r="I25" s="59">
        <v>-57.2</v>
      </c>
      <c r="J25" s="59">
        <v>-101.4</v>
      </c>
      <c r="K25" s="407">
        <v>-177</v>
      </c>
      <c r="L25" s="43">
        <f>Master!F8</f>
        <v>-367.34399999999999</v>
      </c>
      <c r="M25" s="407">
        <v>-273.00299999999999</v>
      </c>
      <c r="N25" s="407">
        <v>-407.5</v>
      </c>
      <c r="O25" s="407">
        <v>-459.9</v>
      </c>
      <c r="P25" s="59">
        <f>-1547-M25-N25-O25</f>
        <v>-406.59700000000009</v>
      </c>
      <c r="Q25" s="43">
        <f>Master!G8</f>
        <v>-1548</v>
      </c>
      <c r="R25" s="59">
        <v>-440.12099999999998</v>
      </c>
      <c r="S25" s="59">
        <v>-453.4</v>
      </c>
      <c r="T25" s="43">
        <f>T26+T27</f>
        <v>-492.5575</v>
      </c>
      <c r="U25" s="43">
        <f>V25-T25-S25-R25</f>
        <v>-483.49315057081571</v>
      </c>
      <c r="V25" s="43">
        <f>Master!H8</f>
        <v>-1869.5716505708156</v>
      </c>
      <c r="W25" s="43">
        <f>W26+W27</f>
        <v>-490.59525228758173</v>
      </c>
      <c r="X25" s="43">
        <f>X26+X27</f>
        <v>-464.81718954248367</v>
      </c>
      <c r="Y25" s="43">
        <f>Y26+Y27</f>
        <v>-469.42450196078431</v>
      </c>
      <c r="Z25" s="43">
        <f>AA25-Y25-X25-W25</f>
        <v>-443.35786260907651</v>
      </c>
      <c r="AA25" s="43">
        <f>Master!I8</f>
        <v>-1868.1948063999262</v>
      </c>
      <c r="AC25" s="510"/>
      <c r="AD25" s="257">
        <f>I25/E25-1</f>
        <v>1.2608695652173916</v>
      </c>
      <c r="AE25" s="257">
        <f>J25/F25-1</f>
        <v>3.2250000000000005</v>
      </c>
      <c r="AF25" s="257">
        <f>K25/G25-1</f>
        <v>4.6369426751592355</v>
      </c>
      <c r="AH25" s="257">
        <f>M25/H25-1</f>
        <v>7.6120820189274454</v>
      </c>
      <c r="AI25" s="257">
        <f>N25/I25-1</f>
        <v>6.1241258741258742</v>
      </c>
      <c r="AJ25" s="257">
        <f>O25/J25-1</f>
        <v>3.5355029585798814</v>
      </c>
      <c r="AK25" s="257">
        <f>P25/K25-1</f>
        <v>1.2971581920903961</v>
      </c>
      <c r="AL25" s="257"/>
      <c r="AM25" s="257">
        <f>R25/M25-1</f>
        <v>0.61214711926242571</v>
      </c>
      <c r="AN25" s="257">
        <f>S25/N25-1</f>
        <v>0.11263803680981588</v>
      </c>
      <c r="AO25" s="257">
        <f>T25/O25-1</f>
        <v>7.10100021743858E-2</v>
      </c>
      <c r="AP25" s="257">
        <f>U25/P25-1</f>
        <v>0.18912129349408779</v>
      </c>
    </row>
    <row r="26" spans="2:42" x14ac:dyDescent="0.6">
      <c r="B26" s="931" t="s">
        <v>1244</v>
      </c>
      <c r="C26" s="29"/>
      <c r="D26" s="59"/>
      <c r="E26" s="59"/>
      <c r="F26" s="59"/>
      <c r="G26" s="59"/>
      <c r="H26" s="407">
        <f>-165.6-I26-J26</f>
        <v>-25.5</v>
      </c>
      <c r="I26" s="59">
        <v>-49.1</v>
      </c>
      <c r="J26" s="59">
        <v>-91</v>
      </c>
      <c r="K26" s="407">
        <f>L26-H26-I26-J26</f>
        <v>-151.79999999999998</v>
      </c>
      <c r="L26" s="43">
        <v>-317.39999999999998</v>
      </c>
      <c r="M26" s="407">
        <f>-1040.4-N26-O26</f>
        <v>-246.30000000000013</v>
      </c>
      <c r="N26" s="407">
        <v>-363.8</v>
      </c>
      <c r="O26" s="407">
        <v>-430.3</v>
      </c>
      <c r="P26" s="59">
        <f>-1408-M26-N26-O26</f>
        <v>-367.59999999999985</v>
      </c>
      <c r="R26" s="59">
        <v>-395</v>
      </c>
      <c r="S26" s="59">
        <v>-401</v>
      </c>
      <c r="T26" s="43">
        <f>-T30*AVERAGE(S182,T182)/4</f>
        <v>-442.5575</v>
      </c>
      <c r="U26" s="43">
        <f>V26-R26-S26-T26</f>
        <v>-431.01415057081556</v>
      </c>
      <c r="V26" s="43">
        <f>'Revenue and Expenses breakdown'!G66</f>
        <v>-1669.5716505708156</v>
      </c>
      <c r="W26" s="43">
        <f>-W30*AVERAGE(V182,W182)/4</f>
        <v>-450.59525228758173</v>
      </c>
      <c r="X26" s="43">
        <f>-X30*AVERAGE(W182,X182)/4</f>
        <v>-424.81718954248367</v>
      </c>
      <c r="Y26" s="43">
        <f>-Y30*AVERAGE(X182,Y182)/4</f>
        <v>-429.42450196078431</v>
      </c>
      <c r="Z26" s="43">
        <f>AA26-W26-X26-Y26</f>
        <v>-343.35786260907634</v>
      </c>
      <c r="AA26" s="43">
        <f>'Revenue and Expenses breakdown'!H66</f>
        <v>-1648.1948063999262</v>
      </c>
      <c r="AC26" s="510"/>
      <c r="AD26" s="257"/>
      <c r="AE26" s="257"/>
      <c r="AF26" s="257"/>
      <c r="AH26" s="257"/>
      <c r="AI26" s="257"/>
      <c r="AJ26" s="257"/>
      <c r="AK26" s="257"/>
      <c r="AL26" s="257"/>
      <c r="AM26" s="257"/>
      <c r="AN26" s="257"/>
      <c r="AO26" s="257"/>
      <c r="AP26" s="257"/>
    </row>
    <row r="27" spans="2:42" x14ac:dyDescent="0.6">
      <c r="B27" s="931" t="s">
        <v>1245</v>
      </c>
      <c r="C27" s="29"/>
      <c r="D27" s="59"/>
      <c r="E27" s="59"/>
      <c r="F27" s="59"/>
      <c r="G27" s="59"/>
      <c r="H27" s="43">
        <f>H25-H26</f>
        <v>-6.1999999999999993</v>
      </c>
      <c r="I27" s="43">
        <f>I25-I26</f>
        <v>-8.1000000000000014</v>
      </c>
      <c r="J27" s="43">
        <f>J25-J26</f>
        <v>-10.400000000000006</v>
      </c>
      <c r="K27" s="43">
        <f>K25-K26</f>
        <v>-25.200000000000017</v>
      </c>
      <c r="M27" s="43">
        <f>M25-M26</f>
        <v>-26.702999999999861</v>
      </c>
      <c r="N27" s="43">
        <f>N25-N26</f>
        <v>-43.699999999999989</v>
      </c>
      <c r="O27" s="43">
        <f>O25-O26</f>
        <v>-29.599999999999966</v>
      </c>
      <c r="P27" s="43">
        <f>P25-P26</f>
        <v>-38.997000000000241</v>
      </c>
      <c r="R27" s="43">
        <f>R25-R26</f>
        <v>-45.120999999999981</v>
      </c>
      <c r="S27" s="43">
        <f>S25-S26</f>
        <v>-52.399999999999977</v>
      </c>
      <c r="T27" s="59">
        <v>-50</v>
      </c>
      <c r="U27" s="43">
        <f>V27-R27-S27-T27</f>
        <v>-52.479000000000042</v>
      </c>
      <c r="V27" s="43">
        <f>'Revenue and Expenses breakdown'!G72</f>
        <v>-200</v>
      </c>
      <c r="W27" s="59">
        <v>-40</v>
      </c>
      <c r="X27" s="59">
        <v>-40</v>
      </c>
      <c r="Y27" s="59">
        <v>-40</v>
      </c>
      <c r="Z27" s="43">
        <f>AA27-W27-X27-Y27</f>
        <v>-100.00000000000003</v>
      </c>
      <c r="AA27" s="43">
        <f>'Revenue and Expenses breakdown'!H72</f>
        <v>-220.00000000000003</v>
      </c>
      <c r="AC27" s="510"/>
      <c r="AD27" s="257"/>
      <c r="AE27" s="257"/>
      <c r="AF27" s="257"/>
      <c r="AH27" s="257"/>
      <c r="AI27" s="257"/>
      <c r="AJ27" s="257"/>
      <c r="AK27" s="257"/>
      <c r="AL27" s="257"/>
      <c r="AM27" s="257"/>
      <c r="AN27" s="257"/>
      <c r="AO27" s="257"/>
      <c r="AP27" s="257"/>
    </row>
    <row r="28" spans="2:42" x14ac:dyDescent="0.6">
      <c r="B28" s="29"/>
      <c r="C28" s="29"/>
      <c r="D28" s="59"/>
      <c r="E28" s="59"/>
      <c r="F28" s="59"/>
      <c r="G28" s="59"/>
      <c r="H28" s="59"/>
      <c r="I28" s="59"/>
      <c r="J28" s="59"/>
      <c r="K28" s="407"/>
      <c r="M28" s="407"/>
      <c r="N28" s="407"/>
      <c r="O28" s="407"/>
      <c r="AC28" s="510"/>
      <c r="AD28" s="257"/>
      <c r="AE28" s="257"/>
      <c r="AF28" s="257"/>
      <c r="AH28" s="257"/>
      <c r="AI28" s="257"/>
      <c r="AJ28" s="257"/>
      <c r="AK28" s="257"/>
      <c r="AL28" s="257"/>
      <c r="AM28" s="257"/>
      <c r="AN28" s="257"/>
      <c r="AO28" s="257"/>
      <c r="AP28" s="257"/>
    </row>
    <row r="29" spans="2:42" x14ac:dyDescent="0.6">
      <c r="B29" s="426" t="s">
        <v>798</v>
      </c>
      <c r="C29" s="426"/>
      <c r="D29" s="38"/>
      <c r="E29" s="38"/>
      <c r="F29" s="38"/>
      <c r="G29" s="429">
        <f>-G25*4/AVERAGE(F182:G182)</f>
        <v>2.2489211982309441E-2</v>
      </c>
      <c r="H29" s="429">
        <f>-H25*4/AVERAGE(G182:H182)</f>
        <v>2.2877969129175727E-2</v>
      </c>
      <c r="I29" s="429">
        <f>-I25*4/AVERAGE(H182:I182)</f>
        <v>3.5200000000000002E-2</v>
      </c>
      <c r="J29" s="429">
        <f>-J25*4/AVERAGE(I182:J182)</f>
        <v>5.2000000000000005E-2</v>
      </c>
      <c r="K29" s="429">
        <f>-K25*4/AVERAGE(J182:K182)</f>
        <v>7.9698317104744745E-2</v>
      </c>
      <c r="L29" s="38"/>
      <c r="M29" s="429">
        <f>-M25*4/AVERAGE(L182:M182)</f>
        <v>9.8099742625756284E-2</v>
      </c>
      <c r="N29" s="429">
        <f>-N25*4/AVERAGE(M182:N182)</f>
        <v>0.12592220634246204</v>
      </c>
      <c r="O29" s="429">
        <f>-O25*4/AVERAGE(N182:O182)</f>
        <v>0.13460651959170233</v>
      </c>
      <c r="P29" s="429">
        <f>-P25*4/AVERAGE(O182:P182)</f>
        <v>0.108978021978022</v>
      </c>
      <c r="Q29" s="180"/>
      <c r="R29" s="429">
        <f>-R25*4/AVERAGE(Q182:R182)</f>
        <v>0.1115465864089973</v>
      </c>
      <c r="S29" s="429">
        <f>-S25*4/AVERAGE(R182:S182)</f>
        <v>0.1073421917078512</v>
      </c>
      <c r="T29" s="429">
        <f>-T25*4/AVERAGE(S182:T182)</f>
        <v>0.10573306858430825</v>
      </c>
      <c r="U29" s="429">
        <f>-U25*4/AVERAGE(T182:U182)</f>
        <v>9.6479340350747622E-2</v>
      </c>
      <c r="V29" s="487">
        <f>V25/AVERAGE(Q182,V182)</f>
        <v>-0.10198150248168758</v>
      </c>
      <c r="W29" s="429">
        <f>-W25*4/AVERAGE(V182:W182)</f>
        <v>9.1456802935543494E-2</v>
      </c>
      <c r="X29" s="429">
        <f>-X25*4/AVERAGE(W182:X182)</f>
        <v>8.2061861134270289E-2</v>
      </c>
      <c r="Y29" s="429">
        <f>-Y25*4/AVERAGE(X182:Y182)</f>
        <v>7.8706650381731136E-2</v>
      </c>
      <c r="Z29" s="429">
        <f>-Z25*4/AVERAGE(Y182:Z182)</f>
        <v>7.1628196430202143E-2</v>
      </c>
      <c r="AA29" s="487">
        <f>AA25/AVERAGE(V182,AA182)</f>
        <v>-8.137146114808326E-2</v>
      </c>
      <c r="AC29" s="253"/>
      <c r="AD29" s="258"/>
      <c r="AE29" s="258"/>
      <c r="AF29" s="258"/>
      <c r="AH29" s="258"/>
      <c r="AI29" s="258"/>
      <c r="AJ29" s="258"/>
      <c r="AK29" s="258"/>
      <c r="AL29" s="258"/>
      <c r="AM29" s="258"/>
      <c r="AN29" s="258"/>
      <c r="AO29" s="258"/>
      <c r="AP29" s="258"/>
    </row>
    <row r="30" spans="2:42" x14ac:dyDescent="0.6">
      <c r="B30" s="932" t="s">
        <v>1246</v>
      </c>
      <c r="C30" s="426"/>
      <c r="D30" s="38"/>
      <c r="E30" s="38"/>
      <c r="F30" s="38"/>
      <c r="G30" s="429"/>
      <c r="H30" s="429"/>
      <c r="I30" s="487">
        <f>-I26*4/AVERAGE(H182:I182)</f>
        <v>3.0215384615384616E-2</v>
      </c>
      <c r="J30" s="487">
        <f>-J26*4/AVERAGE(I182:J182)</f>
        <v>4.6666666666666669E-2</v>
      </c>
      <c r="K30" s="487">
        <f>-K26*4/AVERAGE(J182:K182)</f>
        <v>6.8351438059323463E-2</v>
      </c>
      <c r="L30" s="38"/>
      <c r="M30" s="487">
        <f>-M26*4/AVERAGE(L182:M182)</f>
        <v>8.8504399617307453E-2</v>
      </c>
      <c r="N30" s="487">
        <f>-N26*4/AVERAGE(M182:N182)</f>
        <v>0.11241840163776122</v>
      </c>
      <c r="O30" s="487">
        <f>-O26*4/AVERAGE(N182:O182)</f>
        <v>0.12594299930486957</v>
      </c>
      <c r="P30" s="487">
        <f>-P26*4/AVERAGE(O182:P182)</f>
        <v>9.8525864379522876E-2</v>
      </c>
      <c r="Q30" s="180"/>
      <c r="R30" s="487">
        <f>-R26*4/AVERAGE(Q182:R182)</f>
        <v>0.10011088230635197</v>
      </c>
      <c r="S30" s="487">
        <f>-S26*4/AVERAGE(R182:S182)</f>
        <v>9.4936521558994999E-2</v>
      </c>
      <c r="T30" s="1010">
        <v>9.5000000000000001E-2</v>
      </c>
      <c r="U30" s="487">
        <f>-U26*4/AVERAGE(T182:U182)</f>
        <v>8.6007342358037031E-2</v>
      </c>
      <c r="V30" s="487"/>
      <c r="W30" s="1010">
        <v>8.4000000000000005E-2</v>
      </c>
      <c r="X30" s="1010">
        <v>7.4999999999999997E-2</v>
      </c>
      <c r="Y30" s="1010">
        <v>7.1999999999999995E-2</v>
      </c>
      <c r="Z30" s="487">
        <f>-Z26*4/AVERAGE(Y182:Z182)</f>
        <v>5.5472354283029206E-2</v>
      </c>
      <c r="AA30" s="487"/>
      <c r="AC30" s="253"/>
      <c r="AD30" s="258"/>
      <c r="AE30" s="258"/>
      <c r="AF30" s="258"/>
      <c r="AH30" s="258"/>
      <c r="AI30" s="258"/>
      <c r="AJ30" s="258"/>
      <c r="AK30" s="258"/>
      <c r="AL30" s="258"/>
      <c r="AM30" s="258"/>
      <c r="AN30" s="258"/>
      <c r="AO30" s="258"/>
      <c r="AP30" s="258"/>
    </row>
    <row r="31" spans="2:42" x14ac:dyDescent="0.6">
      <c r="B31" s="454" t="s">
        <v>801</v>
      </c>
      <c r="C31" s="454"/>
      <c r="D31" s="38"/>
      <c r="E31" s="38"/>
      <c r="F31" s="429"/>
      <c r="G31" s="429">
        <f>G29/G297</f>
        <v>1.1244605991154719</v>
      </c>
      <c r="H31" s="429">
        <f>H29/H297</f>
        <v>1.0740830577077807</v>
      </c>
      <c r="I31" s="429">
        <f>I29/I297</f>
        <v>1.0414201183431955</v>
      </c>
      <c r="J31" s="429">
        <f>J29/J297</f>
        <v>0.99047619047619062</v>
      </c>
      <c r="K31" s="429">
        <f>K29/K297</f>
        <v>0.9863653107022865</v>
      </c>
      <c r="L31" s="38"/>
      <c r="M31" s="429">
        <f>M29/M297</f>
        <v>0.89862359657181323</v>
      </c>
      <c r="N31" s="429">
        <f>N29/N297</f>
        <v>1.0155016640521133</v>
      </c>
      <c r="O31" s="429">
        <f>O29/O297</f>
        <v>0.9909682423929006</v>
      </c>
      <c r="P31" s="429">
        <f>P29/P297</f>
        <v>0.79256743256743267</v>
      </c>
      <c r="Q31" s="429"/>
      <c r="R31" s="429">
        <f>R29/R297</f>
        <v>0.81124790115634393</v>
      </c>
      <c r="S31" s="429">
        <f>S29/S297</f>
        <v>0.78067048514800863</v>
      </c>
      <c r="T31" s="429">
        <f>T29/T297</f>
        <v>0.78807256087683164</v>
      </c>
      <c r="U31" s="429">
        <f>U29/U297</f>
        <v>0.76419279485740688</v>
      </c>
      <c r="V31" s="429"/>
      <c r="W31" s="429">
        <f>W29/W297</f>
        <v>0.79527654726559571</v>
      </c>
      <c r="X31" s="429">
        <f>X29/X297</f>
        <v>0.78154153461209797</v>
      </c>
      <c r="Y31" s="429">
        <f>Y29/Y297</f>
        <v>0.80724769622288339</v>
      </c>
      <c r="Z31" s="429">
        <f>Z29/Z297</f>
        <v>0.77435888032650968</v>
      </c>
      <c r="AA31" s="429"/>
      <c r="AC31" s="253"/>
      <c r="AD31" s="258"/>
      <c r="AE31" s="258"/>
      <c r="AF31" s="258"/>
      <c r="AH31" s="258"/>
      <c r="AI31" s="258"/>
      <c r="AJ31" s="258"/>
      <c r="AK31" s="258"/>
      <c r="AL31" s="258"/>
      <c r="AM31" s="258"/>
      <c r="AN31" s="258"/>
      <c r="AO31" s="258"/>
      <c r="AP31" s="258"/>
    </row>
    <row r="32" spans="2:42" x14ac:dyDescent="0.6">
      <c r="B32" s="932" t="s">
        <v>1247</v>
      </c>
      <c r="C32" s="454"/>
      <c r="D32" s="38"/>
      <c r="E32" s="38"/>
      <c r="F32" s="429"/>
      <c r="G32" s="429"/>
      <c r="H32" s="429"/>
      <c r="I32" s="487">
        <f>I30/I297</f>
        <v>0.8939462903959946</v>
      </c>
      <c r="J32" s="487">
        <f>J30/J297</f>
        <v>0.88888888888888895</v>
      </c>
      <c r="K32" s="487">
        <f>K30/K297</f>
        <v>0.84593363934806265</v>
      </c>
      <c r="L32" s="38"/>
      <c r="M32" s="487">
        <f>M30/M297</f>
        <v>0.81072732473869413</v>
      </c>
      <c r="N32" s="487">
        <f>N30/N297</f>
        <v>0.90660001320775174</v>
      </c>
      <c r="O32" s="487">
        <f>O30/O297</f>
        <v>0.92718772494382506</v>
      </c>
      <c r="P32" s="487">
        <f>P30/P297</f>
        <v>0.71655174094198448</v>
      </c>
      <c r="Q32" s="429"/>
      <c r="R32" s="487">
        <f>R30/R297</f>
        <v>0.72807914404619611</v>
      </c>
      <c r="S32" s="487">
        <f>S30/S297</f>
        <v>0.69044742951996352</v>
      </c>
      <c r="T32" s="429"/>
      <c r="U32" s="429"/>
      <c r="V32" s="429"/>
      <c r="W32" s="429"/>
      <c r="X32" s="429"/>
      <c r="Y32" s="429"/>
      <c r="Z32" s="429"/>
      <c r="AA32" s="429"/>
      <c r="AC32" s="253"/>
      <c r="AD32" s="258"/>
      <c r="AE32" s="258"/>
      <c r="AF32" s="258"/>
      <c r="AH32" s="258"/>
      <c r="AI32" s="258"/>
      <c r="AJ32" s="258"/>
      <c r="AK32" s="258"/>
      <c r="AL32" s="258"/>
      <c r="AM32" s="258"/>
      <c r="AN32" s="258"/>
      <c r="AO32" s="258"/>
      <c r="AP32" s="258"/>
    </row>
    <row r="33" spans="2:42" x14ac:dyDescent="0.6">
      <c r="B33" s="454" t="s">
        <v>869</v>
      </c>
      <c r="C33" s="454"/>
      <c r="D33" s="38"/>
      <c r="E33" s="38"/>
      <c r="F33" s="38"/>
      <c r="G33" s="429">
        <f>-G25/G6</f>
        <v>0.15498519249753206</v>
      </c>
      <c r="H33" s="429">
        <f>-H25/H6</f>
        <v>0.12938775510204081</v>
      </c>
      <c r="I33" s="429">
        <f>-I25/I6</f>
        <v>0.17018744421303184</v>
      </c>
      <c r="J33" s="429">
        <f>-J25/J6</f>
        <v>0.21085464753587027</v>
      </c>
      <c r="K33" s="429">
        <f>-K25/K6</f>
        <v>0.27832814416454382</v>
      </c>
      <c r="L33" s="38"/>
      <c r="M33" s="429">
        <f t="shared" ref="M33:V33" si="7">-M25/M6</f>
        <v>0.31119716118353929</v>
      </c>
      <c r="N33" s="429">
        <f t="shared" si="7"/>
        <v>0.35203328377510984</v>
      </c>
      <c r="O33" s="429">
        <f t="shared" si="7"/>
        <v>0.3519014461703267</v>
      </c>
      <c r="P33" s="429">
        <f t="shared" si="7"/>
        <v>0.28035913263167195</v>
      </c>
      <c r="Q33" s="487">
        <f t="shared" si="7"/>
        <v>0.3231617409900398</v>
      </c>
      <c r="R33" s="429">
        <f>-R25/R6</f>
        <v>0.27193914686484755</v>
      </c>
      <c r="S33" s="429">
        <f>-S25/S6</f>
        <v>0.2426415498233972</v>
      </c>
      <c r="T33" s="429">
        <f t="shared" si="7"/>
        <v>0.24291902391885925</v>
      </c>
      <c r="U33" s="429">
        <f t="shared" si="7"/>
        <v>0.21797705454757246</v>
      </c>
      <c r="V33" s="487">
        <f t="shared" si="7"/>
        <v>0.24177140245255146</v>
      </c>
      <c r="W33" s="429">
        <f>-W25/W6</f>
        <v>0.21559499316658379</v>
      </c>
      <c r="X33" s="429">
        <f>-X25/X6</f>
        <v>0.19613490718233642</v>
      </c>
      <c r="Y33" s="429">
        <f>-Y25/Y6</f>
        <v>0.18658502345378805</v>
      </c>
      <c r="Z33" s="429">
        <f>-Z25/Z6</f>
        <v>0.15491187953289801</v>
      </c>
      <c r="AA33" s="487">
        <f>-AA25/AA6</f>
        <v>0.18638518433516524</v>
      </c>
      <c r="AC33" s="253"/>
      <c r="AD33" s="258"/>
      <c r="AE33" s="258"/>
      <c r="AF33" s="258"/>
      <c r="AH33" s="258"/>
      <c r="AI33" s="258"/>
      <c r="AJ33" s="258"/>
      <c r="AK33" s="258"/>
      <c r="AL33" s="258"/>
      <c r="AM33" s="258"/>
      <c r="AN33" s="258"/>
      <c r="AO33" s="258"/>
      <c r="AP33" s="258"/>
    </row>
    <row r="34" spans="2:42" x14ac:dyDescent="0.6">
      <c r="B34" s="454" t="s">
        <v>1248</v>
      </c>
      <c r="C34" s="454"/>
      <c r="D34" s="38"/>
      <c r="E34" s="38"/>
      <c r="F34" s="38"/>
      <c r="G34" s="429"/>
      <c r="H34" s="429"/>
      <c r="I34" s="429"/>
      <c r="J34" s="429"/>
      <c r="K34" s="429"/>
      <c r="L34" s="38"/>
      <c r="M34" s="429"/>
      <c r="N34" s="429"/>
      <c r="O34" s="429"/>
      <c r="P34" s="429"/>
      <c r="Q34" s="487"/>
      <c r="R34" s="487"/>
      <c r="S34" s="487"/>
      <c r="T34" s="429"/>
      <c r="U34" s="429"/>
      <c r="V34" s="487"/>
      <c r="W34" s="429"/>
      <c r="X34" s="429"/>
      <c r="Y34" s="429"/>
      <c r="Z34" s="429"/>
      <c r="AA34" s="487"/>
      <c r="AC34" s="253"/>
      <c r="AD34" s="258"/>
      <c r="AE34" s="258"/>
      <c r="AF34" s="258"/>
      <c r="AH34" s="258"/>
      <c r="AI34" s="258"/>
      <c r="AJ34" s="258"/>
      <c r="AK34" s="258"/>
      <c r="AL34" s="258"/>
      <c r="AM34" s="258"/>
      <c r="AN34" s="258"/>
      <c r="AO34" s="258"/>
      <c r="AP34" s="258"/>
    </row>
    <row r="35" spans="2:42" x14ac:dyDescent="0.6">
      <c r="B35" s="454"/>
      <c r="C35" s="454"/>
      <c r="D35" s="38"/>
      <c r="E35" s="38"/>
      <c r="F35" s="38"/>
      <c r="G35" s="429"/>
      <c r="H35" s="429"/>
      <c r="I35" s="429"/>
      <c r="J35" s="429"/>
      <c r="K35" s="429"/>
      <c r="L35" s="38"/>
      <c r="M35" s="429"/>
      <c r="N35" s="429"/>
      <c r="O35" s="429"/>
      <c r="P35" s="429"/>
      <c r="Q35" s="429"/>
      <c r="R35" s="429"/>
      <c r="S35" s="429"/>
      <c r="T35" s="1186">
        <f>T36</f>
        <v>-55</v>
      </c>
      <c r="U35" s="1186">
        <f>U36</f>
        <v>-67.7</v>
      </c>
      <c r="V35" s="38"/>
      <c r="W35" s="1186">
        <f>W36</f>
        <v>-70</v>
      </c>
      <c r="X35" s="1186">
        <f>X36</f>
        <v>-70</v>
      </c>
      <c r="Y35" s="1186">
        <f>Y36</f>
        <v>-70</v>
      </c>
      <c r="Z35" s="1186">
        <f>Z36</f>
        <v>-72.75</v>
      </c>
      <c r="AA35" s="38"/>
      <c r="AC35" s="253"/>
      <c r="AD35" s="258"/>
      <c r="AE35" s="258"/>
      <c r="AF35" s="258"/>
      <c r="AH35" s="258"/>
      <c r="AI35" s="258"/>
      <c r="AJ35" s="258"/>
      <c r="AK35" s="258"/>
      <c r="AL35" s="258"/>
      <c r="AM35" s="258"/>
      <c r="AN35" s="258"/>
      <c r="AO35" s="258"/>
      <c r="AP35" s="258"/>
    </row>
    <row r="36" spans="2:42" x14ac:dyDescent="0.6">
      <c r="B36" s="933" t="s">
        <v>1251</v>
      </c>
      <c r="C36" s="29"/>
      <c r="D36" s="59"/>
      <c r="E36" s="59">
        <v>-22.7</v>
      </c>
      <c r="F36" s="59">
        <v>-31.9</v>
      </c>
      <c r="G36" s="59">
        <v>-39.1</v>
      </c>
      <c r="H36" s="59">
        <v>-26.3</v>
      </c>
      <c r="I36" s="59">
        <v>-29.8</v>
      </c>
      <c r="J36" s="59">
        <v>-28.6</v>
      </c>
      <c r="K36" s="407">
        <v>-32.419000000000011</v>
      </c>
      <c r="L36" s="43">
        <f>Master!F10</f>
        <v>-117.11899999999999</v>
      </c>
      <c r="M36" s="407">
        <v>-34.448</v>
      </c>
      <c r="N36" s="407">
        <v>-48.036000000000001</v>
      </c>
      <c r="O36" s="407">
        <v>-44.5</v>
      </c>
      <c r="P36" s="59">
        <f>-176-M36-N36-O36</f>
        <v>-49.015999999999991</v>
      </c>
      <c r="Q36" s="43">
        <f>Master!G10</f>
        <v>-174</v>
      </c>
      <c r="R36" s="59">
        <v>-52</v>
      </c>
      <c r="S36" s="59">
        <v>-42.8</v>
      </c>
      <c r="T36" s="114">
        <v>-55</v>
      </c>
      <c r="U36" s="43">
        <f>V36-T36-S36-R36</f>
        <v>-67.7</v>
      </c>
      <c r="V36" s="43">
        <f>Master!H10</f>
        <v>-217.5</v>
      </c>
      <c r="W36" s="114">
        <v>-70</v>
      </c>
      <c r="X36" s="114">
        <v>-70</v>
      </c>
      <c r="Y36" s="114">
        <v>-70</v>
      </c>
      <c r="Z36" s="43">
        <f>AA36-Y36-X36-W36</f>
        <v>-72.75</v>
      </c>
      <c r="AA36" s="43">
        <f>Master!I10</f>
        <v>-282.75</v>
      </c>
      <c r="AC36" s="253"/>
      <c r="AD36" s="257">
        <f>I36/E36-1</f>
        <v>0.31277533039647576</v>
      </c>
      <c r="AE36" s="257">
        <f>J36/F36-1</f>
        <v>-0.10344827586206884</v>
      </c>
      <c r="AF36" s="257">
        <f>K36/G36-1</f>
        <v>-0.17086956521739105</v>
      </c>
      <c r="AH36" s="257">
        <f>M36/H36-1</f>
        <v>0.309809885931559</v>
      </c>
      <c r="AI36" s="257">
        <f>N36/I36-1</f>
        <v>0.61194630872483224</v>
      </c>
      <c r="AJ36" s="257">
        <f>O36/J36-1</f>
        <v>0.55594405594405583</v>
      </c>
      <c r="AK36" s="257">
        <f>P36/K36-1</f>
        <v>0.51195286714580868</v>
      </c>
      <c r="AL36" s="257"/>
      <c r="AM36" s="257">
        <f>R36/M36-1</f>
        <v>0.50952159777055273</v>
      </c>
      <c r="AN36" s="257">
        <f>S36/N36-1</f>
        <v>-0.1090015821467234</v>
      </c>
      <c r="AO36" s="257">
        <f>T36/O36-1</f>
        <v>0.23595505617977519</v>
      </c>
      <c r="AP36" s="257">
        <f>U36/P36-1</f>
        <v>0.38118165496980616</v>
      </c>
    </row>
    <row r="37" spans="2:42" x14ac:dyDescent="0.6">
      <c r="B37" s="37"/>
      <c r="C37" s="37"/>
      <c r="J37" s="336"/>
      <c r="K37" s="277"/>
      <c r="M37" s="277"/>
      <c r="N37" s="277"/>
      <c r="O37" s="277"/>
      <c r="T37" s="1186">
        <v>-654</v>
      </c>
      <c r="U37" s="1186">
        <v>-745</v>
      </c>
      <c r="W37" s="1186">
        <v>-755</v>
      </c>
      <c r="X37" s="1186">
        <v>-786</v>
      </c>
      <c r="Y37" s="1186">
        <v>-822</v>
      </c>
      <c r="Z37" s="1186">
        <v>-895</v>
      </c>
      <c r="AC37" s="253"/>
      <c r="AD37" s="258"/>
      <c r="AE37" s="258"/>
      <c r="AF37" s="258"/>
      <c r="AH37" s="258"/>
      <c r="AI37" s="258"/>
      <c r="AJ37" s="258"/>
      <c r="AK37" s="258"/>
      <c r="AL37" s="258"/>
      <c r="AM37" s="258"/>
      <c r="AN37" s="258"/>
      <c r="AO37" s="258"/>
      <c r="AP37" s="258"/>
    </row>
    <row r="38" spans="2:42" x14ac:dyDescent="0.6">
      <c r="B38" s="29" t="s">
        <v>90</v>
      </c>
      <c r="C38" s="29"/>
      <c r="D38" s="59"/>
      <c r="E38" s="59">
        <v>-19</v>
      </c>
      <c r="F38" s="59">
        <v>-32.9</v>
      </c>
      <c r="G38" s="59">
        <v>-55.6</v>
      </c>
      <c r="H38" s="59">
        <v>-71.3</v>
      </c>
      <c r="I38" s="59">
        <v>-82.7</v>
      </c>
      <c r="J38" s="59">
        <v>-127</v>
      </c>
      <c r="K38" s="59">
        <v>-199.63400000000001</v>
      </c>
      <c r="L38" s="43">
        <f>Master!F12</f>
        <v>-480.64299999999997</v>
      </c>
      <c r="M38" s="59">
        <v>-275.72199999999998</v>
      </c>
      <c r="N38" s="59">
        <v>-338.49200000000002</v>
      </c>
      <c r="O38" s="59">
        <v>-375.5</v>
      </c>
      <c r="P38" s="59">
        <f>-1404.9-M38-N38-O38</f>
        <v>-415.18600000000015</v>
      </c>
      <c r="Q38" s="43">
        <f>Master!G12</f>
        <v>-1405</v>
      </c>
      <c r="R38" s="59">
        <v>-474</v>
      </c>
      <c r="S38" s="59">
        <v>-590.4</v>
      </c>
      <c r="T38" s="43">
        <f>-T39*T6</f>
        <v>-669.12822379153624</v>
      </c>
      <c r="U38" s="43">
        <f>V38-R38-S38-T38</f>
        <v>-729.31177620846381</v>
      </c>
      <c r="V38" s="43">
        <f>Master!H12</f>
        <v>-2462.84</v>
      </c>
      <c r="W38" s="43">
        <f>-W39*W6</f>
        <v>-750.92853909556925</v>
      </c>
      <c r="X38" s="43">
        <f>-X39*X6</f>
        <v>-770.21264991279384</v>
      </c>
      <c r="Y38" s="43">
        <f>-Y39*Y6</f>
        <v>-805.07983892209495</v>
      </c>
      <c r="Z38" s="43">
        <f>AA38-W38-X38-Y38</f>
        <v>-980.93897206954171</v>
      </c>
      <c r="AA38" s="43">
        <f>Master!I12</f>
        <v>-3307.16</v>
      </c>
      <c r="AC38" s="253"/>
      <c r="AD38" s="257">
        <f>I38/E38-1</f>
        <v>3.3526315789473689</v>
      </c>
      <c r="AE38" s="257">
        <f>J38/F38-1</f>
        <v>2.8601823708206688</v>
      </c>
      <c r="AF38" s="257">
        <f>K38/G38-1</f>
        <v>2.5905395683453238</v>
      </c>
      <c r="AH38" s="257">
        <f>M38/H38-1</f>
        <v>2.8670687237026646</v>
      </c>
      <c r="AI38" s="257">
        <f>N38/I38-1</f>
        <v>3.0930108827085849</v>
      </c>
      <c r="AJ38" s="257">
        <f>O38/J38-1</f>
        <v>1.9566929133858268</v>
      </c>
      <c r="AK38" s="257">
        <f>P38/K38-1</f>
        <v>1.0797359167276119</v>
      </c>
      <c r="AL38" s="257"/>
      <c r="AM38" s="257">
        <f>R38/M38-1</f>
        <v>0.71912288464467844</v>
      </c>
      <c r="AN38" s="257">
        <f>S38/N38-1</f>
        <v>0.74420665776443751</v>
      </c>
      <c r="AO38" s="257">
        <f>T38/O38-1</f>
        <v>0.78196597547679425</v>
      </c>
      <c r="AP38" s="257">
        <f>U38/P38-1</f>
        <v>0.7565904828401333</v>
      </c>
    </row>
    <row r="39" spans="2:42" x14ac:dyDescent="0.6">
      <c r="B39" s="927" t="s">
        <v>1195</v>
      </c>
      <c r="C39" s="29"/>
      <c r="D39" s="59"/>
      <c r="E39" s="59"/>
      <c r="F39" s="59"/>
      <c r="G39" s="928">
        <f>-G38/G6</f>
        <v>0.27443237907206314</v>
      </c>
      <c r="H39" s="928">
        <f>-H38/H6</f>
        <v>0.2910204081632653</v>
      </c>
      <c r="I39" s="928">
        <f>-I38/I6</f>
        <v>0.24605772091639391</v>
      </c>
      <c r="J39" s="928">
        <f>-J38/J6</f>
        <v>0.26408816801829904</v>
      </c>
      <c r="K39" s="928">
        <f>-K38/K6</f>
        <v>0.31391955215900869</v>
      </c>
      <c r="M39" s="928">
        <f t="shared" ref="M39:R39" si="8">-M38/M6</f>
        <v>0.31429655965629616</v>
      </c>
      <c r="N39" s="928">
        <f t="shared" si="8"/>
        <v>0.29241828292418282</v>
      </c>
      <c r="O39" s="928">
        <f t="shared" si="8"/>
        <v>0.28732114163287165</v>
      </c>
      <c r="P39" s="928">
        <f t="shared" si="8"/>
        <v>0.28628146995873888</v>
      </c>
      <c r="Q39" s="928">
        <f t="shared" si="8"/>
        <v>0.2933089445032338</v>
      </c>
      <c r="R39" s="928">
        <f t="shared" si="8"/>
        <v>0.29287208657150593</v>
      </c>
      <c r="S39" s="928">
        <f>-S38/S6</f>
        <v>0.31595847158300333</v>
      </c>
      <c r="T39" s="1034">
        <v>0.33</v>
      </c>
      <c r="U39" s="928">
        <f>-U38/U6</f>
        <v>0.32880141660144363</v>
      </c>
      <c r="W39" s="1034">
        <v>0.33</v>
      </c>
      <c r="X39" s="1034">
        <v>0.32500000000000001</v>
      </c>
      <c r="Y39" s="1034">
        <v>0.32</v>
      </c>
      <c r="Z39" s="928">
        <f>-Z38/Z6</f>
        <v>0.34274592307016122</v>
      </c>
      <c r="AC39" s="253"/>
      <c r="AD39" s="486"/>
      <c r="AE39" s="486"/>
      <c r="AF39" s="486"/>
      <c r="AG39"/>
      <c r="AH39" s="486"/>
      <c r="AI39" s="486"/>
      <c r="AJ39" s="486"/>
      <c r="AK39" s="486"/>
      <c r="AL39" s="486"/>
      <c r="AM39" s="486"/>
      <c r="AN39" s="486"/>
      <c r="AO39" s="486"/>
      <c r="AP39" s="486"/>
    </row>
    <row r="40" spans="2:42" x14ac:dyDescent="0.6">
      <c r="B40" s="1178" t="s">
        <v>1625</v>
      </c>
      <c r="C40" s="29"/>
      <c r="D40" s="59"/>
      <c r="E40" s="59"/>
      <c r="F40" s="59"/>
      <c r="G40" s="928">
        <f>-G38/(G7-G11)</f>
        <v>0.61984392419175027</v>
      </c>
      <c r="H40" s="928">
        <f>-H38/(H7-H11)</f>
        <v>0.79222222222222216</v>
      </c>
      <c r="I40" s="928">
        <f>-I38/(I7-I11)</f>
        <v>0.63615384615384618</v>
      </c>
      <c r="J40" s="928">
        <f>-J38/(J7-J11)</f>
        <v>0.70949720670391059</v>
      </c>
      <c r="K40" s="928">
        <f>-K38/(K7-K11)</f>
        <v>0.79219841269841274</v>
      </c>
      <c r="M40" s="928">
        <f>-M38/(M7-M11)</f>
        <v>0.71802604166666661</v>
      </c>
      <c r="N40" s="928">
        <f t="shared" ref="N40:U40" si="9">-N38/(N7-N11)</f>
        <v>0.71714406779661022</v>
      </c>
      <c r="O40" s="928">
        <f t="shared" si="9"/>
        <v>0.7333984375</v>
      </c>
      <c r="P40" s="928">
        <f t="shared" si="9"/>
        <v>0.71707426597582069</v>
      </c>
      <c r="Q40" s="928"/>
      <c r="R40" s="928">
        <f t="shared" si="9"/>
        <v>0.64604413817166784</v>
      </c>
      <c r="S40" s="928">
        <f t="shared" si="9"/>
        <v>0.62344244984160502</v>
      </c>
      <c r="T40" s="928">
        <f t="shared" si="9"/>
        <v>0.63264887708075812</v>
      </c>
      <c r="U40" s="928">
        <f t="shared" si="9"/>
        <v>0.61268047330714681</v>
      </c>
      <c r="W40" s="1034"/>
      <c r="X40" s="1034"/>
      <c r="Y40" s="1034"/>
      <c r="Z40" s="928"/>
      <c r="AC40" s="253"/>
      <c r="AD40" s="486"/>
      <c r="AE40" s="486"/>
      <c r="AF40" s="486"/>
      <c r="AG40"/>
      <c r="AH40" s="486"/>
      <c r="AI40" s="486"/>
      <c r="AJ40" s="486"/>
      <c r="AK40" s="486"/>
      <c r="AL40" s="486"/>
      <c r="AM40" s="486"/>
      <c r="AN40" s="486"/>
      <c r="AO40" s="486"/>
      <c r="AP40" s="486"/>
    </row>
    <row r="41" spans="2:42" x14ac:dyDescent="0.6">
      <c r="B41" s="426" t="s">
        <v>1626</v>
      </c>
      <c r="C41" s="426"/>
      <c r="D41" s="59"/>
      <c r="E41" s="59"/>
      <c r="F41" s="59"/>
      <c r="G41" s="429">
        <f>-G38*4/AVERAGE(F206:G206)</f>
        <v>6.6987951807228913E-2</v>
      </c>
      <c r="H41" s="429">
        <f>-H38*4/AVERAGE(G206:H206)</f>
        <v>8.6176159540716113E-2</v>
      </c>
      <c r="I41" s="429">
        <f>-I38*4/AVERAGE(H206:I206)</f>
        <v>8.292805214339434E-2</v>
      </c>
      <c r="J41" s="429">
        <f>-J38*4/AVERAGE(I206:J206)</f>
        <v>0.1021105527638191</v>
      </c>
      <c r="K41" s="429">
        <f>-K38*4/AVERAGE(J206:K206)</f>
        <v>0.13495024092644192</v>
      </c>
      <c r="L41" s="38"/>
      <c r="M41" s="429">
        <f>-M38*4/AVERAGE(L206:M206)</f>
        <v>0.12501693227622274</v>
      </c>
      <c r="N41" s="429">
        <f>-N38*4/AVERAGE(M206:N206)</f>
        <v>0.15091224652287569</v>
      </c>
      <c r="O41" s="429">
        <f>-O38*4/AVERAGE(N206:O206)</f>
        <v>0.15945748783220995</v>
      </c>
      <c r="P41" s="429">
        <f>-P38*4/AVERAGE(O206:P206)</f>
        <v>0.15836210982479415</v>
      </c>
      <c r="Q41" s="38"/>
      <c r="R41" s="429">
        <f>-R38*4/AVERAGE(Q206:R206)</f>
        <v>0.14800936768149883</v>
      </c>
      <c r="S41" s="429">
        <f>-S38*4/AVERAGE(R206:S206)</f>
        <v>0.17073452862926547</v>
      </c>
      <c r="T41" s="429">
        <f>-T38*4/AVERAGE(T206:T206)</f>
        <v>0.16941770267182188</v>
      </c>
      <c r="U41" s="429">
        <f>-U38*4/AVERAGE(T206:U206)</f>
        <v>0.17159161446171187</v>
      </c>
      <c r="V41" s="38">
        <f>-V38/AVERAGE(V206,Q206)</f>
        <v>0.13529186210409866</v>
      </c>
      <c r="W41" s="429">
        <f>-W38*4/AVERAGE(V206:W206)</f>
        <v>0.16218261614305188</v>
      </c>
      <c r="X41" s="429">
        <f>-X38*4/AVERAGE(W206:X206)</f>
        <v>0.15616802178774833</v>
      </c>
      <c r="Y41" s="429">
        <f>-Y38*4/AVERAGE(X206:Y206)</f>
        <v>0.14846214014686557</v>
      </c>
      <c r="Z41" s="429">
        <f>-Z38*4/AVERAGE(Y206:Z206)</f>
        <v>0.16187259457263709</v>
      </c>
      <c r="AA41" s="38">
        <f>-AA38/AVERAGE(AA206,V206)</f>
        <v>0.1506011487219851</v>
      </c>
      <c r="AC41" s="253"/>
      <c r="AD41" s="486"/>
      <c r="AE41" s="486"/>
      <c r="AF41" s="486"/>
      <c r="AG41"/>
      <c r="AH41" s="486"/>
      <c r="AI41" s="486"/>
      <c r="AJ41" s="486"/>
      <c r="AK41" s="486"/>
      <c r="AL41" s="486"/>
      <c r="AM41" s="486"/>
      <c r="AN41" s="486"/>
      <c r="AO41" s="486"/>
      <c r="AP41" s="486"/>
    </row>
    <row r="42" spans="2:42" x14ac:dyDescent="0.6">
      <c r="B42" s="1181" t="s">
        <v>1622</v>
      </c>
      <c r="C42" s="426"/>
      <c r="D42" s="59"/>
      <c r="E42" s="59"/>
      <c r="F42" s="59"/>
      <c r="G42" s="429"/>
      <c r="H42" s="429"/>
      <c r="I42" s="429"/>
      <c r="J42" s="429"/>
      <c r="K42" s="429"/>
      <c r="L42" s="38"/>
      <c r="M42" s="429"/>
      <c r="N42" s="429"/>
      <c r="O42" s="429"/>
      <c r="P42" s="429"/>
      <c r="Q42" s="38"/>
      <c r="R42" s="429"/>
      <c r="S42" s="429"/>
      <c r="T42" s="429"/>
      <c r="U42" s="429"/>
      <c r="V42" s="38"/>
      <c r="W42" s="429"/>
      <c r="X42" s="429"/>
      <c r="Y42" s="429"/>
      <c r="Z42" s="429"/>
      <c r="AA42" s="38"/>
      <c r="AC42" s="253"/>
      <c r="AD42" s="486"/>
      <c r="AE42" s="486"/>
      <c r="AF42" s="486"/>
      <c r="AG42"/>
      <c r="AH42" s="486"/>
      <c r="AI42" s="486"/>
      <c r="AJ42" s="486"/>
      <c r="AK42" s="486"/>
      <c r="AL42" s="486"/>
      <c r="AM42" s="486"/>
      <c r="AN42" s="486"/>
      <c r="AO42" s="486"/>
      <c r="AP42" s="486"/>
    </row>
    <row r="43" spans="2:42" x14ac:dyDescent="0.6">
      <c r="B43" s="1184" t="s">
        <v>1624</v>
      </c>
      <c r="C43" s="426"/>
      <c r="D43" s="59"/>
      <c r="E43" s="59"/>
      <c r="F43" s="59"/>
      <c r="G43" s="429"/>
      <c r="H43" s="429"/>
      <c r="I43" s="429"/>
      <c r="J43" s="429"/>
      <c r="K43" s="429"/>
      <c r="L43" s="38"/>
      <c r="M43" s="59">
        <f>-383-N43</f>
        <v>-167</v>
      </c>
      <c r="N43" s="59">
        <v>-216</v>
      </c>
      <c r="O43" s="429"/>
      <c r="P43" s="429"/>
      <c r="Q43" s="38"/>
      <c r="R43" s="59">
        <f>-834-S43</f>
        <v>-369</v>
      </c>
      <c r="S43" s="59">
        <v>-465</v>
      </c>
      <c r="T43" s="429"/>
      <c r="U43" s="429"/>
      <c r="V43" s="38"/>
      <c r="W43" s="429"/>
      <c r="X43" s="429"/>
      <c r="Y43" s="429"/>
      <c r="Z43" s="429"/>
      <c r="AA43" s="38"/>
      <c r="AC43" s="253"/>
      <c r="AD43" s="486"/>
      <c r="AE43" s="486"/>
      <c r="AF43" s="486"/>
      <c r="AG43"/>
      <c r="AH43" s="486"/>
      <c r="AI43" s="486"/>
      <c r="AJ43" s="486"/>
      <c r="AK43" s="486"/>
      <c r="AL43" s="486"/>
      <c r="AM43" s="486"/>
      <c r="AN43" s="486"/>
      <c r="AO43" s="486"/>
      <c r="AP43" s="486"/>
    </row>
    <row r="44" spans="2:42" x14ac:dyDescent="0.6">
      <c r="B44" s="1178" t="s">
        <v>1621</v>
      </c>
      <c r="C44" s="426"/>
      <c r="D44" s="59"/>
      <c r="E44" s="59"/>
      <c r="F44" s="59"/>
      <c r="G44" s="429"/>
      <c r="H44" s="429"/>
      <c r="I44" s="429"/>
      <c r="J44" s="429"/>
      <c r="K44" s="429"/>
      <c r="L44" s="38"/>
      <c r="M44" s="1015"/>
      <c r="N44" s="1015"/>
      <c r="O44" s="429"/>
      <c r="P44" s="429"/>
      <c r="Q44" s="38"/>
      <c r="R44" s="1015"/>
      <c r="S44" s="1015"/>
      <c r="T44" s="429"/>
      <c r="U44" s="429"/>
      <c r="V44" s="38"/>
      <c r="W44" s="429"/>
      <c r="X44" s="429"/>
      <c r="Y44" s="429"/>
      <c r="Z44" s="429"/>
      <c r="AA44" s="38"/>
      <c r="AC44" s="253"/>
      <c r="AD44" s="486"/>
      <c r="AE44" s="486"/>
      <c r="AF44" s="486"/>
      <c r="AG44"/>
      <c r="AH44" s="486"/>
      <c r="AI44" s="486"/>
      <c r="AJ44" s="486"/>
      <c r="AK44" s="486"/>
      <c r="AL44" s="486"/>
      <c r="AM44" s="486"/>
      <c r="AN44" s="486"/>
      <c r="AO44" s="486"/>
      <c r="AP44" s="486"/>
    </row>
    <row r="45" spans="2:42" x14ac:dyDescent="0.6">
      <c r="B45" s="1184" t="s">
        <v>1623</v>
      </c>
      <c r="C45" s="426"/>
      <c r="D45" s="59"/>
      <c r="E45" s="59"/>
      <c r="F45" s="59"/>
      <c r="G45" s="429"/>
      <c r="H45" s="429"/>
      <c r="I45" s="429"/>
      <c r="J45" s="429"/>
      <c r="K45" s="429"/>
      <c r="L45" s="38"/>
      <c r="M45" s="97">
        <f>M38-M43</f>
        <v>-108.72199999999998</v>
      </c>
      <c r="N45" s="97">
        <f>N38-N43</f>
        <v>-122.49200000000002</v>
      </c>
      <c r="O45" s="429"/>
      <c r="P45" s="429"/>
      <c r="Q45" s="38"/>
      <c r="R45" s="97">
        <f>R38-R43</f>
        <v>-105</v>
      </c>
      <c r="S45" s="97">
        <f>S38-S43</f>
        <v>-125.39999999999998</v>
      </c>
      <c r="T45" s="429"/>
      <c r="U45" s="429"/>
      <c r="V45" s="38"/>
      <c r="W45" s="429"/>
      <c r="X45" s="429"/>
      <c r="Y45" s="429"/>
      <c r="Z45" s="429"/>
      <c r="AA45" s="38"/>
      <c r="AC45" s="253"/>
      <c r="AD45" s="486"/>
      <c r="AE45" s="486"/>
      <c r="AF45" s="486"/>
      <c r="AG45"/>
      <c r="AH45" s="486"/>
      <c r="AI45" s="486"/>
      <c r="AJ45" s="486"/>
      <c r="AK45" s="486"/>
      <c r="AL45" s="486"/>
      <c r="AM45" s="486"/>
      <c r="AN45" s="486"/>
      <c r="AO45" s="486"/>
      <c r="AP45" s="486"/>
    </row>
    <row r="46" spans="2:42" x14ac:dyDescent="0.6">
      <c r="B46" s="1184"/>
      <c r="C46" s="426"/>
      <c r="D46" s="59"/>
      <c r="E46" s="59"/>
      <c r="F46" s="59"/>
      <c r="G46" s="429"/>
      <c r="H46" s="429"/>
      <c r="I46" s="429"/>
      <c r="J46" s="429"/>
      <c r="K46" s="429"/>
      <c r="L46" s="38"/>
      <c r="M46" s="928"/>
      <c r="N46" s="928">
        <f>-N45/N362</f>
        <v>0.12558162513846161</v>
      </c>
      <c r="O46" s="429"/>
      <c r="P46" s="429"/>
      <c r="Q46" s="38"/>
      <c r="R46" s="928">
        <f>-R45/R362</f>
        <v>8.6499999999999994E-2</v>
      </c>
      <c r="S46" s="928">
        <f>-S45/S362</f>
        <v>8.5031506849315056E-2</v>
      </c>
      <c r="T46" s="429"/>
      <c r="U46" s="429"/>
      <c r="V46" s="38"/>
      <c r="W46" s="429"/>
      <c r="X46" s="429"/>
      <c r="Y46" s="429"/>
      <c r="Z46" s="429"/>
      <c r="AA46" s="38"/>
      <c r="AC46" s="253"/>
      <c r="AD46" s="486"/>
      <c r="AE46" s="486"/>
      <c r="AF46" s="486"/>
      <c r="AG46"/>
      <c r="AH46" s="486"/>
      <c r="AI46" s="486"/>
      <c r="AJ46" s="486"/>
      <c r="AK46" s="486"/>
      <c r="AL46" s="486"/>
      <c r="AM46" s="486"/>
      <c r="AN46" s="486"/>
      <c r="AO46" s="486"/>
      <c r="AP46" s="486"/>
    </row>
    <row r="47" spans="2:42" x14ac:dyDescent="0.6">
      <c r="B47" s="29"/>
      <c r="C47" s="29"/>
      <c r="D47" s="59"/>
      <c r="E47" s="59"/>
      <c r="F47" s="59"/>
      <c r="G47" s="59"/>
      <c r="H47" s="59"/>
      <c r="I47" s="59"/>
      <c r="J47" s="59"/>
      <c r="K47" s="59"/>
      <c r="M47" s="59"/>
      <c r="N47" s="59"/>
      <c r="O47" s="59"/>
      <c r="T47" s="1186">
        <f>T24+T35+T37</f>
        <v>-1196</v>
      </c>
      <c r="U47" s="1186">
        <f>U24+U35+U37</f>
        <v>-1306.7</v>
      </c>
      <c r="W47" s="1186">
        <f t="shared" ref="W47:Z47" si="10">W24+W35+W37</f>
        <v>-1317</v>
      </c>
      <c r="X47" s="1186">
        <f t="shared" si="10"/>
        <v>-1346</v>
      </c>
      <c r="Y47" s="1186">
        <f t="shared" si="10"/>
        <v>-1388</v>
      </c>
      <c r="Z47" s="1186">
        <f t="shared" si="10"/>
        <v>-1486.75</v>
      </c>
      <c r="AC47" s="253"/>
      <c r="AD47" s="257"/>
      <c r="AE47" s="257"/>
      <c r="AF47" s="257"/>
      <c r="AH47" s="257"/>
      <c r="AI47" s="257"/>
      <c r="AJ47" s="257"/>
      <c r="AK47" s="257"/>
      <c r="AL47" s="257"/>
      <c r="AM47" s="257"/>
      <c r="AN47" s="257"/>
      <c r="AO47" s="257"/>
      <c r="AP47" s="257"/>
    </row>
    <row r="48" spans="2:42" x14ac:dyDescent="0.6">
      <c r="B48" s="89" t="s">
        <v>91</v>
      </c>
      <c r="C48" s="89"/>
      <c r="D48" s="44"/>
      <c r="E48" s="44">
        <f t="shared" ref="E48:K48" si="11">E25+E36+E38</f>
        <v>-67</v>
      </c>
      <c r="F48" s="43">
        <f t="shared" si="11"/>
        <v>-88.8</v>
      </c>
      <c r="G48" s="43">
        <f t="shared" si="11"/>
        <v>-126.1</v>
      </c>
      <c r="H48" s="43">
        <f t="shared" si="11"/>
        <v>-129.30000000000001</v>
      </c>
      <c r="I48" s="43">
        <f t="shared" si="11"/>
        <v>-169.7</v>
      </c>
      <c r="J48" s="43">
        <f t="shared" si="11"/>
        <v>-257</v>
      </c>
      <c r="K48" s="43">
        <f t="shared" si="11"/>
        <v>-409.053</v>
      </c>
      <c r="L48" s="43">
        <f>Master!F13</f>
        <v>-965.10599999999999</v>
      </c>
      <c r="M48" s="43">
        <f>M25+M36+M38</f>
        <v>-583.173</v>
      </c>
      <c r="N48" s="43">
        <f>N25+N36+N38</f>
        <v>-794.02800000000002</v>
      </c>
      <c r="O48" s="43">
        <f>O25+O36+O38</f>
        <v>-879.9</v>
      </c>
      <c r="P48" s="43">
        <f>P25+P36+P38</f>
        <v>-870.79900000000021</v>
      </c>
      <c r="Q48" s="43">
        <f>Master!G13</f>
        <v>-3127</v>
      </c>
      <c r="R48" s="43">
        <f>R25+R36+R38</f>
        <v>-966.12099999999998</v>
      </c>
      <c r="S48" s="43">
        <f>S25+S36+S38</f>
        <v>-1086.5999999999999</v>
      </c>
      <c r="T48" s="43">
        <f>T25+T36+T38</f>
        <v>-1216.6857237915362</v>
      </c>
      <c r="U48" s="43">
        <f>U25+U36+U38</f>
        <v>-1280.5049267792797</v>
      </c>
      <c r="V48" s="43">
        <f>Master!H13</f>
        <v>-4549.9116505708153</v>
      </c>
      <c r="W48" s="43">
        <f>W25+W36+W38</f>
        <v>-1311.5237913831511</v>
      </c>
      <c r="X48" s="43">
        <f>X25+X36+X38</f>
        <v>-1305.0298394552774</v>
      </c>
      <c r="Y48" s="43">
        <f>Y25+Y36+Y38</f>
        <v>-1344.5043408828792</v>
      </c>
      <c r="Z48" s="43">
        <f>Z25+Z36+Z38</f>
        <v>-1497.0468346786183</v>
      </c>
      <c r="AA48" s="43">
        <f>Master!I13</f>
        <v>-5458.104806399926</v>
      </c>
      <c r="AC48" s="253"/>
      <c r="AD48" s="257">
        <f>I48/E48-1</f>
        <v>1.5328358208955222</v>
      </c>
      <c r="AE48" s="257">
        <f>J48/F48-1</f>
        <v>1.8941441441441444</v>
      </c>
      <c r="AF48" s="257">
        <f>K48/G48-1</f>
        <v>2.2438778747026169</v>
      </c>
      <c r="AH48" s="257">
        <f>M48/H48-1</f>
        <v>3.5102320185614841</v>
      </c>
      <c r="AI48" s="257">
        <f>N48/I48-1</f>
        <v>3.6790100176782561</v>
      </c>
      <c r="AJ48" s="257">
        <f>O48/J48-1</f>
        <v>2.4237354085603111</v>
      </c>
      <c r="AK48" s="257">
        <f>P48/K48-1</f>
        <v>1.1288170481575741</v>
      </c>
      <c r="AL48" s="257"/>
      <c r="AM48" s="257">
        <f>R48/M48-1</f>
        <v>0.65666277416821428</v>
      </c>
      <c r="AN48" s="257">
        <f>S48/N48-1</f>
        <v>0.36846559567168891</v>
      </c>
      <c r="AO48" s="257">
        <f>T48/O48-1</f>
        <v>0.38275454459772273</v>
      </c>
      <c r="AP48" s="257">
        <f>U48/P48-1</f>
        <v>0.47049425502243269</v>
      </c>
    </row>
    <row r="49" spans="2:42" x14ac:dyDescent="0.6">
      <c r="B49" s="17"/>
      <c r="C49" s="17"/>
      <c r="E49" s="336"/>
      <c r="F49" s="336"/>
      <c r="G49" s="336"/>
      <c r="H49" s="336"/>
      <c r="I49" s="336"/>
      <c r="J49" s="336"/>
      <c r="K49" s="336"/>
      <c r="M49" s="336"/>
      <c r="N49" s="336"/>
      <c r="O49" s="336"/>
      <c r="AC49" s="510"/>
      <c r="AD49" s="257"/>
      <c r="AE49" s="257"/>
      <c r="AF49" s="257"/>
      <c r="AH49" s="257"/>
      <c r="AI49" s="257"/>
      <c r="AJ49" s="257"/>
      <c r="AK49" s="257"/>
      <c r="AL49" s="257"/>
      <c r="AM49" s="257"/>
      <c r="AN49" s="257"/>
      <c r="AO49" s="257"/>
      <c r="AP49" s="257"/>
    </row>
    <row r="50" spans="2:42" x14ac:dyDescent="0.6">
      <c r="B50" s="40" t="s">
        <v>1103</v>
      </c>
      <c r="C50" s="40"/>
      <c r="D50" s="290">
        <v>4.4631599999999985</v>
      </c>
      <c r="E50" s="290">
        <v>5.3755646153846151</v>
      </c>
      <c r="F50" s="290">
        <v>5.3789787878787871</v>
      </c>
      <c r="G50" s="290">
        <v>5.3990742424242431</v>
      </c>
      <c r="H50" s="290">
        <v>5.4777406249999983</v>
      </c>
      <c r="I50" s="290">
        <v>5.2967830769230799</v>
      </c>
      <c r="J50" s="290">
        <v>5.2313954545454555</v>
      </c>
      <c r="K50" s="290">
        <v>5.5854212121212115</v>
      </c>
      <c r="L50" s="59"/>
      <c r="M50" s="290">
        <v>5.2281369230769217</v>
      </c>
      <c r="N50" s="290">
        <v>4.9210707692307709</v>
      </c>
      <c r="O50" s="290">
        <v>5.2464393939393945</v>
      </c>
      <c r="P50" s="290">
        <v>5.26</v>
      </c>
      <c r="Q50" s="59"/>
      <c r="R50" s="290">
        <v>5.19</v>
      </c>
      <c r="S50" s="290">
        <v>4.95</v>
      </c>
      <c r="T50" s="290">
        <v>4.95</v>
      </c>
      <c r="U50" s="290">
        <v>4.95</v>
      </c>
      <c r="V50" s="290"/>
      <c r="W50" s="290">
        <f>U50</f>
        <v>4.95</v>
      </c>
      <c r="X50" s="290">
        <f>W50</f>
        <v>4.95</v>
      </c>
      <c r="Y50" s="290">
        <f>X50</f>
        <v>4.95</v>
      </c>
      <c r="Z50" s="290">
        <f>Y50</f>
        <v>4.95</v>
      </c>
      <c r="AA50" s="290">
        <f>Z50</f>
        <v>4.95</v>
      </c>
      <c r="AC50" s="510"/>
      <c r="AD50" s="257"/>
      <c r="AE50" s="257"/>
      <c r="AF50" s="257"/>
      <c r="AH50" s="257"/>
      <c r="AI50" s="257"/>
      <c r="AJ50" s="257"/>
      <c r="AK50" s="257"/>
      <c r="AL50" s="257"/>
      <c r="AM50" s="257"/>
      <c r="AN50" s="257"/>
      <c r="AO50" s="257"/>
      <c r="AP50" s="257"/>
    </row>
    <row r="51" spans="2:42" x14ac:dyDescent="0.6">
      <c r="B51" s="40"/>
      <c r="C51" s="40"/>
      <c r="D51" s="488"/>
      <c r="E51" s="488"/>
      <c r="F51" s="488"/>
      <c r="G51" s="488"/>
      <c r="H51" s="488"/>
      <c r="I51" s="488"/>
      <c r="J51" s="488"/>
      <c r="K51" s="488"/>
      <c r="L51" s="59"/>
      <c r="M51" s="488"/>
      <c r="N51" s="488"/>
      <c r="O51" s="488"/>
      <c r="P51" s="488"/>
      <c r="Q51" s="59"/>
      <c r="R51" s="59"/>
      <c r="S51" s="59"/>
      <c r="T51" s="488"/>
      <c r="U51" s="488"/>
      <c r="V51" s="488"/>
      <c r="W51" s="488"/>
      <c r="X51" s="488"/>
      <c r="Y51" s="488"/>
      <c r="Z51" s="488"/>
      <c r="AA51" s="488"/>
      <c r="AC51" s="534"/>
      <c r="AD51" s="486"/>
      <c r="AE51" s="486"/>
      <c r="AF51" s="486"/>
      <c r="AG51"/>
      <c r="AH51" s="486"/>
      <c r="AI51" s="486"/>
      <c r="AJ51" s="486"/>
      <c r="AK51" s="486"/>
      <c r="AL51" s="486"/>
      <c r="AM51" s="486"/>
      <c r="AN51" s="486"/>
      <c r="AO51" s="486"/>
      <c r="AP51" s="486"/>
    </row>
    <row r="52" spans="2:42" x14ac:dyDescent="0.6">
      <c r="B52" s="485" t="s">
        <v>868</v>
      </c>
      <c r="C52" s="485"/>
      <c r="D52" s="488"/>
      <c r="E52" s="488"/>
      <c r="F52" s="488"/>
      <c r="G52" s="488"/>
      <c r="H52" s="488"/>
      <c r="I52" s="488"/>
      <c r="J52" s="488"/>
      <c r="K52" s="488"/>
      <c r="L52" s="59"/>
      <c r="M52" s="488"/>
      <c r="N52" s="488"/>
      <c r="O52" s="488"/>
      <c r="P52" s="488"/>
      <c r="Q52" s="59"/>
      <c r="R52" s="59"/>
      <c r="S52" s="59"/>
      <c r="T52" s="488"/>
      <c r="U52" s="488"/>
      <c r="W52" s="488"/>
      <c r="X52" s="488"/>
      <c r="Y52" s="488"/>
      <c r="Z52" s="488"/>
      <c r="AC52" s="510"/>
      <c r="AD52" s="257"/>
      <c r="AE52" s="257"/>
      <c r="AF52" s="257"/>
      <c r="AH52" s="257"/>
      <c r="AI52" s="257"/>
      <c r="AJ52" s="257"/>
      <c r="AK52" s="257"/>
      <c r="AL52" s="257"/>
      <c r="AM52" s="257"/>
      <c r="AN52" s="257"/>
      <c r="AO52" s="257"/>
      <c r="AP52" s="257"/>
    </row>
    <row r="53" spans="2:42" x14ac:dyDescent="0.6">
      <c r="B53" s="89" t="str">
        <f>B6</f>
        <v>Total Revenue</v>
      </c>
      <c r="C53" s="89"/>
      <c r="D53" s="23">
        <f t="shared" ref="D53:K53" si="12">D6*D50</f>
        <v>964.48887599999955</v>
      </c>
      <c r="E53" s="23">
        <f t="shared" si="12"/>
        <v>872.45413707692308</v>
      </c>
      <c r="F53" s="23">
        <f t="shared" si="12"/>
        <v>839.65858878787878</v>
      </c>
      <c r="G53" s="23">
        <f t="shared" si="12"/>
        <v>1093.8524415151517</v>
      </c>
      <c r="H53" s="23">
        <f t="shared" si="12"/>
        <v>1342.0464531249995</v>
      </c>
      <c r="I53" s="23">
        <f t="shared" si="12"/>
        <v>1780.2487921538473</v>
      </c>
      <c r="J53" s="23">
        <f t="shared" si="12"/>
        <v>2515.7780740909093</v>
      </c>
      <c r="K53" s="23">
        <f t="shared" si="12"/>
        <v>3551.9927656363634</v>
      </c>
      <c r="L53" s="483"/>
      <c r="M53" s="23">
        <f>M6*M50</f>
        <v>4586.4719940969226</v>
      </c>
      <c r="N53" s="23">
        <f>N6*N50</f>
        <v>5696.4396007015412</v>
      </c>
      <c r="O53" s="23">
        <f>O6*O50</f>
        <v>6856.5716439393955</v>
      </c>
      <c r="P53" s="23">
        <f>P6*P50</f>
        <v>7628.4307199999994</v>
      </c>
      <c r="Q53" s="23"/>
      <c r="R53" s="23">
        <f>R6*R50</f>
        <v>8399.7762600000005</v>
      </c>
      <c r="S53" s="23">
        <f>S6*S50</f>
        <v>9249.57</v>
      </c>
      <c r="T53" s="23">
        <f>T6*T50</f>
        <v>10036.923356873043</v>
      </c>
      <c r="U53" s="23">
        <f>U6*U50</f>
        <v>10979.555165992086</v>
      </c>
      <c r="W53" s="23">
        <f>W6*W50</f>
        <v>11263.928086433538</v>
      </c>
      <c r="X53" s="23">
        <f>X6*X50</f>
        <v>11730.931129441014</v>
      </c>
      <c r="Y53" s="23">
        <f>Y6*Y50</f>
        <v>12453.578758326157</v>
      </c>
      <c r="Z53" s="23">
        <f>Z6*Z50</f>
        <v>14166.902025411589</v>
      </c>
      <c r="AC53" s="510"/>
      <c r="AD53" s="257"/>
      <c r="AE53" s="257"/>
      <c r="AF53" s="257"/>
      <c r="AH53" s="257"/>
      <c r="AI53" s="257"/>
      <c r="AJ53" s="257"/>
      <c r="AK53" s="257"/>
      <c r="AL53" s="257"/>
      <c r="AM53" s="257"/>
      <c r="AN53" s="257"/>
      <c r="AO53" s="257"/>
      <c r="AP53" s="257"/>
    </row>
    <row r="54" spans="2:42" x14ac:dyDescent="0.6">
      <c r="B54" s="89" t="str">
        <f>B7</f>
        <v>Interest income and gains (losses) on financial instruments</v>
      </c>
      <c r="C54" s="89"/>
      <c r="D54" s="23"/>
      <c r="E54" s="23"/>
      <c r="F54" s="23"/>
      <c r="G54" s="23"/>
      <c r="H54" s="484">
        <f>H7*H$50</f>
        <v>697.31638156249971</v>
      </c>
      <c r="I54" s="484">
        <f>I7*I$50</f>
        <v>979.37519092307753</v>
      </c>
      <c r="J54" s="484">
        <f>J7*J$50</f>
        <v>1543.2616590909095</v>
      </c>
      <c r="K54" s="484">
        <f>K7*K$50</f>
        <v>2455.0160395757575</v>
      </c>
      <c r="L54" s="483"/>
      <c r="M54" s="484">
        <f>M7*M$50</f>
        <v>3238.5328200415374</v>
      </c>
      <c r="N54" s="484">
        <f>N7*N$50</f>
        <v>4197.7373400738479</v>
      </c>
      <c r="O54" s="484">
        <f>O7*O$50</f>
        <v>5179.8096136363638</v>
      </c>
      <c r="P54" s="484">
        <f>P7*P$50</f>
        <v>5760.9834399999991</v>
      </c>
      <c r="Q54" s="23"/>
      <c r="R54" s="484">
        <f>R7*R$50</f>
        <v>6515.8062600000003</v>
      </c>
      <c r="S54" s="484">
        <f>S7*S$50</f>
        <v>7425.9900000000007</v>
      </c>
      <c r="T54" s="484">
        <f>T7*T$50</f>
        <v>8056.9233568730442</v>
      </c>
      <c r="U54" s="484">
        <f>U7*U$50</f>
        <v>8677.5041207621689</v>
      </c>
      <c r="W54" s="484">
        <f>W7*W$50</f>
        <v>9085.9280864335396</v>
      </c>
      <c r="X54" s="484">
        <f>X7*X$50</f>
        <v>9354.9311294410145</v>
      </c>
      <c r="Y54" s="484">
        <f>Y7*Y$50</f>
        <v>9879.5787583261572</v>
      </c>
      <c r="Z54" s="484">
        <f>Z7*Z$50</f>
        <v>11357.774555264255</v>
      </c>
      <c r="AC54" s="510"/>
      <c r="AD54" s="257"/>
      <c r="AE54" s="257"/>
      <c r="AF54" s="257"/>
      <c r="AH54" s="257"/>
      <c r="AI54" s="257"/>
      <c r="AJ54" s="257"/>
      <c r="AK54" s="257"/>
      <c r="AL54" s="257"/>
      <c r="AM54" s="257"/>
      <c r="AN54" s="257"/>
      <c r="AO54" s="257"/>
      <c r="AP54" s="257"/>
    </row>
    <row r="55" spans="2:42" x14ac:dyDescent="0.6">
      <c r="B55" s="89" t="str">
        <f>B14</f>
        <v>Fee and commission income</v>
      </c>
      <c r="C55" s="89"/>
      <c r="D55" s="23"/>
      <c r="E55" s="23"/>
      <c r="F55" s="23"/>
      <c r="G55" s="23"/>
      <c r="H55" s="484">
        <f>H14*H$50</f>
        <v>644.7300715624998</v>
      </c>
      <c r="I55" s="484">
        <f>I14*I$50</f>
        <v>800.87360123076962</v>
      </c>
      <c r="J55" s="484">
        <f>J14*J$50</f>
        <v>972.51641500000017</v>
      </c>
      <c r="K55" s="484">
        <f>K14*K$50</f>
        <v>1096.9767260606059</v>
      </c>
      <c r="L55" s="483"/>
      <c r="M55" s="484">
        <f>M14*M$50</f>
        <v>1347.9391740553842</v>
      </c>
      <c r="N55" s="484">
        <f>N14*N$50</f>
        <v>1498.7022606276928</v>
      </c>
      <c r="O55" s="484">
        <f>O14*O$50</f>
        <v>1676.7620303030305</v>
      </c>
      <c r="P55" s="484">
        <f>P14*P$50</f>
        <v>1867.4472799999994</v>
      </c>
      <c r="Q55" s="23"/>
      <c r="R55" s="484">
        <f>R14*R$50</f>
        <v>1883.9700000000003</v>
      </c>
      <c r="S55" s="484">
        <f>S14*S$50</f>
        <v>1823.58</v>
      </c>
      <c r="T55" s="484">
        <f>T14*T$50</f>
        <v>1980</v>
      </c>
      <c r="U55" s="484">
        <f>U14*U$50</f>
        <v>2302.0510452299168</v>
      </c>
      <c r="W55" s="484">
        <f>W14*W$50</f>
        <v>2178</v>
      </c>
      <c r="X55" s="484">
        <f>X14*X$50</f>
        <v>2376</v>
      </c>
      <c r="Y55" s="484">
        <f>Y14*Y$50</f>
        <v>2574</v>
      </c>
      <c r="Z55" s="484">
        <f>Z14*Z$50</f>
        <v>2809.1274701473344</v>
      </c>
      <c r="AC55" s="510"/>
      <c r="AD55" s="257"/>
      <c r="AE55" s="257"/>
      <c r="AF55" s="257"/>
      <c r="AH55" s="257"/>
      <c r="AI55" s="257"/>
      <c r="AJ55" s="257"/>
      <c r="AK55" s="257"/>
      <c r="AL55" s="257"/>
      <c r="AM55" s="257"/>
      <c r="AN55" s="257"/>
      <c r="AO55" s="257"/>
      <c r="AP55" s="257"/>
    </row>
    <row r="56" spans="2:42" x14ac:dyDescent="0.6">
      <c r="B56" s="40" t="s">
        <v>386</v>
      </c>
      <c r="C56" s="40"/>
      <c r="D56" s="23"/>
      <c r="E56" s="23">
        <f t="shared" ref="E56:K56" si="13">E53-D53</f>
        <v>-92.034738923076475</v>
      </c>
      <c r="F56" s="23">
        <f t="shared" si="13"/>
        <v>-32.795548289044291</v>
      </c>
      <c r="G56" s="23">
        <f t="shared" si="13"/>
        <v>254.19385272727288</v>
      </c>
      <c r="H56" s="23">
        <f t="shared" si="13"/>
        <v>248.19401160984785</v>
      </c>
      <c r="I56" s="23">
        <f t="shared" si="13"/>
        <v>438.20233902884775</v>
      </c>
      <c r="J56" s="23">
        <f t="shared" si="13"/>
        <v>735.52928193706202</v>
      </c>
      <c r="K56" s="23">
        <f t="shared" si="13"/>
        <v>1036.2146915454541</v>
      </c>
      <c r="L56" s="23"/>
      <c r="M56" s="23">
        <f>M53-K53</f>
        <v>1034.4792284605592</v>
      </c>
      <c r="N56" s="23">
        <f>N53-M53</f>
        <v>1109.9676066046186</v>
      </c>
      <c r="O56" s="23">
        <f>O53-N53</f>
        <v>1160.1320432378543</v>
      </c>
      <c r="P56" s="23">
        <f>P53-O53</f>
        <v>771.85907606060391</v>
      </c>
      <c r="Q56" s="23"/>
      <c r="R56" s="23">
        <f>R53-Q53</f>
        <v>8399.7762600000005</v>
      </c>
      <c r="S56" s="23">
        <f>S53-R53</f>
        <v>849.79373999999916</v>
      </c>
      <c r="T56" s="23">
        <f>T53-S53</f>
        <v>787.35335687304359</v>
      </c>
      <c r="U56" s="23">
        <f>U53-T53</f>
        <v>942.63180911904237</v>
      </c>
      <c r="W56" s="23">
        <f>W53-U53</f>
        <v>284.37292044145215</v>
      </c>
      <c r="X56" s="23">
        <f>X53-W53</f>
        <v>467.00304300747666</v>
      </c>
      <c r="Y56" s="23">
        <f>Y53-X53</f>
        <v>722.64762888514269</v>
      </c>
      <c r="Z56" s="23">
        <f>Z53-Y53</f>
        <v>1713.3232670854322</v>
      </c>
      <c r="AC56" s="510"/>
      <c r="AD56" s="257"/>
      <c r="AE56" s="257"/>
      <c r="AF56" s="257"/>
      <c r="AH56" s="257"/>
      <c r="AI56" s="257"/>
      <c r="AJ56" s="257"/>
      <c r="AK56" s="257"/>
      <c r="AL56" s="257"/>
      <c r="AM56" s="257"/>
      <c r="AN56" s="257"/>
      <c r="AO56" s="257"/>
      <c r="AP56" s="257"/>
    </row>
    <row r="57" spans="2:42" x14ac:dyDescent="0.6">
      <c r="B57" s="17"/>
      <c r="C57" s="17"/>
      <c r="T57" s="1186">
        <f>T4+T47</f>
        <v>857</v>
      </c>
      <c r="U57" s="1186">
        <f>U4+U47</f>
        <v>930.3</v>
      </c>
      <c r="W57" s="1186">
        <f t="shared" ref="W57:Z57" si="14">W4+W47</f>
        <v>1009</v>
      </c>
      <c r="X57" s="1186">
        <f t="shared" si="14"/>
        <v>1109</v>
      </c>
      <c r="Y57" s="1186">
        <f t="shared" si="14"/>
        <v>1237</v>
      </c>
      <c r="Z57" s="1186">
        <f t="shared" si="14"/>
        <v>1369.25</v>
      </c>
      <c r="AC57" s="510"/>
      <c r="AD57" s="257"/>
      <c r="AE57" s="257"/>
      <c r="AF57" s="257"/>
      <c r="AH57" s="257"/>
      <c r="AI57" s="257"/>
      <c r="AJ57" s="257"/>
      <c r="AK57" s="257"/>
      <c r="AL57" s="257"/>
      <c r="AM57" s="257"/>
      <c r="AN57" s="257"/>
      <c r="AO57" s="257"/>
      <c r="AP57" s="257"/>
    </row>
    <row r="58" spans="2:42" x14ac:dyDescent="0.6">
      <c r="B58" s="17"/>
      <c r="C58" s="17"/>
      <c r="T58" s="1187">
        <f>T57/T4</f>
        <v>0.41743789576229906</v>
      </c>
      <c r="U58" s="1187">
        <f>U57/U4</f>
        <v>0.41586946803755026</v>
      </c>
      <c r="W58" s="1187">
        <f t="shared" ref="W58:Z58" si="15">W57/W4</f>
        <v>0.43379191745485812</v>
      </c>
      <c r="X58" s="1187">
        <f t="shared" si="15"/>
        <v>0.45173116089613036</v>
      </c>
      <c r="Y58" s="1187">
        <f t="shared" si="15"/>
        <v>0.47123809523809523</v>
      </c>
      <c r="Z58" s="1187">
        <f t="shared" si="15"/>
        <v>0.47942927170868349</v>
      </c>
      <c r="AC58" s="510"/>
      <c r="AD58" s="257"/>
      <c r="AE58" s="257"/>
      <c r="AF58" s="257"/>
      <c r="AH58" s="257"/>
      <c r="AI58" s="257"/>
      <c r="AJ58" s="257"/>
      <c r="AK58" s="257"/>
      <c r="AL58" s="257"/>
      <c r="AM58" s="257"/>
      <c r="AN58" s="257"/>
      <c r="AO58" s="257"/>
      <c r="AP58" s="257"/>
    </row>
    <row r="59" spans="2:42" s="101" customFormat="1" ht="15.9" thickBot="1" x14ac:dyDescent="0.65">
      <c r="B59" s="65" t="s">
        <v>11</v>
      </c>
      <c r="C59" s="65"/>
      <c r="D59" s="54"/>
      <c r="E59" s="54">
        <f t="shared" ref="E59:K59" si="16">E6+E48</f>
        <v>95.300000000000011</v>
      </c>
      <c r="F59" s="54">
        <f t="shared" si="16"/>
        <v>67.300000000000026</v>
      </c>
      <c r="G59" s="54">
        <f t="shared" si="16"/>
        <v>76.500000000000028</v>
      </c>
      <c r="H59" s="54">
        <f t="shared" si="16"/>
        <v>115.69999999999999</v>
      </c>
      <c r="I59" s="54">
        <f t="shared" si="16"/>
        <v>166.40000000000003</v>
      </c>
      <c r="J59" s="54">
        <f t="shared" si="16"/>
        <v>223.89999999999998</v>
      </c>
      <c r="K59" s="121">
        <f t="shared" si="16"/>
        <v>226.88700000000006</v>
      </c>
      <c r="L59" s="54">
        <f>Master!F15</f>
        <v>731.85017000000016</v>
      </c>
      <c r="M59" s="54">
        <f>M6+M48</f>
        <v>294.09400000000005</v>
      </c>
      <c r="N59" s="54">
        <f>N6+N48</f>
        <v>363.53300000000013</v>
      </c>
      <c r="O59" s="54">
        <f>O6+O48</f>
        <v>427.00000000000011</v>
      </c>
      <c r="P59" s="54">
        <f>P6+P48</f>
        <v>579.47299999999973</v>
      </c>
      <c r="Q59" s="54">
        <f>Master!G15</f>
        <v>1663.1710000000003</v>
      </c>
      <c r="R59" s="54">
        <f>R6+R48</f>
        <v>652.33299999999997</v>
      </c>
      <c r="S59" s="54">
        <f>S6+S48</f>
        <v>782</v>
      </c>
      <c r="T59" s="54">
        <f>T6+T48</f>
        <v>810.97556042524025</v>
      </c>
      <c r="U59" s="54">
        <f>U6+U48</f>
        <v>937.58702594639408</v>
      </c>
      <c r="V59" s="54">
        <f>Master!H15</f>
        <v>3182.8955863716346</v>
      </c>
      <c r="W59" s="54">
        <f>W6+W48</f>
        <v>964.01723617917969</v>
      </c>
      <c r="X59" s="54">
        <f>X6+X48</f>
        <v>1064.8552371994729</v>
      </c>
      <c r="Y59" s="54">
        <f>Y6+Y48</f>
        <v>1171.3701557486675</v>
      </c>
      <c r="Z59" s="54">
        <f>Z6+Z48</f>
        <v>1364.9535744954401</v>
      </c>
      <c r="AA59" s="54">
        <f>Master!I15</f>
        <v>4565.1962036227596</v>
      </c>
      <c r="AB59" s="511"/>
      <c r="AC59" s="511"/>
      <c r="AD59" s="256">
        <f>I59/E59-1</f>
        <v>0.74606505771248699</v>
      </c>
      <c r="AE59" s="256">
        <f>J59/F59-1</f>
        <v>2.3268945022288245</v>
      </c>
      <c r="AF59" s="256">
        <f>K59/G59-1</f>
        <v>1.9658431372549017</v>
      </c>
      <c r="AH59" s="256">
        <f>M59/H59-1</f>
        <v>1.5418668971477967</v>
      </c>
      <c r="AI59" s="256">
        <f>N59/I59-1</f>
        <v>1.1846935096153848</v>
      </c>
      <c r="AJ59" s="256">
        <f>O59/J59-1</f>
        <v>0.90710138454667333</v>
      </c>
      <c r="AK59" s="256">
        <f>P59/K59-1</f>
        <v>1.5540158757443114</v>
      </c>
      <c r="AL59" s="256"/>
      <c r="AM59" s="256">
        <f>R59/M59-1</f>
        <v>1.2181105360871007</v>
      </c>
      <c r="AN59" s="256">
        <f>S59/N59-1</f>
        <v>1.1511114534306368</v>
      </c>
      <c r="AO59" s="256">
        <f>T59/O59-1</f>
        <v>0.89924018834950825</v>
      </c>
      <c r="AP59" s="256">
        <f>U59/P59-1</f>
        <v>0.61799950290418115</v>
      </c>
    </row>
    <row r="60" spans="2:42" x14ac:dyDescent="0.6">
      <c r="B60" s="40" t="s">
        <v>372</v>
      </c>
      <c r="C60" s="40"/>
      <c r="D60" s="23"/>
      <c r="E60" s="271">
        <f t="shared" ref="E60:K60" si="17">E59/E6</f>
        <v>0.58718422674060389</v>
      </c>
      <c r="F60" s="271">
        <f t="shared" si="17"/>
        <v>0.43113388853299178</v>
      </c>
      <c r="G60" s="271">
        <f t="shared" si="17"/>
        <v>0.37759131293188558</v>
      </c>
      <c r="H60" s="271">
        <f t="shared" si="17"/>
        <v>0.47224489795918362</v>
      </c>
      <c r="I60" s="271">
        <f t="shared" si="17"/>
        <v>0.49509074680154724</v>
      </c>
      <c r="J60" s="271">
        <f t="shared" si="17"/>
        <v>0.4655853607818673</v>
      </c>
      <c r="K60" s="271">
        <f t="shared" si="17"/>
        <v>0.3567742239833947</v>
      </c>
      <c r="L60" s="271"/>
      <c r="M60" s="271">
        <f>M59/M6</f>
        <v>0.33523887254393481</v>
      </c>
      <c r="N60" s="271">
        <f>N59/N6</f>
        <v>0.31405083619783325</v>
      </c>
      <c r="O60" s="271">
        <f>O59/O6</f>
        <v>0.32672737011247999</v>
      </c>
      <c r="P60" s="271">
        <f>P59/P6</f>
        <v>0.39956159947926995</v>
      </c>
      <c r="Q60" s="271"/>
      <c r="R60" s="271">
        <f t="shared" ref="R60:AA60" si="18">R59/R6</f>
        <v>0.40305933934483157</v>
      </c>
      <c r="S60" s="271">
        <f t="shared" si="18"/>
        <v>0.41849513004388317</v>
      </c>
      <c r="T60" s="271">
        <f t="shared" si="18"/>
        <v>0.39995613011790343</v>
      </c>
      <c r="U60" s="271">
        <f t="shared" si="18"/>
        <v>0.42269980051740069</v>
      </c>
      <c r="V60" s="271">
        <f t="shared" si="18"/>
        <v>0.41160932748533774</v>
      </c>
      <c r="W60" s="271">
        <f t="shared" si="18"/>
        <v>0.4236430916879057</v>
      </c>
      <c r="X60" s="271">
        <f t="shared" si="18"/>
        <v>0.44932779554972624</v>
      </c>
      <c r="Y60" s="271">
        <f t="shared" si="18"/>
        <v>0.46559164907350953</v>
      </c>
      <c r="Z60" s="271">
        <f t="shared" si="18"/>
        <v>0.47692291381934165</v>
      </c>
      <c r="AA60" s="271">
        <f t="shared" si="18"/>
        <v>0.45545835638956106</v>
      </c>
      <c r="AC60" s="253"/>
      <c r="AD60" s="257"/>
      <c r="AE60" s="257"/>
      <c r="AF60" s="257"/>
      <c r="AH60" s="257"/>
      <c r="AI60" s="257"/>
      <c r="AJ60" s="257"/>
      <c r="AK60" s="257"/>
      <c r="AL60" s="257"/>
      <c r="AM60" s="257"/>
      <c r="AN60" s="257"/>
      <c r="AO60" s="257"/>
      <c r="AP60" s="257"/>
    </row>
    <row r="61" spans="2:42" x14ac:dyDescent="0.6">
      <c r="B61" s="40" t="s">
        <v>1113</v>
      </c>
      <c r="C61" s="40"/>
      <c r="D61" s="23"/>
      <c r="E61" s="271"/>
      <c r="F61" s="271"/>
      <c r="G61" s="271"/>
      <c r="H61" s="503">
        <f>H59/AVERAGE(G176,H176)*4</f>
        <v>0.13848823987072834</v>
      </c>
      <c r="I61" s="503">
        <f>I59/AVERAGE(H176,I176)*4</f>
        <v>0.17066666666666669</v>
      </c>
      <c r="J61" s="503">
        <f>J59/AVERAGE(I176,J176)*4</f>
        <v>0.1978308409356983</v>
      </c>
      <c r="K61" s="503">
        <f>K59/AVERAGE(J176,K176)*4</f>
        <v>0.1676112732242456</v>
      </c>
      <c r="L61" s="271"/>
      <c r="M61" s="503">
        <f>M59/AVERAGE(L176,M176)*4</f>
        <v>0.16955170358690463</v>
      </c>
      <c r="N61" s="503">
        <f>N59/AVERAGE(M176,N176)*4</f>
        <v>0.1811438181251947</v>
      </c>
      <c r="O61" s="503">
        <f>O59/AVERAGE(N176,O176)*4</f>
        <v>0.20400054869936815</v>
      </c>
      <c r="P61" s="503">
        <f>P59/AVERAGE(O176,P176)*4</f>
        <v>0.2506228424603637</v>
      </c>
      <c r="Q61" s="271"/>
      <c r="R61" s="503">
        <f>R59/AVERAGE(Q176,R176)*4</f>
        <v>0.24751773856953138</v>
      </c>
      <c r="S61" s="503">
        <f>S59/AVERAGE(R176,S176)*4</f>
        <v>0.26067752823034296</v>
      </c>
      <c r="T61" s="271"/>
      <c r="U61" s="271"/>
      <c r="V61" s="271"/>
      <c r="W61" s="271"/>
      <c r="X61" s="271"/>
      <c r="Y61" s="271"/>
      <c r="Z61" s="271"/>
      <c r="AA61" s="271"/>
      <c r="AC61" s="253"/>
      <c r="AD61" s="257"/>
      <c r="AE61" s="257"/>
      <c r="AF61" s="257"/>
      <c r="AH61" s="257"/>
      <c r="AI61" s="257"/>
      <c r="AJ61" s="257"/>
      <c r="AK61" s="257"/>
      <c r="AL61" s="257"/>
      <c r="AM61" s="257"/>
      <c r="AN61" s="257"/>
      <c r="AO61" s="257"/>
      <c r="AP61" s="257"/>
    </row>
    <row r="62" spans="2:42" x14ac:dyDescent="0.6">
      <c r="B62" s="40"/>
      <c r="C62" s="40"/>
      <c r="T62" s="1186">
        <f>T5+T24</f>
        <v>1157</v>
      </c>
      <c r="U62" s="1186">
        <f>U5+U24</f>
        <v>1296</v>
      </c>
      <c r="W62" s="1186">
        <f t="shared" ref="W62:Z62" si="19">W5+W24</f>
        <v>1349</v>
      </c>
      <c r="X62" s="1186">
        <f t="shared" si="19"/>
        <v>1442</v>
      </c>
      <c r="Y62" s="1186">
        <f t="shared" si="19"/>
        <v>1555</v>
      </c>
      <c r="Z62" s="1186">
        <f t="shared" si="19"/>
        <v>1706</v>
      </c>
      <c r="AC62" s="253"/>
      <c r="AD62" s="258"/>
      <c r="AE62" s="258"/>
      <c r="AF62" s="258"/>
      <c r="AH62" s="258"/>
      <c r="AI62" s="258"/>
      <c r="AJ62" s="258"/>
      <c r="AK62" s="258"/>
      <c r="AL62" s="258"/>
      <c r="AM62" s="258"/>
      <c r="AN62" s="258"/>
      <c r="AO62" s="258"/>
      <c r="AP62" s="258"/>
    </row>
    <row r="63" spans="2:42" x14ac:dyDescent="0.6">
      <c r="B63" s="40" t="s">
        <v>705</v>
      </c>
      <c r="C63" s="40"/>
      <c r="E63" s="23">
        <f t="shared" ref="E63:K63" si="20">E7+E25</f>
        <v>66.600000000000009</v>
      </c>
      <c r="F63" s="23">
        <f t="shared" si="20"/>
        <v>46.2</v>
      </c>
      <c r="G63" s="23">
        <f t="shared" si="20"/>
        <v>58.300000000000004</v>
      </c>
      <c r="H63" s="23">
        <f t="shared" si="20"/>
        <v>95.6</v>
      </c>
      <c r="I63" s="23">
        <f t="shared" si="20"/>
        <v>127.7</v>
      </c>
      <c r="J63" s="23">
        <f t="shared" si="20"/>
        <v>193.6</v>
      </c>
      <c r="K63" s="23">
        <f t="shared" si="20"/>
        <v>262.54000000000002</v>
      </c>
      <c r="M63" s="23">
        <f>M7+M25</f>
        <v>346.44</v>
      </c>
      <c r="N63" s="23">
        <f>N7+N25</f>
        <v>445.51300000000003</v>
      </c>
      <c r="O63" s="23">
        <f>O7+O25</f>
        <v>527.4</v>
      </c>
      <c r="P63" s="23">
        <f>P7+P25</f>
        <v>688.64699999999982</v>
      </c>
      <c r="R63" s="23">
        <f>R7+R25</f>
        <v>815.33299999999997</v>
      </c>
      <c r="S63" s="23">
        <f>S7+S25</f>
        <v>1046.8000000000002</v>
      </c>
      <c r="T63" s="23">
        <f>T7+T25</f>
        <v>1135.1037842167766</v>
      </c>
      <c r="U63" s="23">
        <f>U7+U25</f>
        <v>1269.537984936693</v>
      </c>
      <c r="W63" s="23">
        <f>W7+W25</f>
        <v>1344.9457752747494</v>
      </c>
      <c r="X63" s="23">
        <f>X7+X25</f>
        <v>1425.0678871122666</v>
      </c>
      <c r="Y63" s="23">
        <f>Y7+Y25</f>
        <v>1526.4499946707624</v>
      </c>
      <c r="Z63" s="23">
        <f>Z7+Z25</f>
        <v>1851.1420475453183</v>
      </c>
      <c r="AC63" s="253"/>
      <c r="AD63" s="258"/>
      <c r="AE63" s="258"/>
      <c r="AF63" s="258"/>
      <c r="AH63" s="258"/>
      <c r="AI63" s="258"/>
      <c r="AJ63" s="258"/>
      <c r="AK63" s="258"/>
      <c r="AL63" s="258"/>
      <c r="AM63" s="257">
        <f>R63/M63-1</f>
        <v>1.3534609167532619</v>
      </c>
      <c r="AN63" s="257">
        <f>S63/N63-1</f>
        <v>1.3496508519392254</v>
      </c>
      <c r="AO63" s="257">
        <f>T63/O63-1</f>
        <v>1.1522635271459549</v>
      </c>
      <c r="AP63" s="257">
        <f>U63/P63-1</f>
        <v>0.84352503523095756</v>
      </c>
    </row>
    <row r="64" spans="2:42" x14ac:dyDescent="0.6">
      <c r="B64" s="40" t="s">
        <v>707</v>
      </c>
      <c r="C64" s="40"/>
      <c r="E64" s="23"/>
      <c r="F64" s="23"/>
      <c r="G64" s="23"/>
      <c r="H64" s="23"/>
      <c r="I64" s="23"/>
      <c r="J64" s="23"/>
      <c r="K64" s="23"/>
      <c r="M64" s="23"/>
      <c r="N64" s="23"/>
      <c r="O64" s="23"/>
      <c r="P64" s="23"/>
      <c r="T64" s="23"/>
      <c r="U64" s="23"/>
      <c r="W64" s="23"/>
      <c r="X64" s="23"/>
      <c r="Y64" s="23"/>
      <c r="Z64" s="23"/>
      <c r="AC64" s="253"/>
      <c r="AD64" s="258"/>
      <c r="AE64" s="258"/>
      <c r="AF64" s="258"/>
      <c r="AH64" s="258"/>
      <c r="AI64" s="258"/>
      <c r="AJ64" s="258"/>
      <c r="AK64" s="258"/>
      <c r="AL64" s="258"/>
      <c r="AM64" s="258"/>
      <c r="AN64" s="258"/>
      <c r="AO64" s="258"/>
      <c r="AP64" s="258"/>
    </row>
    <row r="65" spans="2:42" x14ac:dyDescent="0.6">
      <c r="B65" s="40" t="s">
        <v>876</v>
      </c>
      <c r="C65" s="40"/>
      <c r="E65" s="23"/>
      <c r="F65" s="503"/>
      <c r="G65" s="503">
        <f>G63/AVERAGE(F176,G176)*4</f>
        <v>7.5625891814761981E-2</v>
      </c>
      <c r="H65" s="503">
        <f>H63/AVERAGE(G176,H176)*4</f>
        <v>0.11442934945239092</v>
      </c>
      <c r="I65" s="503">
        <f>I63/AVERAGE(H176,I176)*4</f>
        <v>0.13097435897435897</v>
      </c>
      <c r="J65" s="503">
        <f>J63/AVERAGE(I176,J176)*4</f>
        <v>0.17105873517262704</v>
      </c>
      <c r="K65" s="503">
        <f>K63/AVERAGE(J176,K176)*4</f>
        <v>0.19394969157463154</v>
      </c>
      <c r="M65" s="503">
        <f>M63/AVERAGE(L176,M176)*4</f>
        <v>0.19973033176687463</v>
      </c>
      <c r="N65" s="503">
        <f>N63/AVERAGE(M176,N176)*4</f>
        <v>0.22199339769542201</v>
      </c>
      <c r="O65" s="503">
        <f>O63/AVERAGE(N176,O176)*4</f>
        <v>0.25196695406099939</v>
      </c>
      <c r="P65" s="503">
        <f>P63/AVERAGE(O176,P176)*4</f>
        <v>0.29784074252260612</v>
      </c>
      <c r="R65" s="503">
        <f>R63/AVERAGE(Q176,R176)*4</f>
        <v>0.30936558527793584</v>
      </c>
      <c r="S65" s="503">
        <f>S63/AVERAGE(R176,S176)*4</f>
        <v>0.34894787282803458</v>
      </c>
      <c r="T65" s="503">
        <f>T63/AVERAGE(S176,T176)*4</f>
        <v>0.34324998674111173</v>
      </c>
      <c r="U65" s="503">
        <f>U63/AVERAGE(T176,U176)*4</f>
        <v>0.34753473904643828</v>
      </c>
      <c r="W65" s="503">
        <f>W63/AVERAGE(V176,W176)*4</f>
        <v>0.33823011351029608</v>
      </c>
      <c r="X65" s="503">
        <f>X63/AVERAGE(W176,X176)*4</f>
        <v>0.3349191983631854</v>
      </c>
      <c r="Y65" s="503">
        <f>Y63/AVERAGE(X176,Y176)*4</f>
        <v>0.32545774457288296</v>
      </c>
      <c r="Z65" s="503">
        <f>Z63/AVERAGE(Y176,Z176)*4</f>
        <v>0.35508543382389884</v>
      </c>
      <c r="AC65" s="253"/>
      <c r="AD65" s="258"/>
      <c r="AE65" s="258"/>
      <c r="AF65" s="258"/>
      <c r="AH65" s="258"/>
      <c r="AI65" s="258"/>
      <c r="AJ65" s="258"/>
      <c r="AK65" s="258"/>
      <c r="AL65" s="258"/>
      <c r="AM65" s="258"/>
      <c r="AN65" s="258"/>
      <c r="AO65" s="258"/>
      <c r="AP65" s="258"/>
    </row>
    <row r="66" spans="2:42" x14ac:dyDescent="0.6">
      <c r="B66" s="40"/>
      <c r="C66" s="40"/>
      <c r="AC66" s="253"/>
      <c r="AD66" s="258"/>
      <c r="AE66" s="258"/>
      <c r="AF66" s="258"/>
      <c r="AH66" s="258"/>
      <c r="AI66" s="258"/>
      <c r="AJ66" s="258"/>
      <c r="AK66" s="258"/>
      <c r="AL66" s="258"/>
      <c r="AM66" s="258"/>
      <c r="AN66" s="258"/>
      <c r="AO66" s="258"/>
      <c r="AP66" s="258"/>
    </row>
    <row r="67" spans="2:42" x14ac:dyDescent="0.6">
      <c r="B67" s="17" t="s">
        <v>92</v>
      </c>
      <c r="C67" s="17"/>
      <c r="AC67" s="238"/>
      <c r="AD67" s="259"/>
      <c r="AE67" s="259"/>
      <c r="AF67" s="259"/>
      <c r="AH67" s="259"/>
      <c r="AI67" s="259"/>
      <c r="AJ67" s="259"/>
      <c r="AK67" s="259"/>
      <c r="AL67" s="259"/>
      <c r="AM67" s="259"/>
      <c r="AN67" s="259"/>
      <c r="AO67" s="259"/>
      <c r="AP67" s="259"/>
    </row>
    <row r="68" spans="2:42" x14ac:dyDescent="0.6">
      <c r="B68" s="29" t="s">
        <v>93</v>
      </c>
      <c r="C68" s="29"/>
      <c r="D68" s="59"/>
      <c r="E68" s="59">
        <v>-26.4</v>
      </c>
      <c r="F68" s="59">
        <v>-28.9</v>
      </c>
      <c r="G68" s="59">
        <v>-28.5</v>
      </c>
      <c r="H68" s="59">
        <v>-32.1</v>
      </c>
      <c r="I68" s="59">
        <v>-40.1</v>
      </c>
      <c r="J68" s="59">
        <v>-51.6</v>
      </c>
      <c r="K68" s="407">
        <v>-65.8</v>
      </c>
      <c r="L68" s="43">
        <f>Master!F22</f>
        <v>-190.50899999999999</v>
      </c>
      <c r="M68" s="407">
        <v>-61.570999999999998</v>
      </c>
      <c r="N68" s="407">
        <v>-77.703000000000003</v>
      </c>
      <c r="O68" s="407">
        <v>-90.2</v>
      </c>
      <c r="P68" s="59">
        <f>-336-M68-N68-O68</f>
        <v>-106.52599999999997</v>
      </c>
      <c r="Q68" s="43">
        <f>Master!G22</f>
        <v>-335</v>
      </c>
      <c r="R68" s="59">
        <v>-108</v>
      </c>
      <c r="S68" s="59">
        <v>-113.3</v>
      </c>
      <c r="T68" s="114">
        <v>-130</v>
      </c>
      <c r="U68" s="43">
        <f>V68-T68-S68-R68</f>
        <v>-135.86685592737433</v>
      </c>
      <c r="V68" s="43">
        <f>Master!H22</f>
        <v>-487.16685592737434</v>
      </c>
      <c r="W68" s="1146">
        <v>-150</v>
      </c>
      <c r="X68" s="1146">
        <v>-160</v>
      </c>
      <c r="Y68" s="114">
        <v>-170</v>
      </c>
      <c r="Z68" s="43">
        <f>AA68-Y68-X68-W68</f>
        <v>-176.52621615648593</v>
      </c>
      <c r="AA68" s="43">
        <f>Master!I22</f>
        <v>-656.52621615648593</v>
      </c>
      <c r="AC68" s="238"/>
      <c r="AD68" s="257">
        <f>I68/E68-1</f>
        <v>0.51893939393939403</v>
      </c>
      <c r="AE68" s="257">
        <f>J68/F68-1</f>
        <v>0.7854671280276817</v>
      </c>
      <c r="AF68" s="257">
        <f>K68/G68-1</f>
        <v>1.3087719298245615</v>
      </c>
      <c r="AH68" s="257"/>
      <c r="AI68" s="257"/>
      <c r="AJ68" s="257"/>
      <c r="AK68" s="257"/>
      <c r="AL68" s="260"/>
      <c r="AM68" s="257"/>
      <c r="AN68" s="257"/>
      <c r="AO68" s="257"/>
      <c r="AP68" s="257"/>
    </row>
    <row r="69" spans="2:42" x14ac:dyDescent="0.6">
      <c r="B69" s="508" t="s">
        <v>971</v>
      </c>
      <c r="C69" s="508"/>
      <c r="D69" s="59"/>
      <c r="E69" s="268">
        <f>E68/E$6</f>
        <v>-0.16266173752310534</v>
      </c>
      <c r="F69" s="268">
        <f t="shared" ref="F69:V69" si="21">F68/F$6</f>
        <v>-0.18513773222293398</v>
      </c>
      <c r="G69" s="268">
        <f t="shared" si="21"/>
        <v>-0.14067127344521221</v>
      </c>
      <c r="H69" s="268">
        <f t="shared" si="21"/>
        <v>-0.13102040816326532</v>
      </c>
      <c r="I69" s="268">
        <f t="shared" si="21"/>
        <v>-0.11930972924724784</v>
      </c>
      <c r="J69" s="268">
        <f t="shared" si="21"/>
        <v>-0.10729881472239551</v>
      </c>
      <c r="K69" s="268">
        <f t="shared" si="21"/>
        <v>-0.10346888071201685</v>
      </c>
      <c r="L69" s="268">
        <f t="shared" si="21"/>
        <v>-0.11226512703625101</v>
      </c>
      <c r="M69" s="268">
        <f t="shared" si="21"/>
        <v>-7.0185017788199022E-2</v>
      </c>
      <c r="N69" s="268">
        <f>N68/N$6</f>
        <v>-6.7126484047061008E-2</v>
      </c>
      <c r="O69" s="268">
        <f>O68/O$6</f>
        <v>-6.9018287550692475E-2</v>
      </c>
      <c r="P69" s="268">
        <f>P68/P$6</f>
        <v>-7.345242823415192E-2</v>
      </c>
      <c r="Q69" s="268">
        <f t="shared" si="21"/>
        <v>-6.9934872888671409E-2</v>
      </c>
      <c r="R69" s="268">
        <f>R68/R$6</f>
        <v>-6.6730348839077289E-2</v>
      </c>
      <c r="S69" s="268">
        <f>S68/S$6</f>
        <v>-6.063362945520711E-2</v>
      </c>
      <c r="T69" s="268">
        <f t="shared" si="21"/>
        <v>-6.4113272276742725E-2</v>
      </c>
      <c r="U69" s="268">
        <f t="shared" si="21"/>
        <v>-6.1253933030330908E-2</v>
      </c>
      <c r="V69" s="268">
        <f t="shared" si="21"/>
        <v>-6.3E-2</v>
      </c>
      <c r="W69" s="268">
        <f>W68/W$6</f>
        <v>-6.5918389597522317E-2</v>
      </c>
      <c r="X69" s="268">
        <f>X68/X$6</f>
        <v>-6.7513822326714087E-2</v>
      </c>
      <c r="Y69" s="268">
        <f>Y68/Y$6</f>
        <v>-6.7570938147991699E-2</v>
      </c>
      <c r="Z69" s="268">
        <f>Z68/Z$6</f>
        <v>-6.1679311991233936E-2</v>
      </c>
      <c r="AA69" s="268">
        <f>AA68/AA$6</f>
        <v>-6.5500000000000003E-2</v>
      </c>
      <c r="AC69" s="238"/>
      <c r="AD69" s="257"/>
      <c r="AE69" s="257"/>
      <c r="AF69" s="257"/>
      <c r="AH69" s="257"/>
      <c r="AI69" s="257"/>
      <c r="AJ69" s="257"/>
      <c r="AK69" s="257"/>
      <c r="AL69" s="257"/>
      <c r="AM69" s="257"/>
      <c r="AN69" s="257"/>
      <c r="AO69" s="257"/>
      <c r="AP69" s="257"/>
    </row>
    <row r="70" spans="2:42" x14ac:dyDescent="0.6">
      <c r="B70" s="508"/>
      <c r="C70" s="508"/>
      <c r="D70" s="59"/>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C70" s="238"/>
      <c r="AD70" s="257"/>
      <c r="AE70" s="257"/>
      <c r="AF70" s="257"/>
      <c r="AH70" s="257"/>
      <c r="AI70" s="257"/>
      <c r="AJ70" s="257"/>
      <c r="AK70" s="257"/>
      <c r="AL70" s="257"/>
      <c r="AM70" s="257"/>
      <c r="AN70" s="257"/>
      <c r="AO70" s="257"/>
      <c r="AP70" s="257"/>
    </row>
    <row r="71" spans="2:42" x14ac:dyDescent="0.6">
      <c r="B71" s="29" t="s">
        <v>94</v>
      </c>
      <c r="C71" s="29"/>
      <c r="D71" s="59"/>
      <c r="E71" s="59">
        <v>-57</v>
      </c>
      <c r="F71" s="59">
        <v>-56.8</v>
      </c>
      <c r="G71" s="59">
        <v>-81.599999999999994</v>
      </c>
      <c r="H71" s="59">
        <v>-115.9</v>
      </c>
      <c r="I71" s="59">
        <v>-122.3</v>
      </c>
      <c r="J71" s="59">
        <v>-166.5</v>
      </c>
      <c r="K71" s="407">
        <v>-224.20099999999994</v>
      </c>
      <c r="L71" s="43">
        <f>Master!F26</f>
        <v>-628.90099999999995</v>
      </c>
      <c r="M71" s="407">
        <v>-245.108</v>
      </c>
      <c r="N71" s="407">
        <v>-229.505</v>
      </c>
      <c r="O71" s="407">
        <v>-261.8</v>
      </c>
      <c r="P71" s="407">
        <f>-1333-M71-N71-O71</f>
        <v>-596.58699999999999</v>
      </c>
      <c r="Q71" s="43">
        <f>Master!G26</f>
        <v>-1333</v>
      </c>
      <c r="R71" s="407">
        <v>-236</v>
      </c>
      <c r="S71" s="407">
        <v>-256.39999999999998</v>
      </c>
      <c r="T71" s="114">
        <v>-270</v>
      </c>
      <c r="U71" s="43">
        <f>V71-T71-S71-R71</f>
        <v>-320.19301317194311</v>
      </c>
      <c r="V71" s="43">
        <f>Master!H26</f>
        <v>-1082.5930131719431</v>
      </c>
      <c r="W71" s="114">
        <v>-325</v>
      </c>
      <c r="X71" s="114">
        <v>-335</v>
      </c>
      <c r="Y71" s="114">
        <v>-335</v>
      </c>
      <c r="Z71" s="43">
        <f>AA71-Y71-X71-W71</f>
        <v>-358.14563635306263</v>
      </c>
      <c r="AA71" s="43">
        <f>Master!I26</f>
        <v>-1353.1456363530626</v>
      </c>
      <c r="AC71" s="238"/>
      <c r="AD71" s="257">
        <f>I71/E71-1</f>
        <v>1.1456140350877191</v>
      </c>
      <c r="AE71" s="257">
        <f>J71/F71-1</f>
        <v>1.931338028169014</v>
      </c>
      <c r="AF71" s="257">
        <f>K71/G71-1</f>
        <v>1.7475612745098035</v>
      </c>
      <c r="AH71" s="257"/>
      <c r="AI71" s="257"/>
      <c r="AJ71" s="257"/>
      <c r="AK71" s="257"/>
      <c r="AL71" s="260"/>
      <c r="AM71" s="257"/>
      <c r="AN71" s="257"/>
      <c r="AO71" s="257"/>
      <c r="AP71" s="257"/>
    </row>
    <row r="72" spans="2:42" x14ac:dyDescent="0.6">
      <c r="B72" s="29"/>
      <c r="C72" s="29"/>
      <c r="D72" s="59"/>
      <c r="E72" s="268">
        <f t="shared" ref="E72:V72" si="22">E71/E$6</f>
        <v>-0.35120147874306834</v>
      </c>
      <c r="F72" s="268">
        <f t="shared" si="22"/>
        <v>-0.3638693145419602</v>
      </c>
      <c r="G72" s="268">
        <f t="shared" si="22"/>
        <v>-0.40276406712734447</v>
      </c>
      <c r="H72" s="268">
        <f t="shared" si="22"/>
        <v>-0.47306122448979593</v>
      </c>
      <c r="I72" s="268">
        <f t="shared" si="22"/>
        <v>-0.3638797976792621</v>
      </c>
      <c r="J72" s="268">
        <f t="shared" si="22"/>
        <v>-0.34622582657517159</v>
      </c>
      <c r="K72" s="268">
        <f t="shared" si="22"/>
        <v>-0.35255055508381283</v>
      </c>
      <c r="L72" s="268">
        <f t="shared" si="22"/>
        <v>-0.3706053291877302</v>
      </c>
      <c r="M72" s="268">
        <f t="shared" si="22"/>
        <v>-0.2793995442664548</v>
      </c>
      <c r="N72" s="268">
        <f>N71/N$6</f>
        <v>-0.19826600930750082</v>
      </c>
      <c r="O72" s="268">
        <f>O71/O$6</f>
        <v>-0.20032137118371718</v>
      </c>
      <c r="P72" s="268">
        <f>P71/P$6</f>
        <v>-0.41136214448048369</v>
      </c>
      <c r="Q72" s="268">
        <f t="shared" si="22"/>
        <v>-0.27827816585253429</v>
      </c>
      <c r="R72" s="268">
        <f>R71/R$6</f>
        <v>-0.14581816968539113</v>
      </c>
      <c r="S72" s="268">
        <f>S71/S$6</f>
        <v>-0.13721502729316065</v>
      </c>
      <c r="T72" s="268">
        <f t="shared" si="22"/>
        <v>-0.13315833472861949</v>
      </c>
      <c r="U72" s="268">
        <f t="shared" si="22"/>
        <v>-0.14435515749402456</v>
      </c>
      <c r="V72" s="268">
        <f t="shared" si="22"/>
        <v>-0.14000000000000001</v>
      </c>
      <c r="W72" s="268">
        <f>W71/W$6</f>
        <v>-0.14282317746129836</v>
      </c>
      <c r="X72" s="268">
        <f>X71/X$6</f>
        <v>-0.1413570654965576</v>
      </c>
      <c r="Y72" s="268">
        <f>Y71/Y$6</f>
        <v>-0.13315449576221894</v>
      </c>
      <c r="Z72" s="268">
        <f>Z71/Z$6</f>
        <v>-0.12513821982870349</v>
      </c>
      <c r="AA72" s="268">
        <f>AA71/AA$6</f>
        <v>-0.13500000000000001</v>
      </c>
      <c r="AC72" s="238"/>
      <c r="AD72" s="257"/>
      <c r="AE72" s="257"/>
      <c r="AF72" s="257"/>
      <c r="AH72" s="257"/>
      <c r="AI72" s="257"/>
      <c r="AJ72" s="257"/>
      <c r="AK72" s="257"/>
      <c r="AL72" s="257"/>
      <c r="AM72" s="257"/>
      <c r="AN72" s="257"/>
      <c r="AO72" s="257"/>
      <c r="AP72" s="257"/>
    </row>
    <row r="73" spans="2:42" x14ac:dyDescent="0.6">
      <c r="B73" s="931" t="s">
        <v>1258</v>
      </c>
      <c r="C73" s="29"/>
      <c r="D73" s="59"/>
      <c r="E73" s="268"/>
      <c r="F73" s="268"/>
      <c r="G73" s="268"/>
      <c r="H73" s="407">
        <v>-48.9</v>
      </c>
      <c r="I73" s="407">
        <v>-42.5</v>
      </c>
      <c r="J73" s="407">
        <v>-43.9</v>
      </c>
      <c r="K73" s="43">
        <f>-225-H73-I73-J73%</f>
        <v>-133.161</v>
      </c>
      <c r="L73" s="268"/>
      <c r="M73" s="407">
        <v>-77.7</v>
      </c>
      <c r="N73" s="407">
        <v>-59.8</v>
      </c>
      <c r="O73" s="407">
        <v>-79</v>
      </c>
      <c r="P73" s="407">
        <f>-286-356-M73-N73-O73</f>
        <v>-425.49999999999994</v>
      </c>
      <c r="Q73" s="268"/>
      <c r="R73" s="407">
        <v>-77.7</v>
      </c>
      <c r="S73" s="407">
        <v>-61</v>
      </c>
      <c r="T73" s="407">
        <v>-60</v>
      </c>
      <c r="U73" s="211">
        <f>Master!H29-R73-S73-T73</f>
        <v>-66.800000000000011</v>
      </c>
      <c r="V73" s="268"/>
      <c r="W73" s="407">
        <v>-70</v>
      </c>
      <c r="X73" s="407">
        <v>-70</v>
      </c>
      <c r="Y73" s="407">
        <v>-70</v>
      </c>
      <c r="Z73" s="211">
        <f>Master!I29-W73-X73-Y73</f>
        <v>-82.050000000000011</v>
      </c>
      <c r="AA73" s="268"/>
      <c r="AC73" s="238"/>
      <c r="AD73" s="257"/>
      <c r="AE73" s="257"/>
      <c r="AF73" s="257"/>
      <c r="AH73" s="257"/>
      <c r="AI73" s="257"/>
      <c r="AJ73" s="257"/>
      <c r="AK73" s="257"/>
      <c r="AL73" s="257"/>
      <c r="AM73" s="257"/>
      <c r="AN73" s="257"/>
      <c r="AO73" s="257"/>
      <c r="AP73" s="257"/>
    </row>
    <row r="74" spans="2:42" x14ac:dyDescent="0.6">
      <c r="B74" s="931" t="s">
        <v>1259</v>
      </c>
      <c r="C74" s="29"/>
      <c r="D74" s="59"/>
      <c r="E74" s="268"/>
      <c r="F74" s="268"/>
      <c r="G74" s="268"/>
      <c r="H74" s="43">
        <f>H71-H73</f>
        <v>-67</v>
      </c>
      <c r="I74" s="43">
        <f>I71-I73</f>
        <v>-79.8</v>
      </c>
      <c r="J74" s="43">
        <f>J71-J73</f>
        <v>-122.6</v>
      </c>
      <c r="K74" s="43">
        <f>K71-K73</f>
        <v>-91.039999999999935</v>
      </c>
      <c r="L74" s="268"/>
      <c r="M74" s="43">
        <f>M71-M73</f>
        <v>-167.40800000000002</v>
      </c>
      <c r="N74" s="43">
        <f>N71-N73</f>
        <v>-169.70499999999998</v>
      </c>
      <c r="O74" s="43">
        <f>O71-O73</f>
        <v>-182.8</v>
      </c>
      <c r="P74" s="43">
        <f>P71-P73</f>
        <v>-171.08700000000005</v>
      </c>
      <c r="Q74" s="268"/>
      <c r="R74" s="43">
        <f>R71-R73</f>
        <v>-158.30000000000001</v>
      </c>
      <c r="S74" s="43">
        <f>S71-S73</f>
        <v>-195.39999999999998</v>
      </c>
      <c r="T74" s="43">
        <f t="shared" ref="T74:Z74" si="23">T71-T73</f>
        <v>-210</v>
      </c>
      <c r="U74" s="43">
        <f t="shared" si="23"/>
        <v>-253.3930131719431</v>
      </c>
      <c r="V74" s="268"/>
      <c r="W74" s="43">
        <f t="shared" si="23"/>
        <v>-255</v>
      </c>
      <c r="X74" s="43">
        <f t="shared" si="23"/>
        <v>-265</v>
      </c>
      <c r="Y74" s="43">
        <f t="shared" si="23"/>
        <v>-265</v>
      </c>
      <c r="Z74" s="43">
        <f t="shared" si="23"/>
        <v>-276.09563635306262</v>
      </c>
      <c r="AA74" s="268"/>
      <c r="AC74" s="238"/>
      <c r="AD74" s="257"/>
      <c r="AE74" s="257"/>
      <c r="AF74" s="257"/>
      <c r="AH74" s="257"/>
      <c r="AI74" s="257"/>
      <c r="AJ74" s="257"/>
      <c r="AK74" s="257"/>
      <c r="AL74" s="257"/>
      <c r="AM74" s="257"/>
      <c r="AN74" s="257"/>
      <c r="AO74" s="257"/>
      <c r="AP74" s="257"/>
    </row>
    <row r="75" spans="2:42" x14ac:dyDescent="0.6">
      <c r="B75" s="931" t="s">
        <v>1260</v>
      </c>
      <c r="C75" s="29"/>
      <c r="D75" s="59"/>
      <c r="E75" s="268"/>
      <c r="F75" s="268"/>
      <c r="G75" s="268"/>
      <c r="H75" s="928">
        <f>-H74/H6</f>
        <v>0.27346938775510204</v>
      </c>
      <c r="I75" s="928">
        <f>-I74/I6</f>
        <v>0.23742933650699194</v>
      </c>
      <c r="J75" s="928">
        <f>-J74/J6</f>
        <v>0.25493865668538157</v>
      </c>
      <c r="K75" s="928">
        <f>-K74/K6</f>
        <v>0.14315815957480255</v>
      </c>
      <c r="L75" s="268"/>
      <c r="M75" s="928">
        <f>-M74/M6</f>
        <v>0.19082901784747403</v>
      </c>
      <c r="N75" s="928">
        <f>-N74/N6</f>
        <v>0.14660566484185281</v>
      </c>
      <c r="O75" s="928">
        <f>-O74/O6</f>
        <v>0.13987298186548319</v>
      </c>
      <c r="P75" s="928">
        <f>-P74/P6</f>
        <v>0.11796890514331108</v>
      </c>
      <c r="Q75" s="268"/>
      <c r="R75" s="928">
        <f>-R74/R6</f>
        <v>9.7809390937277182E-2</v>
      </c>
      <c r="S75" s="928">
        <f>-S74/S6</f>
        <v>0.10457026650968639</v>
      </c>
      <c r="T75" s="928">
        <f>-T74/T6</f>
        <v>0.10356759367781516</v>
      </c>
      <c r="U75" s="928">
        <f>-U74/U6</f>
        <v>0.11423918330372389</v>
      </c>
      <c r="V75" s="268"/>
      <c r="W75" s="928">
        <f>-W74/W6</f>
        <v>0.11206126231578795</v>
      </c>
      <c r="X75" s="928">
        <f>-X74/X6</f>
        <v>0.11181976822862021</v>
      </c>
      <c r="Y75" s="928">
        <f>-Y74/Y6</f>
        <v>0.10533116828951648</v>
      </c>
      <c r="Z75" s="928">
        <f>-Z74/Z6</f>
        <v>9.6469460824689671E-2</v>
      </c>
      <c r="AA75" s="268"/>
      <c r="AC75" s="238"/>
      <c r="AD75" s="257"/>
      <c r="AE75" s="257"/>
      <c r="AF75" s="257"/>
      <c r="AH75" s="257"/>
      <c r="AI75" s="257"/>
      <c r="AJ75" s="257"/>
      <c r="AK75" s="257"/>
      <c r="AL75" s="257"/>
      <c r="AM75" s="257"/>
      <c r="AN75" s="257"/>
      <c r="AO75" s="257"/>
      <c r="AP75" s="257"/>
    </row>
    <row r="76" spans="2:42" x14ac:dyDescent="0.6">
      <c r="B76" s="931"/>
      <c r="C76" s="29"/>
      <c r="D76" s="59"/>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C76" s="238"/>
      <c r="AD76" s="257"/>
      <c r="AE76" s="257"/>
      <c r="AF76" s="257"/>
      <c r="AH76" s="257"/>
      <c r="AI76" s="257"/>
      <c r="AJ76" s="257"/>
      <c r="AK76" s="257"/>
      <c r="AL76" s="257"/>
      <c r="AM76" s="257"/>
      <c r="AN76" s="257"/>
      <c r="AO76" s="257"/>
      <c r="AP76" s="257"/>
    </row>
    <row r="77" spans="2:42" x14ac:dyDescent="0.6">
      <c r="B77" s="29" t="s">
        <v>95</v>
      </c>
      <c r="C77" s="29"/>
      <c r="D77" s="59"/>
      <c r="E77" s="59">
        <v>-1.3</v>
      </c>
      <c r="F77" s="59">
        <v>-4.0999999999999996</v>
      </c>
      <c r="G77" s="59">
        <v>-7.9</v>
      </c>
      <c r="H77" s="59">
        <v>-4.9000000000000004</v>
      </c>
      <c r="I77" s="59">
        <v>-14.7</v>
      </c>
      <c r="J77" s="59">
        <v>-25.6</v>
      </c>
      <c r="K77" s="407">
        <v>-34.5</v>
      </c>
      <c r="L77" s="43">
        <f>Master!F34</f>
        <v>-79.573999999999998</v>
      </c>
      <c r="M77" s="407">
        <v>-27.608000000000001</v>
      </c>
      <c r="N77" s="407">
        <v>-36.207999999999998</v>
      </c>
      <c r="O77" s="407">
        <v>-38.1</v>
      </c>
      <c r="P77" s="407">
        <f>-153-M77-N77-O77</f>
        <v>-51.083999999999996</v>
      </c>
      <c r="Q77" s="43">
        <f>Master!G34</f>
        <v>-153</v>
      </c>
      <c r="R77" s="407">
        <v>-19</v>
      </c>
      <c r="S77" s="407">
        <v>-33.9</v>
      </c>
      <c r="T77" s="114">
        <v>-35</v>
      </c>
      <c r="U77" s="43">
        <f>V77-T77-S77-R77</f>
        <v>-43.096883540758178</v>
      </c>
      <c r="V77" s="43">
        <f>Master!H34</f>
        <v>-130.99688354075818</v>
      </c>
      <c r="W77" s="114">
        <v>-35</v>
      </c>
      <c r="X77" s="114">
        <v>-40</v>
      </c>
      <c r="Y77" s="114">
        <v>-40</v>
      </c>
      <c r="Z77" s="43">
        <f>AA77-Y77-X77-W77</f>
        <v>-54.79877486550069</v>
      </c>
      <c r="AA77" s="43">
        <f>Master!I34</f>
        <v>-169.79877486550069</v>
      </c>
      <c r="AC77" s="238"/>
      <c r="AD77" s="257">
        <f>I77/E77-1</f>
        <v>10.307692307692307</v>
      </c>
      <c r="AE77" s="257">
        <f>J77/F77-1</f>
        <v>5.2439024390243913</v>
      </c>
      <c r="AF77" s="257">
        <f>K77/G77-1</f>
        <v>3.3670886075949369</v>
      </c>
      <c r="AH77" s="257"/>
      <c r="AI77" s="257"/>
      <c r="AJ77" s="257"/>
      <c r="AK77" s="257"/>
      <c r="AL77" s="260"/>
      <c r="AM77" s="257"/>
      <c r="AN77" s="257"/>
      <c r="AO77" s="257"/>
      <c r="AP77" s="257"/>
    </row>
    <row r="78" spans="2:42" x14ac:dyDescent="0.6">
      <c r="B78" s="29"/>
      <c r="C78" s="29"/>
      <c r="D78" s="59"/>
      <c r="E78" s="268">
        <f t="shared" ref="E78:V78" si="24">E77/E$6</f>
        <v>-8.0098582871226121E-3</v>
      </c>
      <c r="F78" s="268">
        <f t="shared" si="24"/>
        <v>-2.6265214606021776E-2</v>
      </c>
      <c r="G78" s="268">
        <f t="shared" si="24"/>
        <v>-3.8993089832181638E-2</v>
      </c>
      <c r="H78" s="268">
        <f t="shared" si="24"/>
        <v>-0.02</v>
      </c>
      <c r="I78" s="268">
        <f t="shared" si="24"/>
        <v>-4.3736983040761672E-2</v>
      </c>
      <c r="J78" s="268">
        <f t="shared" si="24"/>
        <v>-5.3233520482428784E-2</v>
      </c>
      <c r="K78" s="268">
        <f t="shared" si="24"/>
        <v>-5.425040098122464E-2</v>
      </c>
      <c r="L78" s="268">
        <f t="shared" si="24"/>
        <v>-4.6892195217982553E-2</v>
      </c>
      <c r="M78" s="268">
        <f t="shared" si="24"/>
        <v>-3.1470464522203617E-2</v>
      </c>
      <c r="N78" s="268">
        <f>N77/N$6</f>
        <v>-3.1279561077126816E-2</v>
      </c>
      <c r="O78" s="268">
        <f>O77/O$6</f>
        <v>-2.9152957380059682E-2</v>
      </c>
      <c r="P78" s="268">
        <f>P77/P$6</f>
        <v>-3.5223737340305816E-2</v>
      </c>
      <c r="Q78" s="268">
        <f t="shared" si="24"/>
        <v>-3.1940404632736494E-2</v>
      </c>
      <c r="R78" s="268">
        <f>R77/R$6</f>
        <v>-1.173959840687471E-2</v>
      </c>
      <c r="S78" s="268">
        <f>S77/S$6</f>
        <v>-1.8141924435406187E-2</v>
      </c>
      <c r="T78" s="268">
        <f t="shared" si="24"/>
        <v>-1.7261265612969194E-2</v>
      </c>
      <c r="U78" s="268">
        <f t="shared" si="24"/>
        <v>-1.9429710065806391E-2</v>
      </c>
      <c r="V78" s="268">
        <f t="shared" si="24"/>
        <v>-1.6940404632736494E-2</v>
      </c>
      <c r="W78" s="268">
        <f>W77/W$6</f>
        <v>-1.5380957572755209E-2</v>
      </c>
      <c r="X78" s="268">
        <f>X77/X$6</f>
        <v>-1.6878455581678522E-2</v>
      </c>
      <c r="Y78" s="268">
        <f>Y77/Y$6</f>
        <v>-1.5899044270115695E-2</v>
      </c>
      <c r="Z78" s="268">
        <f>Z77/Z$6</f>
        <v>-1.9147018529363177E-2</v>
      </c>
      <c r="AA78" s="268">
        <f>AA77/AA$6</f>
        <v>-1.6940404632736494E-2</v>
      </c>
      <c r="AC78" s="238"/>
      <c r="AD78" s="257"/>
      <c r="AE78" s="257"/>
      <c r="AF78" s="257"/>
      <c r="AH78" s="257"/>
      <c r="AI78" s="257"/>
      <c r="AJ78" s="257"/>
      <c r="AK78" s="257"/>
      <c r="AL78" s="257"/>
      <c r="AM78" s="257"/>
      <c r="AN78" s="257"/>
      <c r="AO78" s="257"/>
      <c r="AP78" s="257"/>
    </row>
    <row r="79" spans="2:42" x14ac:dyDescent="0.6">
      <c r="B79" s="29"/>
      <c r="C79" s="29"/>
      <c r="D79" s="59"/>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C79" s="238"/>
      <c r="AD79" s="257"/>
      <c r="AE79" s="257"/>
      <c r="AF79" s="257"/>
      <c r="AH79" s="257"/>
      <c r="AI79" s="257"/>
      <c r="AJ79" s="257"/>
      <c r="AK79" s="257"/>
      <c r="AL79" s="257"/>
      <c r="AM79" s="257"/>
      <c r="AN79" s="257"/>
      <c r="AO79" s="257"/>
      <c r="AP79" s="257"/>
    </row>
    <row r="80" spans="2:42" x14ac:dyDescent="0.6">
      <c r="B80" s="29" t="s">
        <v>96</v>
      </c>
      <c r="C80" s="29"/>
      <c r="D80" s="59"/>
      <c r="E80" s="59">
        <v>-5.7</v>
      </c>
      <c r="F80" s="59">
        <v>-2.1</v>
      </c>
      <c r="G80" s="59">
        <v>16</v>
      </c>
      <c r="H80" s="59">
        <v>-16.2</v>
      </c>
      <c r="I80" s="59">
        <v>5</v>
      </c>
      <c r="J80" s="59">
        <v>-2</v>
      </c>
      <c r="K80" s="407">
        <v>9.102999999999998</v>
      </c>
      <c r="L80" s="43">
        <f>Master!F38</f>
        <v>-4.0970000000000004</v>
      </c>
      <c r="M80" s="407">
        <v>-27.457999999999998</v>
      </c>
      <c r="N80" s="407">
        <v>-44.728999999999999</v>
      </c>
      <c r="O80" s="407">
        <v>-31.8</v>
      </c>
      <c r="P80" s="407">
        <f>-150-M80-N80-O80</f>
        <v>-46.013000000000005</v>
      </c>
      <c r="Q80" s="43">
        <f>Master!G38</f>
        <v>-150</v>
      </c>
      <c r="R80" s="407">
        <v>-44</v>
      </c>
      <c r="S80" s="407">
        <v>-54.4</v>
      </c>
      <c r="T80" s="114">
        <v>-45</v>
      </c>
      <c r="U80" s="43">
        <f>V80-T80-S80-R80</f>
        <v>-41.599999999999994</v>
      </c>
      <c r="V80" s="43">
        <f>Master!H38</f>
        <v>-185</v>
      </c>
      <c r="W80" s="114">
        <v>-50</v>
      </c>
      <c r="X80" s="114">
        <v>-50</v>
      </c>
      <c r="Y80" s="114">
        <v>-52</v>
      </c>
      <c r="Z80" s="43">
        <f>AA80-Y80-X80-W80</f>
        <v>-51.500000000000028</v>
      </c>
      <c r="AA80" s="43">
        <f>Master!I38</f>
        <v>-203.50000000000003</v>
      </c>
      <c r="AC80" s="238"/>
      <c r="AD80" s="257">
        <f>I80/E80-1</f>
        <v>-1.8771929824561404</v>
      </c>
      <c r="AE80" s="257">
        <f>J80/F80-1</f>
        <v>-4.7619047619047672E-2</v>
      </c>
      <c r="AF80" s="257">
        <f>K80/G80-1</f>
        <v>-0.43106250000000013</v>
      </c>
      <c r="AH80" s="257"/>
      <c r="AI80" s="257"/>
      <c r="AJ80" s="257"/>
      <c r="AK80" s="257"/>
      <c r="AL80" s="260"/>
      <c r="AM80" s="257"/>
      <c r="AN80" s="257"/>
      <c r="AO80" s="257"/>
      <c r="AP80" s="257"/>
    </row>
    <row r="81" spans="2:42" x14ac:dyDescent="0.6">
      <c r="B81" s="1189"/>
      <c r="C81" s="1189"/>
      <c r="D81" s="1190"/>
      <c r="E81" s="268">
        <f t="shared" ref="E81:V81" si="25">E80/E$6</f>
        <v>-3.512014787430684E-2</v>
      </c>
      <c r="F81" s="268">
        <f t="shared" si="25"/>
        <v>-1.3452914798206277E-2</v>
      </c>
      <c r="G81" s="268">
        <f t="shared" si="25"/>
        <v>7.8973346495557734E-2</v>
      </c>
      <c r="H81" s="268">
        <f t="shared" si="25"/>
        <v>-6.6122448979591839E-2</v>
      </c>
      <c r="I81" s="268">
        <f t="shared" si="25"/>
        <v>1.4876524843796488E-2</v>
      </c>
      <c r="J81" s="268">
        <f t="shared" si="25"/>
        <v>-4.158868787689749E-3</v>
      </c>
      <c r="K81" s="268">
        <f t="shared" si="25"/>
        <v>1.4314243482089501E-2</v>
      </c>
      <c r="L81" s="268">
        <f t="shared" si="25"/>
        <v>-2.4143228165993233E-3</v>
      </c>
      <c r="M81" s="268">
        <f t="shared" si="25"/>
        <v>-3.1299478949966202E-2</v>
      </c>
      <c r="N81" s="268">
        <f>N80/N$6</f>
        <v>-3.8640728220802181E-2</v>
      </c>
      <c r="O81" s="268">
        <f>O80/O$6</f>
        <v>-2.4332389624301783E-2</v>
      </c>
      <c r="P81" s="268">
        <f>P80/P$6</f>
        <v>-3.1727151872200529E-2</v>
      </c>
      <c r="Q81" s="268">
        <f t="shared" si="25"/>
        <v>-3.1314122188957343E-2</v>
      </c>
      <c r="R81" s="268">
        <f>R80/R$6</f>
        <v>-2.7186438415920378E-2</v>
      </c>
      <c r="S81" s="268">
        <f>S80/S$6</f>
        <v>-2.9112704698704913E-2</v>
      </c>
      <c r="T81" s="268">
        <f t="shared" si="25"/>
        <v>-2.2193055788103249E-2</v>
      </c>
      <c r="U81" s="268">
        <f t="shared" si="25"/>
        <v>-1.8754858178390833E-2</v>
      </c>
      <c r="V81" s="268">
        <f t="shared" si="25"/>
        <v>-2.3924041338595291E-2</v>
      </c>
      <c r="W81" s="268">
        <f>W80/W$6</f>
        <v>-2.197279653250744E-2</v>
      </c>
      <c r="X81" s="268">
        <f>X80/X$6</f>
        <v>-2.1098069477098153E-2</v>
      </c>
      <c r="Y81" s="268">
        <f>Y80/Y$6</f>
        <v>-2.0668757551150403E-2</v>
      </c>
      <c r="Z81" s="268">
        <f>Z80/Z$6</f>
        <v>-1.7994406931221354E-2</v>
      </c>
      <c r="AA81" s="268">
        <f>AA80/AA$6</f>
        <v>-2.0302692675448191E-2</v>
      </c>
      <c r="AC81" s="238"/>
      <c r="AD81" s="257"/>
      <c r="AE81" s="257"/>
      <c r="AF81" s="257"/>
      <c r="AH81" s="257"/>
      <c r="AI81" s="257"/>
      <c r="AJ81" s="257"/>
      <c r="AK81" s="257"/>
      <c r="AL81" s="257"/>
      <c r="AM81" s="257"/>
      <c r="AN81" s="257"/>
      <c r="AO81" s="257"/>
      <c r="AP81" s="257"/>
    </row>
    <row r="82" spans="2:42" x14ac:dyDescent="0.6">
      <c r="B82" s="1189"/>
      <c r="C82" s="1189"/>
      <c r="D82" s="1190"/>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C82" s="238"/>
      <c r="AD82" s="257"/>
      <c r="AE82" s="257"/>
      <c r="AF82" s="257"/>
      <c r="AH82" s="257"/>
      <c r="AI82" s="257"/>
      <c r="AJ82" s="257"/>
      <c r="AK82" s="257"/>
      <c r="AL82" s="257"/>
      <c r="AM82" s="257"/>
      <c r="AN82" s="257"/>
      <c r="AO82" s="257"/>
      <c r="AP82" s="257"/>
    </row>
    <row r="83" spans="2:42" s="101" customFormat="1" ht="15.9" thickBot="1" x14ac:dyDescent="0.65">
      <c r="B83" s="102" t="s">
        <v>97</v>
      </c>
      <c r="C83" s="102"/>
      <c r="D83" s="54"/>
      <c r="E83" s="54">
        <f t="shared" ref="E83:K83" si="26">E80+E77+E71+E68</f>
        <v>-90.4</v>
      </c>
      <c r="F83" s="54">
        <f t="shared" si="26"/>
        <v>-91.9</v>
      </c>
      <c r="G83" s="54">
        <f t="shared" si="26"/>
        <v>-102</v>
      </c>
      <c r="H83" s="54">
        <f t="shared" si="26"/>
        <v>-169.1</v>
      </c>
      <c r="I83" s="54">
        <f t="shared" si="26"/>
        <v>-172.1</v>
      </c>
      <c r="J83" s="54">
        <f t="shared" si="26"/>
        <v>-245.7</v>
      </c>
      <c r="K83" s="54">
        <f t="shared" si="26"/>
        <v>-315.39799999999991</v>
      </c>
      <c r="L83" s="54">
        <f>Master!F40</f>
        <v>-903.0809999999999</v>
      </c>
      <c r="M83" s="54">
        <f>M80+M77+M71+M68</f>
        <v>-361.745</v>
      </c>
      <c r="N83" s="54">
        <f>N80+N77+N71+N68</f>
        <v>-388.14499999999998</v>
      </c>
      <c r="O83" s="54">
        <f>O80+O77+O71+O68</f>
        <v>-421.90000000000003</v>
      </c>
      <c r="P83" s="54">
        <f>P80+P77+P71+P68</f>
        <v>-800.20999999999992</v>
      </c>
      <c r="Q83" s="54">
        <f>Master!G40</f>
        <v>-1971</v>
      </c>
      <c r="R83" s="54">
        <f>R80+R77+R71+R68</f>
        <v>-407</v>
      </c>
      <c r="S83" s="54">
        <f>S80+S77+S71+S68</f>
        <v>-458</v>
      </c>
      <c r="T83" s="54">
        <f>T80+T77+T71+T68</f>
        <v>-480</v>
      </c>
      <c r="U83" s="54">
        <f>U80+U77+U71+U68</f>
        <v>-540.75675264007555</v>
      </c>
      <c r="V83" s="54">
        <f>Master!H40</f>
        <v>-1885.7567526400758</v>
      </c>
      <c r="W83" s="54">
        <f>W80+W77+W71+W68</f>
        <v>-560</v>
      </c>
      <c r="X83" s="54">
        <f>X80+X77+X71+X68</f>
        <v>-585</v>
      </c>
      <c r="Y83" s="54">
        <f>Y80+Y77+Y71+Y68</f>
        <v>-597</v>
      </c>
      <c r="Z83" s="54">
        <f>Z80+Z77+Z71+Z68</f>
        <v>-640.97062737504928</v>
      </c>
      <c r="AA83" s="54">
        <f>Master!I40</f>
        <v>-2382.9706273750494</v>
      </c>
      <c r="AB83" s="512"/>
      <c r="AC83" s="512"/>
      <c r="AD83" s="256">
        <f>I83/E83-1</f>
        <v>0.90376106194690253</v>
      </c>
      <c r="AE83" s="256">
        <f>J83/F83-1</f>
        <v>1.6735582154515773</v>
      </c>
      <c r="AF83" s="256">
        <f>K83/G83-1</f>
        <v>2.0921372549019601</v>
      </c>
      <c r="AH83" s="256">
        <f>M83/H83-1</f>
        <v>1.1392371377882911</v>
      </c>
      <c r="AI83" s="256">
        <f>N83/I83-1</f>
        <v>1.2553457292271935</v>
      </c>
      <c r="AJ83" s="256">
        <f>O83/J83-1</f>
        <v>0.71713471713471733</v>
      </c>
      <c r="AK83" s="256">
        <f>P83/K83-1</f>
        <v>1.5371435456153817</v>
      </c>
      <c r="AL83" s="256"/>
      <c r="AM83" s="256">
        <f>R83/M83-1</f>
        <v>0.12510193644694456</v>
      </c>
      <c r="AN83" s="256">
        <f>S83/N83-1</f>
        <v>0.17997140243981002</v>
      </c>
      <c r="AO83" s="256">
        <f>T83/O83-1</f>
        <v>0.13771035790471675</v>
      </c>
      <c r="AP83" s="256">
        <f>U83/P83-1</f>
        <v>-0.32423144844468876</v>
      </c>
    </row>
    <row r="84" spans="2:42" x14ac:dyDescent="0.6">
      <c r="B84" s="1189"/>
      <c r="C84" s="1189"/>
      <c r="D84" s="1190"/>
      <c r="E84" s="1190"/>
      <c r="F84" s="1190"/>
      <c r="G84" s="1190"/>
      <c r="H84" s="1190"/>
      <c r="I84" s="1190"/>
      <c r="J84" s="1190"/>
      <c r="K84" s="1190"/>
      <c r="L84" s="1190"/>
      <c r="M84" s="1190"/>
      <c r="N84" s="1190"/>
      <c r="O84" s="1190"/>
      <c r="P84" s="1190"/>
      <c r="Q84" s="1190"/>
      <c r="R84" s="1190"/>
      <c r="S84" s="1190"/>
      <c r="T84" s="1190"/>
      <c r="U84" s="1190"/>
      <c r="V84" s="1190"/>
      <c r="W84" s="1190"/>
      <c r="X84" s="1190"/>
      <c r="Y84" s="1190"/>
      <c r="Z84" s="1190"/>
      <c r="AA84" s="1190"/>
      <c r="AB84" s="510"/>
      <c r="AC84" s="510"/>
      <c r="AD84" s="257"/>
      <c r="AE84" s="257"/>
      <c r="AF84" s="257"/>
      <c r="AH84" s="257"/>
      <c r="AI84" s="257"/>
      <c r="AJ84" s="257"/>
      <c r="AK84" s="257"/>
      <c r="AL84" s="257"/>
      <c r="AM84" s="257"/>
      <c r="AN84" s="257"/>
      <c r="AO84" s="257"/>
      <c r="AP84" s="257"/>
    </row>
    <row r="85" spans="2:42" x14ac:dyDescent="0.6">
      <c r="B85" s="1191" t="s">
        <v>98</v>
      </c>
      <c r="C85" s="1191"/>
      <c r="D85" s="59"/>
      <c r="E85" s="59">
        <v>0</v>
      </c>
      <c r="F85" s="59">
        <v>-13.2</v>
      </c>
      <c r="G85" s="59">
        <v>-88</v>
      </c>
      <c r="H85" s="59">
        <v>0</v>
      </c>
      <c r="I85" s="59">
        <v>0</v>
      </c>
      <c r="J85" s="59">
        <v>0</v>
      </c>
      <c r="K85" s="59">
        <v>0</v>
      </c>
      <c r="L85" s="1190">
        <f>Master!F45</f>
        <v>0</v>
      </c>
      <c r="M85" s="59">
        <v>0</v>
      </c>
      <c r="N85" s="59">
        <v>0</v>
      </c>
      <c r="O85" s="59">
        <v>0</v>
      </c>
      <c r="P85" s="59">
        <v>0</v>
      </c>
      <c r="Q85" s="1190">
        <f>Master!G45</f>
        <v>0</v>
      </c>
      <c r="R85" s="59">
        <v>0</v>
      </c>
      <c r="S85" s="59">
        <v>0</v>
      </c>
      <c r="T85" s="1192">
        <f>(1+AM85)*O85</f>
        <v>0</v>
      </c>
      <c r="U85" s="1190">
        <f>V85-T85-S85-R85</f>
        <v>0</v>
      </c>
      <c r="V85" s="1190">
        <f>Master!H45</f>
        <v>0</v>
      </c>
      <c r="W85" s="1192">
        <v>0</v>
      </c>
      <c r="X85" s="1192">
        <v>0</v>
      </c>
      <c r="Y85" s="1192">
        <f>(1+AR85)*T85</f>
        <v>0</v>
      </c>
      <c r="Z85" s="1190">
        <f>AA85-Y85-X85-W85</f>
        <v>0</v>
      </c>
      <c r="AA85" s="1190">
        <f>Master!I45</f>
        <v>0</v>
      </c>
      <c r="AB85" s="238"/>
      <c r="AC85" s="238"/>
      <c r="AD85" s="257" t="e">
        <f>I85/E85-1</f>
        <v>#DIV/0!</v>
      </c>
      <c r="AE85" s="257">
        <f>J85/F85-1</f>
        <v>-1</v>
      </c>
      <c r="AF85" s="257">
        <f>K85/G85-1</f>
        <v>-1</v>
      </c>
      <c r="AH85" s="257"/>
      <c r="AI85" s="257"/>
      <c r="AJ85" s="257"/>
      <c r="AK85" s="257"/>
      <c r="AL85" s="260"/>
      <c r="AM85" s="257"/>
      <c r="AN85" s="257"/>
      <c r="AO85" s="257"/>
      <c r="AP85" s="257"/>
    </row>
    <row r="86" spans="2:42" x14ac:dyDescent="0.6">
      <c r="B86" s="1191"/>
      <c r="C86" s="1191"/>
      <c r="D86" s="59"/>
      <c r="E86" s="59"/>
      <c r="F86" s="59"/>
      <c r="G86" s="59"/>
      <c r="H86" s="59"/>
      <c r="I86" s="59"/>
      <c r="J86" s="59"/>
      <c r="K86" s="59"/>
      <c r="L86" s="1190"/>
      <c r="M86" s="59"/>
      <c r="N86" s="59"/>
      <c r="O86" s="59"/>
      <c r="P86" s="59"/>
      <c r="Q86" s="1190"/>
      <c r="R86" s="59"/>
      <c r="S86" s="59"/>
      <c r="T86" s="1192"/>
      <c r="U86" s="1190"/>
      <c r="V86" s="1190"/>
      <c r="W86" s="1192"/>
      <c r="X86" s="1192"/>
      <c r="Y86" s="1192"/>
      <c r="Z86" s="1190"/>
      <c r="AA86" s="1190"/>
      <c r="AB86" s="238"/>
      <c r="AC86" s="238"/>
      <c r="AD86" s="257"/>
      <c r="AE86" s="257"/>
      <c r="AF86" s="257"/>
      <c r="AH86" s="257"/>
      <c r="AI86" s="257"/>
      <c r="AJ86" s="257"/>
      <c r="AK86" s="257"/>
      <c r="AL86" s="260"/>
      <c r="AM86" s="257"/>
      <c r="AN86" s="257"/>
      <c r="AO86" s="257"/>
      <c r="AP86" s="257"/>
    </row>
    <row r="87" spans="2:42" x14ac:dyDescent="0.6">
      <c r="B87" s="40" t="s">
        <v>1494</v>
      </c>
      <c r="C87" s="1157"/>
      <c r="D87" s="1158"/>
      <c r="E87" s="1158"/>
      <c r="F87" s="1158"/>
      <c r="G87" s="1158"/>
      <c r="H87" s="1159">
        <f>-(H83+H36-H73)/H63</f>
        <v>1.5324267782426779</v>
      </c>
      <c r="I87" s="1159">
        <f>-(I83+I36-I73)/I63</f>
        <v>1.2482380579483163</v>
      </c>
      <c r="J87" s="1159">
        <f>-(J83+J36-J73)/J63</f>
        <v>1.1900826446280992</v>
      </c>
      <c r="K87" s="1159">
        <f>-(K83+K36-K73)/K63</f>
        <v>0.81761255427744295</v>
      </c>
      <c r="L87" s="271"/>
      <c r="M87" s="1159">
        <f>-(M83+M36-M73)/M63</f>
        <v>0.91933090867105416</v>
      </c>
      <c r="N87" s="1159">
        <f>-(N83+N36-N73)/N63</f>
        <v>0.84482607690460199</v>
      </c>
      <c r="O87" s="1159">
        <f>-(O83+O36-O73)/O63</f>
        <v>0.73454683352294281</v>
      </c>
      <c r="P87" s="1159">
        <f>-(P83+P36-P73)/P63</f>
        <v>0.61530217949108912</v>
      </c>
      <c r="Q87" s="271"/>
      <c r="R87" s="1159">
        <f>-(R83+R36-R73)/R63</f>
        <v>0.46766167933838076</v>
      </c>
      <c r="S87" s="1159">
        <f>-(S83+S36-S73)/S63</f>
        <v>0.42013756209400072</v>
      </c>
      <c r="T87" s="1159">
        <f>-(T83+T36-T73)/T63</f>
        <v>0.41846393836820017</v>
      </c>
      <c r="U87" s="1159">
        <f>-(U83+U36-U73)/U63</f>
        <v>0.42665659402627959</v>
      </c>
      <c r="V87" s="271"/>
      <c r="W87" s="1159">
        <f>-(W83+W36-W73)/W63</f>
        <v>0.41637366375280194</v>
      </c>
      <c r="X87" s="1159">
        <f>-(X83+X36-X73)/X63</f>
        <v>0.41050675921512347</v>
      </c>
      <c r="Y87" s="1159">
        <f>-(Y83+Y36-Y73)/Y63</f>
        <v>0.39110354226098704</v>
      </c>
      <c r="Z87" s="1159">
        <f>-(Z83+Z36-Z73)/Z63</f>
        <v>0.34123293142882655</v>
      </c>
      <c r="AA87" s="1190"/>
      <c r="AB87" s="238"/>
      <c r="AC87" s="238"/>
      <c r="AD87" s="257"/>
      <c r="AE87" s="257"/>
      <c r="AF87" s="257"/>
      <c r="AH87" s="257"/>
      <c r="AI87" s="257"/>
      <c r="AJ87" s="257"/>
      <c r="AK87" s="257"/>
      <c r="AL87" s="260"/>
      <c r="AM87" s="257"/>
      <c r="AN87" s="257"/>
      <c r="AO87" s="257"/>
      <c r="AP87" s="257"/>
    </row>
    <row r="88" spans="2:42" x14ac:dyDescent="0.6">
      <c r="B88" s="1193"/>
      <c r="C88" s="1193"/>
      <c r="D88" s="1190"/>
      <c r="E88" s="1190"/>
      <c r="F88" s="1190"/>
      <c r="G88" s="1190"/>
      <c r="H88" s="1190"/>
      <c r="I88" s="1190"/>
      <c r="J88" s="1190"/>
      <c r="K88" s="1190"/>
      <c r="L88" s="1190"/>
      <c r="M88" s="1190"/>
      <c r="N88" s="1190"/>
      <c r="O88" s="1190"/>
      <c r="P88" s="1190"/>
      <c r="Q88" s="1190"/>
      <c r="R88" s="1190"/>
      <c r="S88" s="1190"/>
      <c r="T88" s="1190"/>
      <c r="U88" s="1190"/>
      <c r="V88" s="1190"/>
      <c r="W88" s="1190"/>
      <c r="X88" s="1190"/>
      <c r="Y88" s="1190"/>
      <c r="Z88" s="1190"/>
      <c r="AA88" s="1190"/>
      <c r="AB88" s="238"/>
      <c r="AC88" s="238"/>
      <c r="AD88" s="259"/>
      <c r="AE88" s="259"/>
      <c r="AF88" s="259"/>
      <c r="AH88" s="259"/>
      <c r="AI88" s="259"/>
      <c r="AJ88" s="259"/>
      <c r="AK88" s="259"/>
      <c r="AL88" s="259"/>
      <c r="AM88" s="259"/>
      <c r="AN88" s="259"/>
      <c r="AO88" s="259"/>
      <c r="AP88" s="259"/>
    </row>
    <row r="89" spans="2:42" s="101" customFormat="1" ht="15.9" thickBot="1" x14ac:dyDescent="0.65">
      <c r="B89" s="65" t="s">
        <v>12</v>
      </c>
      <c r="C89" s="65"/>
      <c r="D89" s="53"/>
      <c r="E89" s="53">
        <f t="shared" ref="E89:K89" si="27">E59+E83+E85</f>
        <v>4.9000000000000057</v>
      </c>
      <c r="F89" s="53">
        <f t="shared" si="27"/>
        <v>-37.799999999999983</v>
      </c>
      <c r="G89" s="53">
        <f t="shared" si="27"/>
        <v>-113.49999999999997</v>
      </c>
      <c r="H89" s="53">
        <f t="shared" si="27"/>
        <v>-53.400000000000006</v>
      </c>
      <c r="I89" s="53">
        <f t="shared" si="27"/>
        <v>-5.6999999999999602</v>
      </c>
      <c r="J89" s="53">
        <f t="shared" si="27"/>
        <v>-21.800000000000011</v>
      </c>
      <c r="K89" s="53">
        <f t="shared" si="27"/>
        <v>-88.510999999999854</v>
      </c>
      <c r="L89" s="53">
        <f>Master!F47</f>
        <v>-171.23082999999974</v>
      </c>
      <c r="M89" s="53">
        <f>M59+M83+M85</f>
        <v>-67.650999999999954</v>
      </c>
      <c r="N89" s="53">
        <f>N59+N83+N85</f>
        <v>-24.611999999999853</v>
      </c>
      <c r="O89" s="53">
        <f>O59+O83+O85</f>
        <v>5.1000000000000796</v>
      </c>
      <c r="P89" s="53">
        <f>P59+P83+P85</f>
        <v>-220.73700000000019</v>
      </c>
      <c r="Q89" s="53">
        <f>Master!G47</f>
        <v>-307.82899999999972</v>
      </c>
      <c r="R89" s="53">
        <f>R59+R83+R85</f>
        <v>245.33299999999997</v>
      </c>
      <c r="S89" s="53">
        <f>S59+S83+S85</f>
        <v>324</v>
      </c>
      <c r="T89" s="53">
        <f>T59+T83+T85</f>
        <v>330.97556042524025</v>
      </c>
      <c r="U89" s="53">
        <f>U59+U83+U85</f>
        <v>396.83027330631853</v>
      </c>
      <c r="V89" s="53">
        <f>Master!H47</f>
        <v>1297.1388337315589</v>
      </c>
      <c r="W89" s="53">
        <f>W59+W83+W85</f>
        <v>404.01723617917969</v>
      </c>
      <c r="X89" s="53">
        <f>X59+X83+X85</f>
        <v>479.85523719947287</v>
      </c>
      <c r="Y89" s="53">
        <f>Y59+Y83+Y85</f>
        <v>574.37015574866746</v>
      </c>
      <c r="Z89" s="53">
        <f>Z59+Z83+Z85</f>
        <v>723.9829471203908</v>
      </c>
      <c r="AA89" s="53">
        <f>Master!I47</f>
        <v>2182.2255762477103</v>
      </c>
      <c r="AB89" s="513"/>
      <c r="AC89" s="513"/>
      <c r="AD89" s="256">
        <f>I89/E89-1</f>
        <v>-2.1632653061224394</v>
      </c>
      <c r="AE89" s="256">
        <f>J89/F89-1</f>
        <v>-0.4232804232804227</v>
      </c>
      <c r="AF89" s="256">
        <f>K89/G89-1</f>
        <v>-0.22016740088105835</v>
      </c>
      <c r="AH89" s="256">
        <f>M89/H89-1</f>
        <v>0.26687265917602887</v>
      </c>
      <c r="AI89" s="256">
        <f>N89/I89-1</f>
        <v>3.3178947368421099</v>
      </c>
      <c r="AJ89" s="256">
        <f>O89/J89-1</f>
        <v>-1.233944954128444</v>
      </c>
      <c r="AK89" s="256">
        <f>P89/K89-1</f>
        <v>1.4938934143778804</v>
      </c>
      <c r="AL89" s="256"/>
      <c r="AM89" s="256">
        <f>R89/M89-1</f>
        <v>-4.6264504589732613</v>
      </c>
      <c r="AN89" s="256">
        <f>S89/N89-1</f>
        <v>-14.164310092637816</v>
      </c>
      <c r="AO89" s="256">
        <f>T89/O89-1</f>
        <v>63.897168710830414</v>
      </c>
      <c r="AP89" s="256">
        <f>U89/P89-1</f>
        <v>-2.797751502042332</v>
      </c>
    </row>
    <row r="90" spans="2:42" x14ac:dyDescent="0.6">
      <c r="B90" s="1193"/>
      <c r="C90" s="1193"/>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238"/>
      <c r="AC90" s="238"/>
      <c r="AD90" s="259"/>
      <c r="AE90" s="259"/>
      <c r="AF90" s="259"/>
      <c r="AH90" s="259"/>
      <c r="AI90" s="259"/>
      <c r="AJ90" s="259"/>
      <c r="AK90" s="259"/>
      <c r="AL90" s="259"/>
      <c r="AM90" s="259"/>
      <c r="AN90" s="259"/>
      <c r="AO90" s="259"/>
      <c r="AP90" s="259"/>
    </row>
    <row r="91" spans="2:42" x14ac:dyDescent="0.6">
      <c r="B91" s="1193" t="s">
        <v>99</v>
      </c>
      <c r="C91" s="1193"/>
      <c r="D91" s="59"/>
      <c r="E91" s="59">
        <v>-2.6</v>
      </c>
      <c r="F91" s="59">
        <v>-0.2</v>
      </c>
      <c r="G91" s="59">
        <v>-13.2</v>
      </c>
      <c r="H91" s="59">
        <v>-31.5</v>
      </c>
      <c r="I91" s="59">
        <v>-52.2</v>
      </c>
      <c r="J91" s="59">
        <v>-66.400000000000006</v>
      </c>
      <c r="K91" s="59">
        <v>-69.724000000000004</v>
      </c>
      <c r="L91" s="1190">
        <f>Master!F49</f>
        <v>-219.82400000000001</v>
      </c>
      <c r="M91" s="59">
        <v>-99.052000000000007</v>
      </c>
      <c r="N91" s="59">
        <v>-96.248999999999995</v>
      </c>
      <c r="O91" s="59">
        <v>-106.819</v>
      </c>
      <c r="P91" s="59">
        <f>-473-M91-N91-O91</f>
        <v>-170.87999999999994</v>
      </c>
      <c r="Q91" s="1190">
        <f>Master!G49</f>
        <v>-473</v>
      </c>
      <c r="R91" s="59">
        <v>-206</v>
      </c>
      <c r="S91" s="59">
        <v>-263</v>
      </c>
      <c r="T91" s="1192">
        <v>-250</v>
      </c>
      <c r="U91" s="1190">
        <f>V91-T91-S91-R91</f>
        <v>-253.85412529866915</v>
      </c>
      <c r="V91" s="1190">
        <f>Master!H49</f>
        <v>-972.85412529866915</v>
      </c>
      <c r="W91" s="1192">
        <v>-350</v>
      </c>
      <c r="X91" s="1192">
        <v>-350</v>
      </c>
      <c r="Y91" s="1192">
        <v>-350</v>
      </c>
      <c r="Z91" s="1190">
        <f>AA91-Y91-X91-W91</f>
        <v>-259.3353457486262</v>
      </c>
      <c r="AA91" s="1190">
        <f>Master!I49</f>
        <v>-1309.3353457486262</v>
      </c>
      <c r="AB91" s="510"/>
      <c r="AC91" s="510"/>
      <c r="AD91" s="257">
        <f>I91/E91-1</f>
        <v>19.076923076923077</v>
      </c>
      <c r="AE91" s="257">
        <f>J91/F91-1</f>
        <v>331</v>
      </c>
      <c r="AF91" s="257">
        <f>K91/G91-1</f>
        <v>4.2821212121212131</v>
      </c>
      <c r="AH91" s="257"/>
      <c r="AI91" s="257"/>
      <c r="AJ91" s="257"/>
      <c r="AK91" s="257"/>
      <c r="AL91" s="260"/>
      <c r="AM91" s="257"/>
      <c r="AN91" s="257"/>
      <c r="AO91" s="257"/>
      <c r="AP91" s="257"/>
    </row>
    <row r="92" spans="2:42" x14ac:dyDescent="0.6">
      <c r="B92" s="1194" t="s">
        <v>13</v>
      </c>
      <c r="C92" s="1194"/>
      <c r="D92" s="272"/>
      <c r="E92" s="272">
        <f>E91/E89</f>
        <v>-0.53061224489795855</v>
      </c>
      <c r="F92" s="272">
        <f t="shared" ref="F92:V92" si="28">F91/F89</f>
        <v>5.2910052910052933E-3</v>
      </c>
      <c r="G92" s="272">
        <f t="shared" si="28"/>
        <v>0.11629955947136567</v>
      </c>
      <c r="H92" s="272">
        <f t="shared" si="28"/>
        <v>0.58988764044943809</v>
      </c>
      <c r="I92" s="272">
        <f t="shared" si="28"/>
        <v>9.1578947368421701</v>
      </c>
      <c r="J92" s="272">
        <f t="shared" si="28"/>
        <v>3.0458715596330261</v>
      </c>
      <c r="K92" s="272">
        <f t="shared" si="28"/>
        <v>0.78774389623888685</v>
      </c>
      <c r="L92" s="272">
        <f t="shared" si="28"/>
        <v>1.28378750485529</v>
      </c>
      <c r="M92" s="272">
        <f>M91/M89</f>
        <v>1.4641616531906414</v>
      </c>
      <c r="N92" s="272">
        <f>N91/N89</f>
        <v>3.9106533398342505</v>
      </c>
      <c r="O92" s="272">
        <f>O91/O89</f>
        <v>-20.944901960783987</v>
      </c>
      <c r="P92" s="272">
        <f>P91/P89</f>
        <v>0.77413392408159842</v>
      </c>
      <c r="Q92" s="272">
        <f t="shared" si="28"/>
        <v>1.5365673799414623</v>
      </c>
      <c r="R92" s="272">
        <f>R91/R89</f>
        <v>-0.83967505390632335</v>
      </c>
      <c r="S92" s="272">
        <f>S91/S89</f>
        <v>-0.81172839506172845</v>
      </c>
      <c r="T92" s="272">
        <f t="shared" si="28"/>
        <v>-0.7553427802306546</v>
      </c>
      <c r="U92" s="272">
        <f t="shared" si="28"/>
        <v>-0.6397045345951109</v>
      </c>
      <c r="V92" s="272">
        <f t="shared" si="28"/>
        <v>-0.75</v>
      </c>
      <c r="W92" s="272">
        <f>W91/W89</f>
        <v>-0.86629967401880026</v>
      </c>
      <c r="X92" s="272">
        <f>X91/X89</f>
        <v>-0.72938664177693902</v>
      </c>
      <c r="Y92" s="272">
        <f>Y91/Y89</f>
        <v>-0.60936313716333268</v>
      </c>
      <c r="Z92" s="272">
        <f>Z91/Z89</f>
        <v>-0.35820642845265999</v>
      </c>
      <c r="AA92" s="272">
        <f>AA91/AA89</f>
        <v>-0.6</v>
      </c>
      <c r="AB92" s="238"/>
      <c r="AC92" s="238"/>
      <c r="AD92" s="259"/>
      <c r="AE92" s="259"/>
      <c r="AF92" s="259"/>
      <c r="AH92" s="259"/>
      <c r="AI92" s="259"/>
      <c r="AJ92" s="259"/>
      <c r="AK92" s="259"/>
      <c r="AL92" s="259"/>
      <c r="AM92" s="259"/>
      <c r="AN92" s="259"/>
      <c r="AO92" s="259"/>
      <c r="AP92" s="259"/>
    </row>
    <row r="93" spans="2:42" x14ac:dyDescent="0.6">
      <c r="B93" s="1193" t="s">
        <v>25</v>
      </c>
      <c r="C93" s="1193"/>
      <c r="D93" s="59"/>
      <c r="E93" s="59">
        <v>0.7</v>
      </c>
      <c r="F93" s="59">
        <v>5.5</v>
      </c>
      <c r="G93" s="59">
        <v>19.899999999999999</v>
      </c>
      <c r="H93" s="59">
        <v>35.4</v>
      </c>
      <c r="I93" s="59">
        <v>43.6</v>
      </c>
      <c r="J93" s="59">
        <v>53.8</v>
      </c>
      <c r="K93" s="59">
        <v>91.76400000000001</v>
      </c>
      <c r="L93" s="1190">
        <f>Master!F51</f>
        <v>224.654</v>
      </c>
      <c r="M93" s="59">
        <v>121.699</v>
      </c>
      <c r="N93" s="59">
        <v>91.010999999999996</v>
      </c>
      <c r="O93" s="59">
        <v>109.545</v>
      </c>
      <c r="P93" s="59">
        <f>417-M93-N93-O93</f>
        <v>94.74499999999999</v>
      </c>
      <c r="Q93" s="1190">
        <f>Master!G51</f>
        <v>417</v>
      </c>
      <c r="R93" s="59">
        <v>104</v>
      </c>
      <c r="S93" s="59">
        <v>163</v>
      </c>
      <c r="T93" s="1192">
        <v>150</v>
      </c>
      <c r="U93" s="1190">
        <f>V93-T93-S93-R93</f>
        <v>133</v>
      </c>
      <c r="V93" s="1190">
        <f>Master!H51</f>
        <v>550</v>
      </c>
      <c r="W93" s="1192">
        <v>200</v>
      </c>
      <c r="X93" s="1192">
        <v>175</v>
      </c>
      <c r="Y93" s="1192">
        <v>150</v>
      </c>
      <c r="Z93" s="1190">
        <f>AA93-Y93-X93-W93</f>
        <v>75</v>
      </c>
      <c r="AA93" s="1190">
        <f>Master!I51</f>
        <v>600</v>
      </c>
      <c r="AB93" s="510"/>
      <c r="AC93" s="510"/>
      <c r="AD93" s="257">
        <f>I93/E93-1</f>
        <v>61.285714285714292</v>
      </c>
      <c r="AE93" s="257">
        <f>J93/F93-1</f>
        <v>8.7818181818181813</v>
      </c>
      <c r="AF93" s="257">
        <f>K93/G93-1</f>
        <v>3.6112562814070364</v>
      </c>
      <c r="AH93" s="257"/>
      <c r="AI93" s="257"/>
      <c r="AJ93" s="257"/>
      <c r="AK93" s="257"/>
      <c r="AL93" s="260"/>
      <c r="AM93" s="257"/>
      <c r="AN93" s="257"/>
      <c r="AO93" s="257"/>
      <c r="AP93" s="257"/>
    </row>
    <row r="94" spans="2:42" x14ac:dyDescent="0.6">
      <c r="B94" s="1193"/>
      <c r="C94" s="1193"/>
      <c r="D94" s="1190"/>
      <c r="E94" s="1190"/>
      <c r="F94" s="1190"/>
      <c r="G94" s="1190"/>
      <c r="H94" s="1190"/>
      <c r="I94" s="1190"/>
      <c r="J94" s="1190"/>
      <c r="K94" s="1190"/>
      <c r="L94" s="1190"/>
      <c r="M94" s="1190"/>
      <c r="N94" s="1190"/>
      <c r="O94" s="1190"/>
      <c r="P94" s="1190"/>
      <c r="Q94" s="1190"/>
      <c r="R94" s="1190"/>
      <c r="S94" s="1190"/>
      <c r="T94" s="1186">
        <v>243</v>
      </c>
      <c r="U94" s="1186">
        <v>272</v>
      </c>
      <c r="V94" s="1190"/>
      <c r="W94" s="1190"/>
      <c r="X94" s="1190"/>
      <c r="Y94" s="1190"/>
      <c r="Z94" s="1190"/>
      <c r="AA94" s="1190"/>
      <c r="AB94" s="238"/>
      <c r="AC94" s="238"/>
      <c r="AD94" s="259"/>
      <c r="AE94" s="259"/>
      <c r="AF94" s="259"/>
      <c r="AH94" s="259"/>
      <c r="AI94" s="259"/>
      <c r="AJ94" s="259"/>
      <c r="AK94" s="259"/>
      <c r="AL94" s="259"/>
      <c r="AM94" s="259"/>
      <c r="AN94" s="259"/>
      <c r="AO94" s="259"/>
      <c r="AP94" s="259"/>
    </row>
    <row r="95" spans="2:42" x14ac:dyDescent="0.6">
      <c r="B95" s="1200" t="s">
        <v>1710</v>
      </c>
      <c r="C95" s="1193"/>
      <c r="D95" s="1190"/>
      <c r="E95" s="1190">
        <f t="shared" ref="E95:K95" si="29">E91+E93</f>
        <v>-1.9000000000000001</v>
      </c>
      <c r="F95" s="1190">
        <f t="shared" si="29"/>
        <v>5.3</v>
      </c>
      <c r="G95" s="1190">
        <f t="shared" si="29"/>
        <v>6.6999999999999993</v>
      </c>
      <c r="H95" s="1190">
        <f t="shared" si="29"/>
        <v>3.8999999999999986</v>
      </c>
      <c r="I95" s="1190">
        <f t="shared" si="29"/>
        <v>-8.6000000000000014</v>
      </c>
      <c r="J95" s="1190">
        <f t="shared" si="29"/>
        <v>-12.600000000000009</v>
      </c>
      <c r="K95" s="1190">
        <f t="shared" si="29"/>
        <v>22.040000000000006</v>
      </c>
      <c r="L95" s="1190"/>
      <c r="M95" s="1190">
        <f t="shared" ref="M95:P95" si="30">M91+M93</f>
        <v>22.646999999999991</v>
      </c>
      <c r="N95" s="1190">
        <f t="shared" si="30"/>
        <v>-5.2379999999999995</v>
      </c>
      <c r="O95" s="1190">
        <f t="shared" si="30"/>
        <v>2.7259999999999991</v>
      </c>
      <c r="P95" s="1190">
        <f t="shared" si="30"/>
        <v>-76.134999999999948</v>
      </c>
      <c r="Q95" s="1190"/>
      <c r="R95" s="1190">
        <f>R91+R93</f>
        <v>-102</v>
      </c>
      <c r="S95" s="1190">
        <f>S91+S93</f>
        <v>-100</v>
      </c>
      <c r="T95" s="1190">
        <f>T91+T93</f>
        <v>-100</v>
      </c>
      <c r="U95" s="1190">
        <f>U91+U93</f>
        <v>-120.85412529866915</v>
      </c>
      <c r="V95" s="1190"/>
      <c r="W95" s="1190">
        <f t="shared" ref="W95:Z95" si="31">W91+W93</f>
        <v>-150</v>
      </c>
      <c r="X95" s="1190">
        <f t="shared" si="31"/>
        <v>-175</v>
      </c>
      <c r="Y95" s="1190">
        <f t="shared" si="31"/>
        <v>-200</v>
      </c>
      <c r="Z95" s="1190">
        <f t="shared" si="31"/>
        <v>-184.3353457486262</v>
      </c>
      <c r="AA95" s="1190"/>
      <c r="AB95" s="238"/>
      <c r="AC95" s="238"/>
      <c r="AD95" s="259"/>
      <c r="AE95" s="259"/>
      <c r="AF95" s="259"/>
      <c r="AH95" s="259"/>
      <c r="AI95" s="259"/>
      <c r="AJ95" s="259"/>
      <c r="AK95" s="259"/>
      <c r="AL95" s="259"/>
      <c r="AM95" s="259"/>
      <c r="AN95" s="259"/>
      <c r="AO95" s="259"/>
      <c r="AP95" s="259"/>
    </row>
    <row r="96" spans="2:42" x14ac:dyDescent="0.6">
      <c r="B96" s="1193"/>
      <c r="C96" s="1193"/>
      <c r="D96" s="1190"/>
      <c r="E96" s="1190"/>
      <c r="F96" s="1190"/>
      <c r="G96" s="1190"/>
      <c r="H96" s="1190"/>
      <c r="I96" s="1190"/>
      <c r="J96" s="1190"/>
      <c r="K96" s="1190"/>
      <c r="L96" s="1190"/>
      <c r="M96" s="1190"/>
      <c r="N96" s="1190"/>
      <c r="O96" s="1190"/>
      <c r="P96" s="1190"/>
      <c r="Q96" s="1190"/>
      <c r="R96" s="1190"/>
      <c r="S96" s="1190"/>
      <c r="T96" s="1186"/>
      <c r="U96" s="1186"/>
      <c r="V96" s="1190"/>
      <c r="W96" s="1190"/>
      <c r="X96" s="1190"/>
      <c r="Y96" s="1190"/>
      <c r="Z96" s="1190"/>
      <c r="AA96" s="1190"/>
      <c r="AB96" s="238"/>
      <c r="AC96" s="238"/>
      <c r="AD96" s="259"/>
      <c r="AE96" s="259"/>
      <c r="AF96" s="259"/>
      <c r="AH96" s="259"/>
      <c r="AI96" s="259"/>
      <c r="AJ96" s="259"/>
      <c r="AK96" s="259"/>
      <c r="AL96" s="259"/>
      <c r="AM96" s="259"/>
      <c r="AN96" s="259"/>
      <c r="AO96" s="259"/>
      <c r="AP96" s="259"/>
    </row>
    <row r="97" spans="2:42" s="101" customFormat="1" ht="15.9" thickBot="1" x14ac:dyDescent="0.65">
      <c r="B97" s="71" t="s">
        <v>14</v>
      </c>
      <c r="C97" s="71"/>
      <c r="D97" s="53"/>
      <c r="E97" s="53">
        <f>E89+E91+E93</f>
        <v>3.0000000000000053</v>
      </c>
      <c r="F97" s="53">
        <f t="shared" ref="F97:T97" si="32">F89+F91+F93</f>
        <v>-32.499999999999986</v>
      </c>
      <c r="G97" s="53">
        <f t="shared" si="32"/>
        <v>-106.79999999999998</v>
      </c>
      <c r="H97" s="53">
        <f t="shared" si="32"/>
        <v>-49.500000000000007</v>
      </c>
      <c r="I97" s="53">
        <f t="shared" si="32"/>
        <v>-14.299999999999962</v>
      </c>
      <c r="J97" s="53">
        <f t="shared" si="32"/>
        <v>-34.40000000000002</v>
      </c>
      <c r="K97" s="53">
        <f t="shared" si="32"/>
        <v>-66.470999999999833</v>
      </c>
      <c r="L97" s="53">
        <f>Master!F56</f>
        <v>-166.40082999999976</v>
      </c>
      <c r="M97" s="53">
        <f>M89+M91+M93</f>
        <v>-45.003999999999976</v>
      </c>
      <c r="N97" s="53">
        <f>N89+N91+N93</f>
        <v>-29.849999999999852</v>
      </c>
      <c r="O97" s="53">
        <f>O89+O91+O93</f>
        <v>7.8260000000000787</v>
      </c>
      <c r="P97" s="53">
        <f>P89+P91+P93</f>
        <v>-296.87200000000013</v>
      </c>
      <c r="Q97" s="53">
        <f>Master!G56</f>
        <v>-363.82899999999972</v>
      </c>
      <c r="R97" s="53">
        <f>R89+R91+R93</f>
        <v>143.33299999999997</v>
      </c>
      <c r="S97" s="53">
        <f>S89+S91+S93</f>
        <v>224</v>
      </c>
      <c r="T97" s="53">
        <f t="shared" si="32"/>
        <v>230.97556042524025</v>
      </c>
      <c r="U97" s="53">
        <f>U89+U91+U93</f>
        <v>275.97614800764939</v>
      </c>
      <c r="V97" s="53">
        <f>Master!H56</f>
        <v>874.28470843288972</v>
      </c>
      <c r="W97" s="53">
        <f>W89+W91+W93</f>
        <v>254.01723617917969</v>
      </c>
      <c r="X97" s="53">
        <f>X89+X91+X93</f>
        <v>304.85523719947287</v>
      </c>
      <c r="Y97" s="53">
        <f>Y89+Y91+Y93</f>
        <v>374.37015574866746</v>
      </c>
      <c r="Z97" s="53">
        <f>Z89+Z91+Z93</f>
        <v>539.64760137176461</v>
      </c>
      <c r="AA97" s="53">
        <f>Master!I56</f>
        <v>1472.8902304990841</v>
      </c>
      <c r="AB97" s="513"/>
      <c r="AC97" s="513"/>
      <c r="AD97" s="256">
        <f>I97/E97-1</f>
        <v>-5.7666666666666453</v>
      </c>
      <c r="AE97" s="256">
        <f>J97/F97-1</f>
        <v>5.8461538461539453E-2</v>
      </c>
      <c r="AF97" s="256">
        <f>K97/G97-1</f>
        <v>-0.37761235955056327</v>
      </c>
      <c r="AH97" s="256">
        <f>M97/H97-1</f>
        <v>-9.082828282828348E-2</v>
      </c>
      <c r="AI97" s="256">
        <f>N97/I97-1</f>
        <v>1.0874125874125826</v>
      </c>
      <c r="AJ97" s="256">
        <f>O97/J97-1</f>
        <v>-1.2275000000000023</v>
      </c>
      <c r="AK97" s="256">
        <f>P97/K97-1</f>
        <v>3.4661882625505989</v>
      </c>
      <c r="AL97" s="256"/>
      <c r="AM97" s="256">
        <f>R97/M97-1</f>
        <v>-4.1848946760287991</v>
      </c>
      <c r="AN97" s="256">
        <f>S97/N97-1</f>
        <v>-8.5041876046901557</v>
      </c>
      <c r="AO97" s="256">
        <f>T97/O97-1</f>
        <v>28.513871764022223</v>
      </c>
      <c r="AP97" s="256">
        <f>U97/P97-1</f>
        <v>-1.9296132609597714</v>
      </c>
    </row>
    <row r="98" spans="2:42" x14ac:dyDescent="0.6">
      <c r="B98" s="40" t="s">
        <v>372</v>
      </c>
      <c r="C98" s="40"/>
      <c r="D98" s="23"/>
      <c r="E98" s="271">
        <f t="shared" ref="E98:K98" si="33">E97/E6</f>
        <v>1.8484288354898369E-2</v>
      </c>
      <c r="F98" s="271">
        <f t="shared" si="33"/>
        <v>-0.20819987187700181</v>
      </c>
      <c r="G98" s="271">
        <f t="shared" si="33"/>
        <v>-0.52714708785784781</v>
      </c>
      <c r="H98" s="271">
        <f t="shared" si="33"/>
        <v>-0.20204081632653065</v>
      </c>
      <c r="I98" s="271">
        <f t="shared" si="33"/>
        <v>-4.2546861053257841E-2</v>
      </c>
      <c r="J98" s="271">
        <f t="shared" si="33"/>
        <v>-7.1532543148263711E-2</v>
      </c>
      <c r="K98" s="271">
        <f t="shared" si="33"/>
        <v>-0.10452401169921663</v>
      </c>
      <c r="L98" s="271"/>
      <c r="M98" s="271">
        <f>M97/M6</f>
        <v>-5.1300231286484019E-2</v>
      </c>
      <c r="N98" s="271">
        <f>N97/N6</f>
        <v>-2.5786977964876018E-2</v>
      </c>
      <c r="O98" s="271">
        <f>O97/O6</f>
        <v>5.9882163899304293E-3</v>
      </c>
      <c r="P98" s="271">
        <f>P97/P6</f>
        <v>-0.20470091127733289</v>
      </c>
      <c r="Q98" s="271"/>
      <c r="R98" s="271">
        <f t="shared" ref="R98:AA98" si="34">R97/R6</f>
        <v>8.8561676760661706E-2</v>
      </c>
      <c r="S98" s="271">
        <f t="shared" si="34"/>
        <v>0.11987584287702023</v>
      </c>
      <c r="T98" s="271">
        <f t="shared" si="34"/>
        <v>0.11391229996012822</v>
      </c>
      <c r="U98" s="271">
        <f t="shared" si="34"/>
        <v>0.12442051722360728</v>
      </c>
      <c r="V98" s="271">
        <f t="shared" si="34"/>
        <v>0.11306174868243343</v>
      </c>
      <c r="W98" s="271">
        <f t="shared" si="34"/>
        <v>0.11162938092630006</v>
      </c>
      <c r="X98" s="271">
        <f t="shared" si="34"/>
        <v>0.12863713949783431</v>
      </c>
      <c r="Y98" s="271">
        <f t="shared" si="34"/>
        <v>0.14880319199145428</v>
      </c>
      <c r="Z98" s="271">
        <f t="shared" si="34"/>
        <v>0.18855608812701075</v>
      </c>
      <c r="AA98" s="271">
        <f t="shared" si="34"/>
        <v>0.14694662257736091</v>
      </c>
      <c r="AB98" s="510"/>
      <c r="AC98" s="510"/>
      <c r="AD98" s="257"/>
      <c r="AE98" s="257"/>
      <c r="AF98" s="257"/>
      <c r="AH98" s="257"/>
      <c r="AI98" s="257"/>
      <c r="AJ98" s="257"/>
      <c r="AK98" s="257"/>
      <c r="AL98" s="257"/>
    </row>
    <row r="99" spans="2:42" x14ac:dyDescent="0.6">
      <c r="B99" s="1193" t="s">
        <v>1243</v>
      </c>
      <c r="C99" s="1193"/>
      <c r="D99" s="1190"/>
      <c r="E99" s="1190"/>
      <c r="F99" s="1190"/>
      <c r="G99" s="1190"/>
      <c r="H99" s="1190"/>
      <c r="I99" s="1190">
        <f>I102-I97</f>
        <v>30.69999999999996</v>
      </c>
      <c r="J99" s="1190">
        <f>J102-J97</f>
        <v>33.200000000000017</v>
      </c>
      <c r="K99" s="1190">
        <f>K102-K97</f>
        <v>69.670999999999836</v>
      </c>
      <c r="L99" s="1190"/>
      <c r="M99" s="1190">
        <f>M102-M97</f>
        <v>55.103999999999978</v>
      </c>
      <c r="N99" s="1190">
        <f>N102-N97</f>
        <v>46.849999999999852</v>
      </c>
      <c r="O99" s="1190">
        <f>O102-O97</f>
        <v>65.173999999999921</v>
      </c>
      <c r="P99" s="1190">
        <f>P102-P97</f>
        <v>410.87200000000013</v>
      </c>
      <c r="Q99" s="1190"/>
      <c r="R99" s="1190">
        <f>R102-R97</f>
        <v>38.66700000000003</v>
      </c>
      <c r="S99" s="1190">
        <f>S102-S97</f>
        <v>38.699999999999989</v>
      </c>
      <c r="T99" s="59">
        <v>50</v>
      </c>
      <c r="U99" s="1190">
        <f>Master!H59-R99-S99-Quarts!T99</f>
        <v>72.632999999999981</v>
      </c>
      <c r="V99" s="1190"/>
      <c r="W99" s="59">
        <f>T99*W6/T6-1</f>
        <v>55.112454414231777</v>
      </c>
      <c r="X99" s="59">
        <f>W99*X6/W6-1</f>
        <v>56.397419634318361</v>
      </c>
      <c r="Y99" s="59">
        <f>X99*Y6/X6-1</f>
        <v>58.871607754960969</v>
      </c>
      <c r="Z99" s="1190">
        <f>Master!M59-Quarts!W99-Quarts!X99-Quarts!Y99</f>
        <v>84.874830696488942</v>
      </c>
      <c r="AA99" s="1190"/>
    </row>
    <row r="100" spans="2:42" x14ac:dyDescent="0.6">
      <c r="B100" s="1193"/>
      <c r="C100" s="1193"/>
      <c r="D100" s="1190"/>
      <c r="E100" s="1190"/>
      <c r="F100" s="1190"/>
      <c r="G100" s="1190"/>
      <c r="H100" s="1190"/>
      <c r="I100" s="1190"/>
      <c r="J100" s="1190"/>
      <c r="K100" s="1190"/>
      <c r="L100" s="1190"/>
      <c r="M100" s="1190"/>
      <c r="N100" s="1190"/>
      <c r="O100" s="1190"/>
      <c r="P100" s="1190"/>
      <c r="Q100" s="1190"/>
      <c r="R100" s="1190"/>
      <c r="S100" s="1190"/>
      <c r="T100" s="1186">
        <v>299</v>
      </c>
      <c r="U100" s="1186">
        <v>339</v>
      </c>
      <c r="V100" s="1190"/>
      <c r="W100" s="1186">
        <v>376</v>
      </c>
      <c r="X100" s="1186">
        <v>428</v>
      </c>
      <c r="Y100" s="1186">
        <v>497</v>
      </c>
      <c r="Z100" s="1186">
        <v>561</v>
      </c>
      <c r="AA100" s="1190"/>
    </row>
    <row r="101" spans="2:42" x14ac:dyDescent="0.6">
      <c r="B101" s="1193"/>
      <c r="C101" s="1193"/>
      <c r="D101" s="1190"/>
      <c r="E101" s="1190"/>
      <c r="F101" s="1190"/>
      <c r="G101" s="1190"/>
      <c r="H101" s="1190"/>
      <c r="I101" s="1190"/>
      <c r="J101" s="1190"/>
      <c r="K101" s="1190"/>
      <c r="L101" s="1190"/>
      <c r="M101" s="1190"/>
      <c r="N101" s="1190"/>
      <c r="O101" s="1190"/>
      <c r="P101" s="1190"/>
      <c r="Q101" s="1190"/>
      <c r="R101" s="1190"/>
      <c r="S101" s="1190"/>
      <c r="T101" s="1187">
        <f>T100/T4</f>
        <v>0.14564052605942523</v>
      </c>
      <c r="U101" s="1187">
        <f>U100/U4</f>
        <v>0.15154224407688868</v>
      </c>
      <c r="V101" s="1190"/>
      <c r="W101" s="1187">
        <f t="shared" ref="W101:Z101" si="35">W100/W4</f>
        <v>0.16165090283748926</v>
      </c>
      <c r="X101" s="1187">
        <f t="shared" si="35"/>
        <v>0.17433808553971486</v>
      </c>
      <c r="Y101" s="1187">
        <f t="shared" si="35"/>
        <v>0.18933333333333333</v>
      </c>
      <c r="Z101" s="1187">
        <f t="shared" si="35"/>
        <v>0.19642857142857142</v>
      </c>
      <c r="AA101" s="1190"/>
    </row>
    <row r="102" spans="2:42" x14ac:dyDescent="0.6">
      <c r="B102" s="40" t="s">
        <v>1162</v>
      </c>
      <c r="C102" s="40"/>
      <c r="D102" s="23"/>
      <c r="E102" s="271"/>
      <c r="F102" s="271"/>
      <c r="G102" s="271"/>
      <c r="H102" s="271"/>
      <c r="I102" s="23">
        <v>16.399999999999999</v>
      </c>
      <c r="J102" s="23">
        <v>-1.2</v>
      </c>
      <c r="K102" s="23">
        <v>3.2</v>
      </c>
      <c r="L102" s="271"/>
      <c r="M102" s="23">
        <v>10.1</v>
      </c>
      <c r="N102" s="23">
        <v>17</v>
      </c>
      <c r="O102" s="23">
        <v>73</v>
      </c>
      <c r="P102" s="23">
        <v>114</v>
      </c>
      <c r="Q102" s="271"/>
      <c r="R102" s="23">
        <v>182</v>
      </c>
      <c r="S102" s="23">
        <v>262.7</v>
      </c>
      <c r="T102" s="23">
        <f>T97+T99</f>
        <v>280.97556042524025</v>
      </c>
      <c r="U102" s="23">
        <f>U97+U99</f>
        <v>348.60914800764937</v>
      </c>
      <c r="V102" s="271"/>
      <c r="W102" s="23">
        <f>W97+W99</f>
        <v>309.12969059341145</v>
      </c>
      <c r="X102" s="23">
        <f>X97+X99</f>
        <v>361.25265683379121</v>
      </c>
      <c r="Y102" s="23">
        <f>Y97+Y99</f>
        <v>433.24176350362842</v>
      </c>
      <c r="Z102" s="23">
        <f>Z97+Z99</f>
        <v>624.52243206825358</v>
      </c>
      <c r="AA102" s="271"/>
      <c r="AB102" s="510"/>
      <c r="AC102" s="510"/>
      <c r="AD102" s="257"/>
      <c r="AE102" s="257"/>
      <c r="AF102" s="257"/>
      <c r="AH102" s="257"/>
      <c r="AI102" s="257"/>
      <c r="AJ102" s="257"/>
      <c r="AK102" s="257"/>
      <c r="AL102" s="257"/>
    </row>
    <row r="103" spans="2:42" x14ac:dyDescent="0.6">
      <c r="B103" s="1193" t="s">
        <v>372</v>
      </c>
      <c r="C103" s="1193"/>
      <c r="D103" s="1190"/>
      <c r="E103" s="1190"/>
      <c r="F103" s="1190"/>
      <c r="G103" s="1190"/>
      <c r="H103" s="1190"/>
      <c r="I103" s="1195">
        <f>I102/I6</f>
        <v>4.8795001487652478E-2</v>
      </c>
      <c r="J103" s="1195">
        <f>J102/J6</f>
        <v>-2.495321272613849E-3</v>
      </c>
      <c r="K103" s="1195">
        <f>K102/K6</f>
        <v>5.0319212504324308E-3</v>
      </c>
      <c r="L103" s="1190"/>
      <c r="M103" s="1195">
        <f>M102/M6</f>
        <v>1.1513028530652582E-2</v>
      </c>
      <c r="N103" s="1195">
        <f>N102/N6</f>
        <v>1.4686051102274522E-2</v>
      </c>
      <c r="O103" s="1195">
        <f>O102/O6</f>
        <v>5.5857372407988368E-2</v>
      </c>
      <c r="P103" s="1195">
        <f>P102/P6</f>
        <v>7.860594426424837E-2</v>
      </c>
      <c r="Q103" s="1190"/>
      <c r="R103" s="1195">
        <f>R102/R6</f>
        <v>0.11245299526585248</v>
      </c>
      <c r="S103" s="1195">
        <f>S102/S6</f>
        <v>0.14058653537407684</v>
      </c>
      <c r="T103" s="1195">
        <f>T102/T6</f>
        <v>0.13857125083579849</v>
      </c>
      <c r="U103" s="1195">
        <f>U102/U6</f>
        <v>0.15716622910031547</v>
      </c>
      <c r="V103" s="1190"/>
      <c r="W103" s="1195">
        <f>W102/W6</f>
        <v>0.13584887587132019</v>
      </c>
      <c r="X103" s="1195">
        <f>X102/X6</f>
        <v>0.15243467305331246</v>
      </c>
      <c r="Y103" s="1195">
        <f>Y102/Y6</f>
        <v>0.17220324944017956</v>
      </c>
      <c r="Z103" s="1195">
        <f>Z102/Z6</f>
        <v>0.21821185981188726</v>
      </c>
      <c r="AA103" s="1190"/>
    </row>
    <row r="104" spans="2:42" x14ac:dyDescent="0.6">
      <c r="B104" s="1196" t="s">
        <v>1457</v>
      </c>
      <c r="C104" s="1193"/>
      <c r="D104" s="1190"/>
      <c r="E104" s="1190"/>
      <c r="F104" s="1190"/>
      <c r="G104" s="1190"/>
      <c r="H104" s="1190"/>
      <c r="I104" s="1195"/>
      <c r="J104" s="1195"/>
      <c r="K104" s="1190">
        <v>-3.8</v>
      </c>
      <c r="L104" s="1190"/>
      <c r="M104" s="1190">
        <v>12.6</v>
      </c>
      <c r="N104" s="1190">
        <v>47.6</v>
      </c>
      <c r="O104" s="1190">
        <v>64.099999999999994</v>
      </c>
      <c r="P104" s="1190">
        <v>157.69999999999999</v>
      </c>
      <c r="Q104" s="1190"/>
      <c r="R104" s="1190">
        <v>200</v>
      </c>
      <c r="S104" s="1190"/>
      <c r="T104" s="1195"/>
      <c r="U104" s="1195"/>
      <c r="V104" s="1190"/>
      <c r="W104" s="1195"/>
      <c r="X104" s="1195"/>
      <c r="Y104" s="1195"/>
      <c r="Z104" s="1195"/>
      <c r="AA104" s="1190"/>
    </row>
    <row r="105" spans="2:42" x14ac:dyDescent="0.6">
      <c r="B105" s="1196" t="s">
        <v>1302</v>
      </c>
      <c r="C105" s="1193"/>
      <c r="D105" s="1190"/>
      <c r="E105" s="1190"/>
      <c r="F105" s="1190"/>
      <c r="G105" s="1190"/>
      <c r="H105" s="1190"/>
      <c r="I105" s="1195"/>
      <c r="J105" s="1195"/>
      <c r="K105" s="1190">
        <f>K102-K104</f>
        <v>7</v>
      </c>
      <c r="L105" s="1190"/>
      <c r="M105" s="1190">
        <f>M102-M104</f>
        <v>-2.5</v>
      </c>
      <c r="N105" s="1190">
        <f>N102-N104</f>
        <v>-30.6</v>
      </c>
      <c r="O105" s="1190">
        <f>O102-O104</f>
        <v>8.9000000000000057</v>
      </c>
      <c r="P105" s="1190">
        <f>P102-P104</f>
        <v>-43.699999999999989</v>
      </c>
      <c r="Q105" s="1190"/>
      <c r="R105" s="1190">
        <f>R102-R104</f>
        <v>-18</v>
      </c>
      <c r="S105" s="1190">
        <f>S102-S104</f>
        <v>262.7</v>
      </c>
      <c r="T105" s="1195"/>
      <c r="U105" s="1195"/>
      <c r="V105" s="1190"/>
      <c r="W105" s="1195"/>
      <c r="X105" s="1195"/>
      <c r="Y105" s="1195"/>
      <c r="Z105" s="1195"/>
      <c r="AA105" s="1190"/>
    </row>
    <row r="106" spans="2:42" x14ac:dyDescent="0.6">
      <c r="B106" s="1193"/>
      <c r="C106" s="1193"/>
      <c r="D106" s="1190"/>
      <c r="E106" s="1190"/>
      <c r="F106" s="1190"/>
      <c r="G106" s="1190"/>
      <c r="H106" s="1190"/>
      <c r="I106" s="1195"/>
      <c r="J106" s="1195"/>
      <c r="K106" s="1195"/>
      <c r="L106" s="1190"/>
      <c r="M106" s="1195"/>
      <c r="N106" s="1195"/>
      <c r="O106" s="1195"/>
      <c r="P106" s="1195"/>
      <c r="Q106" s="1190"/>
      <c r="R106" s="1190"/>
      <c r="S106" s="1190"/>
      <c r="T106" s="1195"/>
      <c r="U106" s="1195"/>
      <c r="V106" s="1190"/>
      <c r="W106" s="1195"/>
      <c r="X106" s="1195"/>
      <c r="Y106" s="1195"/>
      <c r="Z106" s="1195"/>
      <c r="AA106" s="1190"/>
    </row>
    <row r="107" spans="2:42" x14ac:dyDescent="0.6">
      <c r="B107" s="40" t="s">
        <v>1089</v>
      </c>
      <c r="C107" s="1193"/>
      <c r="D107" s="1190"/>
      <c r="E107" s="1190"/>
      <c r="F107" s="1190"/>
      <c r="G107" s="1190"/>
      <c r="H107" s="1190"/>
      <c r="I107" s="1195"/>
      <c r="J107" s="1195"/>
      <c r="K107" s="1195"/>
      <c r="L107" s="1190"/>
      <c r="M107" s="1195"/>
      <c r="N107" s="1195"/>
      <c r="O107" s="1195"/>
      <c r="P107" s="1195"/>
      <c r="Q107" s="1190"/>
      <c r="R107" s="1190"/>
      <c r="S107" s="1190"/>
      <c r="T107" s="1195"/>
      <c r="U107" s="1195"/>
      <c r="V107" s="1190"/>
      <c r="W107" s="1195"/>
      <c r="X107" s="1195"/>
      <c r="Y107" s="1195"/>
      <c r="Z107" s="1195"/>
      <c r="AA107" s="1190"/>
    </row>
    <row r="108" spans="2:42" x14ac:dyDescent="0.6">
      <c r="B108" s="1193" t="s">
        <v>1470</v>
      </c>
      <c r="C108" s="1193"/>
      <c r="D108" s="1190"/>
      <c r="E108" s="1190"/>
      <c r="F108" s="1190"/>
      <c r="G108" s="1190"/>
      <c r="H108" s="1190"/>
      <c r="I108" s="1195"/>
      <c r="J108" s="1195"/>
      <c r="K108" s="1195"/>
      <c r="L108" s="1190"/>
      <c r="M108" s="1195"/>
      <c r="N108" s="1195"/>
      <c r="O108" s="1195"/>
      <c r="P108" s="1195">
        <f>P97*4/P$111</f>
        <v>-0.2428359600440321</v>
      </c>
      <c r="Q108" s="1190"/>
      <c r="R108" s="1195">
        <f>R97*4/R$111</f>
        <v>0.11007577774957611</v>
      </c>
      <c r="S108" s="1195" t="e">
        <f>S97*4/S$111</f>
        <v>#DIV/0!</v>
      </c>
      <c r="T108" s="1195" t="e">
        <f>T97*4/T$111</f>
        <v>#REF!</v>
      </c>
      <c r="U108" s="1195" t="e">
        <f>U97*4/U$111</f>
        <v>#REF!</v>
      </c>
      <c r="V108" s="1190"/>
      <c r="W108" s="1195" t="e">
        <f>W97*4/W$111</f>
        <v>#REF!</v>
      </c>
      <c r="X108" s="1195" t="e">
        <f>X97*4/X$111</f>
        <v>#REF!</v>
      </c>
      <c r="Y108" s="1195" t="e">
        <f>Y97*4/Y$111</f>
        <v>#REF!</v>
      </c>
      <c r="Z108" s="1195" t="e">
        <f>Z97*4/Z$111</f>
        <v>#REF!</v>
      </c>
      <c r="AA108" s="1190"/>
    </row>
    <row r="109" spans="2:42" x14ac:dyDescent="0.6">
      <c r="B109" s="40" t="s">
        <v>1471</v>
      </c>
      <c r="C109" s="40"/>
      <c r="D109" s="23"/>
      <c r="E109" s="23"/>
      <c r="F109" s="23"/>
      <c r="G109" s="23"/>
      <c r="H109" s="23"/>
      <c r="I109" s="271"/>
      <c r="J109" s="271"/>
      <c r="K109" s="271"/>
      <c r="L109" s="23"/>
      <c r="M109" s="271"/>
      <c r="N109" s="271"/>
      <c r="O109" s="271"/>
      <c r="P109" s="271">
        <f>P102*4/P$111</f>
        <v>9.3249950972202317E-2</v>
      </c>
      <c r="Q109" s="23"/>
      <c r="R109" s="271">
        <f>R102*4/R$111</f>
        <v>0.13977096377263334</v>
      </c>
      <c r="S109" s="271" t="e">
        <f>S102*4/S$111</f>
        <v>#DIV/0!</v>
      </c>
      <c r="T109" s="271" t="e">
        <f>T102*4/T$111</f>
        <v>#REF!</v>
      </c>
      <c r="U109" s="271" t="e">
        <f>U102*4/U$111</f>
        <v>#REF!</v>
      </c>
      <c r="V109" s="23"/>
      <c r="W109" s="271" t="e">
        <f>W102*4/W$111</f>
        <v>#REF!</v>
      </c>
      <c r="X109" s="271" t="e">
        <f>X102*4/X$111</f>
        <v>#REF!</v>
      </c>
      <c r="Y109" s="271" t="e">
        <f>Y102*4/Y$111</f>
        <v>#REF!</v>
      </c>
      <c r="Z109" s="271" t="e">
        <f>Z102*4/Z$111</f>
        <v>#REF!</v>
      </c>
      <c r="AA109" s="1190"/>
    </row>
    <row r="110" spans="2:42" x14ac:dyDescent="0.6">
      <c r="B110" s="1193"/>
      <c r="C110" s="1193"/>
      <c r="D110" s="1190"/>
      <c r="E110" s="1190"/>
      <c r="F110" s="1190"/>
      <c r="G110" s="1190"/>
      <c r="H110" s="1190"/>
      <c r="I110" s="1195"/>
      <c r="J110" s="1195"/>
      <c r="K110" s="1195"/>
      <c r="L110" s="1190"/>
      <c r="M110" s="1195"/>
      <c r="N110" s="1195"/>
      <c r="O110" s="1195"/>
      <c r="P110" s="1195"/>
      <c r="Q110" s="1190"/>
      <c r="R110" s="1190"/>
      <c r="S110" s="1190"/>
      <c r="T110" s="1195"/>
      <c r="U110" s="1195"/>
      <c r="V110" s="1190"/>
      <c r="W110" s="1195"/>
      <c r="X110" s="1195"/>
      <c r="Y110" s="1195"/>
      <c r="Z110" s="1195"/>
      <c r="AA110" s="1190"/>
    </row>
    <row r="111" spans="2:42" x14ac:dyDescent="0.6">
      <c r="B111" s="1193" t="s">
        <v>78</v>
      </c>
      <c r="C111" s="1193"/>
      <c r="D111" s="1190"/>
      <c r="E111" s="1190"/>
      <c r="F111" s="1190"/>
      <c r="G111" s="1190"/>
      <c r="H111" s="1190"/>
      <c r="I111" s="1195"/>
      <c r="J111" s="1195"/>
      <c r="K111" s="1195"/>
      <c r="L111" s="1190"/>
      <c r="M111" s="1190"/>
      <c r="N111" s="1195"/>
      <c r="O111" s="1195"/>
      <c r="P111" s="1190">
        <f>Master!G190</f>
        <v>4890.0829999999996</v>
      </c>
      <c r="Q111" s="1190"/>
      <c r="R111" s="1190">
        <v>5208.5209999999997</v>
      </c>
      <c r="S111" s="1190"/>
      <c r="T111" s="1190" t="e">
        <f>#REF!+T97</f>
        <v>#REF!</v>
      </c>
      <c r="U111" s="1190" t="e">
        <f>T111+U97</f>
        <v>#REF!</v>
      </c>
      <c r="V111" s="1190"/>
      <c r="W111" s="1190" t="e">
        <f>U111+W97</f>
        <v>#REF!</v>
      </c>
      <c r="X111" s="1190" t="e">
        <f>W111+X97</f>
        <v>#REF!</v>
      </c>
      <c r="Y111" s="1190" t="e">
        <f>X111+Y97</f>
        <v>#REF!</v>
      </c>
      <c r="Z111" s="1190" t="e">
        <f>Y111+Z97</f>
        <v>#REF!</v>
      </c>
      <c r="AA111" s="1190"/>
    </row>
    <row r="112" spans="2:42" x14ac:dyDescent="0.6">
      <c r="B112" s="930"/>
      <c r="C112" s="17"/>
      <c r="I112" s="345"/>
      <c r="J112" s="345"/>
      <c r="K112" s="345"/>
      <c r="M112" s="345"/>
      <c r="N112" s="345"/>
      <c r="O112" s="345"/>
      <c r="P112" s="345"/>
      <c r="T112" s="345"/>
      <c r="U112" s="345"/>
      <c r="W112" s="345"/>
      <c r="X112" s="345"/>
      <c r="Y112" s="345"/>
      <c r="Z112" s="345"/>
    </row>
    <row r="113" spans="2:36" x14ac:dyDescent="0.6">
      <c r="B113" s="1148" t="s">
        <v>671</v>
      </c>
      <c r="C113" s="17"/>
      <c r="I113" s="345"/>
      <c r="J113" s="345"/>
      <c r="K113" s="345"/>
      <c r="M113" s="345"/>
      <c r="N113" s="345"/>
      <c r="O113" s="345"/>
      <c r="P113" s="345"/>
      <c r="T113" s="345"/>
      <c r="U113" s="345"/>
      <c r="W113" s="345"/>
      <c r="X113" s="345"/>
      <c r="Y113" s="345"/>
      <c r="Z113" s="345"/>
    </row>
    <row r="114" spans="2:36" x14ac:dyDescent="0.6">
      <c r="B114" s="1147" t="s">
        <v>1455</v>
      </c>
      <c r="C114" s="17"/>
      <c r="I114" s="345"/>
      <c r="J114" s="345"/>
      <c r="K114" s="345"/>
      <c r="M114" s="345"/>
      <c r="N114" s="345"/>
      <c r="O114" s="345"/>
      <c r="P114" s="345"/>
      <c r="T114" s="1149">
        <v>103</v>
      </c>
      <c r="U114" s="1149">
        <v>118</v>
      </c>
      <c r="W114" s="345"/>
      <c r="X114" s="345"/>
      <c r="Y114" s="345"/>
      <c r="Z114" s="345"/>
    </row>
    <row r="115" spans="2:36" x14ac:dyDescent="0.6">
      <c r="B115" s="1147" t="s">
        <v>1456</v>
      </c>
      <c r="C115" s="17"/>
      <c r="I115" s="345"/>
      <c r="J115" s="345"/>
      <c r="K115" s="345"/>
      <c r="M115" s="345"/>
      <c r="N115" s="345"/>
      <c r="O115" s="345"/>
      <c r="P115" s="345"/>
      <c r="T115" s="1149">
        <v>181</v>
      </c>
      <c r="U115" s="1149">
        <v>192</v>
      </c>
      <c r="W115" s="345"/>
      <c r="X115" s="345"/>
      <c r="Y115" s="345"/>
      <c r="Z115" s="345"/>
    </row>
    <row r="116" spans="2:36" x14ac:dyDescent="0.6">
      <c r="B116" s="17"/>
      <c r="C116" s="17"/>
    </row>
    <row r="117" spans="2:36" x14ac:dyDescent="0.6">
      <c r="B117" s="17" t="s">
        <v>15</v>
      </c>
      <c r="C117" s="17"/>
      <c r="AC117" s="104"/>
      <c r="AD117" s="104"/>
      <c r="AE117" s="104"/>
      <c r="AF117" s="104"/>
      <c r="AH117" s="104"/>
      <c r="AI117" s="104"/>
      <c r="AJ117" s="104"/>
    </row>
    <row r="118" spans="2:36" x14ac:dyDescent="0.6">
      <c r="B118" s="17" t="s">
        <v>16</v>
      </c>
      <c r="C118" s="17"/>
    </row>
    <row r="119" spans="2:36" x14ac:dyDescent="0.6">
      <c r="B119" s="17"/>
      <c r="C119" s="17"/>
      <c r="AC119" s="104"/>
      <c r="AD119" s="104"/>
      <c r="AE119" s="104"/>
      <c r="AF119" s="104"/>
      <c r="AH119" s="104"/>
      <c r="AI119" s="104"/>
      <c r="AJ119" s="104"/>
    </row>
    <row r="120" spans="2:36" x14ac:dyDescent="0.6">
      <c r="B120" s="17" t="s">
        <v>17</v>
      </c>
      <c r="C120" s="17"/>
    </row>
    <row r="121" spans="2:36" x14ac:dyDescent="0.6">
      <c r="B121" s="17" t="s">
        <v>18</v>
      </c>
      <c r="C121" s="17"/>
      <c r="AC121" s="104"/>
      <c r="AD121" s="104"/>
      <c r="AE121" s="104"/>
      <c r="AF121" s="104"/>
      <c r="AH121" s="104"/>
      <c r="AI121" s="104"/>
      <c r="AJ121" s="104"/>
    </row>
    <row r="122" spans="2:36" x14ac:dyDescent="0.6">
      <c r="AC122" s="104"/>
      <c r="AD122" s="104"/>
      <c r="AE122" s="104"/>
      <c r="AF122" s="104"/>
      <c r="AH122" s="104"/>
      <c r="AI122" s="104"/>
      <c r="AJ122" s="104"/>
    </row>
    <row r="123" spans="2:36" x14ac:dyDescent="0.6">
      <c r="B123" s="40" t="s">
        <v>1806</v>
      </c>
      <c r="AC123" s="104"/>
      <c r="AD123" s="104"/>
      <c r="AE123" s="104"/>
      <c r="AF123" s="104"/>
      <c r="AH123" s="104"/>
      <c r="AI123" s="104"/>
      <c r="AJ123" s="104"/>
    </row>
    <row r="124" spans="2:36" x14ac:dyDescent="0.6">
      <c r="B124" s="40" t="s">
        <v>228</v>
      </c>
      <c r="AC124" s="104"/>
      <c r="AD124" s="104"/>
      <c r="AE124" s="104"/>
      <c r="AF124" s="104"/>
      <c r="AH124" s="104"/>
      <c r="AI124" s="104"/>
      <c r="AJ124" s="104"/>
    </row>
    <row r="125" spans="2:36" x14ac:dyDescent="0.6">
      <c r="B125" s="485" t="s">
        <v>1342</v>
      </c>
      <c r="AC125" s="104"/>
      <c r="AD125" s="104"/>
      <c r="AE125" s="104"/>
      <c r="AF125" s="104"/>
      <c r="AH125" s="104"/>
      <c r="AI125" s="104"/>
      <c r="AJ125" s="104"/>
    </row>
    <row r="126" spans="2:36" x14ac:dyDescent="0.6">
      <c r="B126" s="1235" t="s">
        <v>1810</v>
      </c>
      <c r="P126" s="43">
        <v>770</v>
      </c>
      <c r="S126" s="43">
        <v>1232</v>
      </c>
      <c r="AC126" s="104"/>
      <c r="AD126" s="104"/>
      <c r="AE126" s="104"/>
      <c r="AF126" s="104"/>
      <c r="AH126" s="104"/>
      <c r="AI126" s="104"/>
      <c r="AJ126" s="104"/>
    </row>
    <row r="127" spans="2:36" x14ac:dyDescent="0.6">
      <c r="B127" s="1236" t="s">
        <v>1811</v>
      </c>
      <c r="C127" s="84"/>
      <c r="D127" s="344"/>
      <c r="E127" s="344"/>
      <c r="F127" s="344"/>
      <c r="G127" s="344"/>
      <c r="H127" s="344"/>
      <c r="I127" s="344"/>
      <c r="J127" s="344"/>
      <c r="K127" s="344"/>
      <c r="L127" s="344"/>
      <c r="M127" s="344"/>
      <c r="N127" s="344"/>
      <c r="O127" s="344"/>
      <c r="P127" s="344">
        <v>136</v>
      </c>
      <c r="Q127" s="344"/>
      <c r="R127" s="344"/>
      <c r="S127" s="344">
        <v>163</v>
      </c>
      <c r="AC127" s="104"/>
      <c r="AD127" s="104"/>
      <c r="AE127" s="104"/>
      <c r="AF127" s="104"/>
      <c r="AH127" s="104"/>
      <c r="AI127" s="104"/>
      <c r="AJ127" s="104"/>
    </row>
    <row r="128" spans="2:36" x14ac:dyDescent="0.6">
      <c r="B128" s="1234" t="s">
        <v>1805</v>
      </c>
      <c r="P128" s="43">
        <f>P126+P127</f>
        <v>906</v>
      </c>
      <c r="S128" s="43">
        <f>S126+S127</f>
        <v>1395</v>
      </c>
      <c r="AC128" s="104"/>
      <c r="AD128" s="104"/>
      <c r="AE128" s="104"/>
      <c r="AF128" s="104"/>
      <c r="AH128" s="104"/>
      <c r="AI128" s="104"/>
      <c r="AJ128" s="104"/>
    </row>
    <row r="129" spans="2:36" x14ac:dyDescent="0.6">
      <c r="B129" s="1235"/>
      <c r="AC129" s="104"/>
      <c r="AD129" s="104"/>
      <c r="AE129" s="104"/>
      <c r="AF129" s="104"/>
      <c r="AH129" s="104"/>
      <c r="AI129" s="104"/>
      <c r="AJ129" s="104"/>
    </row>
    <row r="130" spans="2:36" x14ac:dyDescent="0.6">
      <c r="B130" s="84" t="s">
        <v>1807</v>
      </c>
      <c r="C130" s="84"/>
      <c r="D130" s="344"/>
      <c r="E130" s="344"/>
      <c r="F130" s="344"/>
      <c r="G130" s="344"/>
      <c r="H130" s="344"/>
      <c r="I130" s="344"/>
      <c r="J130" s="344"/>
      <c r="K130" s="344"/>
      <c r="L130" s="344"/>
      <c r="M130" s="344"/>
      <c r="N130" s="344"/>
      <c r="O130" s="344"/>
      <c r="P130" s="344">
        <v>186</v>
      </c>
      <c r="Q130" s="344"/>
      <c r="R130" s="344"/>
      <c r="S130" s="344">
        <v>220</v>
      </c>
      <c r="AC130" s="104"/>
      <c r="AD130" s="104"/>
      <c r="AE130" s="104"/>
      <c r="AF130" s="104"/>
      <c r="AH130" s="104"/>
      <c r="AI130" s="104"/>
      <c r="AJ130" s="104"/>
    </row>
    <row r="131" spans="2:36" x14ac:dyDescent="0.6">
      <c r="B131" s="40" t="s">
        <v>1808</v>
      </c>
      <c r="C131" s="20"/>
      <c r="D131" s="23"/>
      <c r="E131" s="23"/>
      <c r="F131" s="23"/>
      <c r="G131" s="23"/>
      <c r="H131" s="23"/>
      <c r="I131" s="23"/>
      <c r="J131" s="23"/>
      <c r="K131" s="23"/>
      <c r="L131" s="23"/>
      <c r="M131" s="23"/>
      <c r="N131" s="23"/>
      <c r="O131" s="23"/>
      <c r="P131" s="23">
        <f>P128+P130</f>
        <v>1092</v>
      </c>
      <c r="Q131" s="23"/>
      <c r="R131" s="23"/>
      <c r="S131" s="23">
        <f>S128+S130</f>
        <v>1615</v>
      </c>
      <c r="AC131" s="104"/>
      <c r="AD131" s="104"/>
      <c r="AE131" s="104"/>
      <c r="AF131" s="104"/>
      <c r="AH131" s="104"/>
      <c r="AI131" s="104"/>
      <c r="AJ131" s="104"/>
    </row>
    <row r="132" spans="2:36" x14ac:dyDescent="0.6">
      <c r="AC132" s="104"/>
      <c r="AD132" s="104"/>
      <c r="AE132" s="104"/>
      <c r="AF132" s="104"/>
      <c r="AH132" s="104"/>
      <c r="AI132" s="104"/>
      <c r="AJ132" s="104"/>
    </row>
    <row r="133" spans="2:36" x14ac:dyDescent="0.6">
      <c r="B133" t="s">
        <v>1345</v>
      </c>
      <c r="AC133" s="104"/>
      <c r="AD133" s="104"/>
      <c r="AE133" s="104"/>
      <c r="AF133" s="104"/>
      <c r="AH133" s="104"/>
      <c r="AI133" s="104"/>
      <c r="AJ133" s="104"/>
    </row>
    <row r="134" spans="2:36" x14ac:dyDescent="0.6">
      <c r="B134" t="s">
        <v>234</v>
      </c>
      <c r="P134" s="43">
        <v>3959</v>
      </c>
      <c r="S134" s="43">
        <v>5970</v>
      </c>
      <c r="AC134" s="104"/>
      <c r="AD134" s="104"/>
      <c r="AE134" s="104"/>
      <c r="AF134" s="104"/>
      <c r="AH134" s="104"/>
      <c r="AI134" s="104"/>
      <c r="AJ134" s="104"/>
    </row>
    <row r="135" spans="2:36" x14ac:dyDescent="0.6">
      <c r="B135" t="s">
        <v>458</v>
      </c>
      <c r="P135" s="43">
        <v>70</v>
      </c>
      <c r="S135" s="43">
        <v>76</v>
      </c>
      <c r="AC135" s="104"/>
      <c r="AD135" s="104"/>
      <c r="AE135" s="104"/>
      <c r="AF135" s="104"/>
      <c r="AH135" s="104"/>
      <c r="AI135" s="104"/>
      <c r="AJ135" s="104"/>
    </row>
    <row r="136" spans="2:36" x14ac:dyDescent="0.6">
      <c r="B136" s="84" t="s">
        <v>1809</v>
      </c>
      <c r="C136" s="84"/>
      <c r="D136" s="344"/>
      <c r="E136" s="344"/>
      <c r="F136" s="344"/>
      <c r="G136" s="344"/>
      <c r="H136" s="344"/>
      <c r="I136" s="344"/>
      <c r="J136" s="344"/>
      <c r="K136" s="344"/>
      <c r="L136" s="344"/>
      <c r="M136" s="344"/>
      <c r="N136" s="344"/>
      <c r="O136" s="344"/>
      <c r="P136" s="344">
        <v>1077</v>
      </c>
      <c r="Q136" s="344"/>
      <c r="R136" s="344"/>
      <c r="S136" s="344">
        <v>1959</v>
      </c>
      <c r="AC136" s="104"/>
      <c r="AD136" s="104"/>
      <c r="AE136" s="104"/>
      <c r="AF136" s="104"/>
      <c r="AH136" s="104"/>
      <c r="AI136" s="104"/>
      <c r="AJ136" s="104"/>
    </row>
    <row r="137" spans="2:36" x14ac:dyDescent="0.6">
      <c r="B137" s="20" t="s">
        <v>354</v>
      </c>
      <c r="C137" s="20"/>
      <c r="D137" s="23"/>
      <c r="E137" s="23"/>
      <c r="F137" s="23"/>
      <c r="G137" s="23"/>
      <c r="H137" s="23"/>
      <c r="I137" s="23"/>
      <c r="J137" s="23"/>
      <c r="K137" s="23"/>
      <c r="L137" s="23"/>
      <c r="M137" s="23"/>
      <c r="N137" s="23"/>
      <c r="O137" s="23"/>
      <c r="P137" s="23">
        <f>SUM(P134:P136)</f>
        <v>5106</v>
      </c>
      <c r="Q137" s="23"/>
      <c r="R137" s="23"/>
      <c r="S137" s="23">
        <f>SUM(S134:S136)</f>
        <v>8005</v>
      </c>
      <c r="AC137" s="104"/>
      <c r="AD137" s="104"/>
      <c r="AE137" s="104"/>
      <c r="AF137" s="104"/>
      <c r="AH137" s="104"/>
      <c r="AI137" s="104"/>
      <c r="AJ137" s="104"/>
    </row>
    <row r="138" spans="2:36" x14ac:dyDescent="0.6">
      <c r="B138" s="20"/>
      <c r="C138" s="20"/>
      <c r="D138" s="23"/>
      <c r="E138" s="23"/>
      <c r="F138" s="23"/>
      <c r="G138" s="23"/>
      <c r="H138" s="23"/>
      <c r="I138" s="23"/>
      <c r="J138" s="23"/>
      <c r="K138" s="23"/>
      <c r="L138" s="23"/>
      <c r="M138" s="23"/>
      <c r="N138" s="23"/>
      <c r="O138" s="23"/>
      <c r="P138" s="23"/>
      <c r="Q138" s="23"/>
      <c r="R138" s="23"/>
      <c r="S138" s="23"/>
      <c r="AC138" s="104"/>
      <c r="AD138" s="104"/>
      <c r="AE138" s="104"/>
      <c r="AF138" s="104"/>
      <c r="AH138" s="104"/>
      <c r="AI138" s="104"/>
      <c r="AJ138" s="104"/>
    </row>
    <row r="139" spans="2:36" x14ac:dyDescent="0.6">
      <c r="B139" t="s">
        <v>1813</v>
      </c>
      <c r="C139" s="20"/>
      <c r="D139" s="23"/>
      <c r="E139" s="23"/>
      <c r="F139" s="23"/>
      <c r="G139" s="23"/>
      <c r="H139" s="23"/>
      <c r="I139" s="23"/>
      <c r="J139" s="23"/>
      <c r="K139" s="23"/>
      <c r="L139" s="23"/>
      <c r="M139" s="23"/>
      <c r="N139" s="23"/>
      <c r="O139" s="23"/>
      <c r="P139" s="1237">
        <v>0.105</v>
      </c>
      <c r="Q139" s="23"/>
      <c r="R139" s="23"/>
      <c r="S139" s="1237">
        <v>0.105</v>
      </c>
      <c r="AC139" s="104"/>
      <c r="AD139" s="104"/>
      <c r="AE139" s="104"/>
      <c r="AF139" s="104"/>
      <c r="AH139" s="104"/>
      <c r="AI139" s="104"/>
      <c r="AJ139" s="104"/>
    </row>
    <row r="140" spans="2:36" x14ac:dyDescent="0.6">
      <c r="B140" s="20" t="s">
        <v>1812</v>
      </c>
      <c r="C140" s="20"/>
      <c r="D140" s="23"/>
      <c r="E140" s="23"/>
      <c r="F140" s="23"/>
      <c r="G140" s="23"/>
      <c r="H140" s="23"/>
      <c r="I140" s="23"/>
      <c r="J140" s="23"/>
      <c r="K140" s="23"/>
      <c r="L140" s="23"/>
      <c r="M140" s="23"/>
      <c r="N140" s="23"/>
      <c r="O140" s="23"/>
      <c r="P140" s="23">
        <f>P139*P137</f>
        <v>536.13</v>
      </c>
      <c r="Q140" s="23"/>
      <c r="R140" s="23"/>
      <c r="S140" s="23">
        <f>S139*S137</f>
        <v>840.52499999999998</v>
      </c>
      <c r="AC140" s="104"/>
      <c r="AD140" s="104"/>
      <c r="AE140" s="104"/>
      <c r="AF140" s="104"/>
      <c r="AH140" s="104"/>
      <c r="AI140" s="104"/>
      <c r="AJ140" s="104"/>
    </row>
    <row r="141" spans="2:36" x14ac:dyDescent="0.6">
      <c r="B141" t="s">
        <v>1820</v>
      </c>
      <c r="C141" s="20"/>
      <c r="D141" s="23"/>
      <c r="E141" s="23"/>
      <c r="F141" s="23"/>
      <c r="G141" s="23"/>
      <c r="H141" s="23"/>
      <c r="I141" s="23"/>
      <c r="J141" s="23"/>
      <c r="K141" s="23"/>
      <c r="L141" s="23"/>
      <c r="M141" s="23"/>
      <c r="N141" s="23"/>
      <c r="O141" s="23"/>
      <c r="P141" s="1237">
        <f>P131/P137</f>
        <v>0.21386603995299647</v>
      </c>
      <c r="Q141" s="23"/>
      <c r="R141" s="23"/>
      <c r="S141" s="1237">
        <f>S131/S137</f>
        <v>0.20174890693316677</v>
      </c>
      <c r="AC141" s="104"/>
      <c r="AD141" s="104"/>
      <c r="AE141" s="104"/>
      <c r="AF141" s="104"/>
      <c r="AH141" s="104"/>
      <c r="AI141" s="104"/>
      <c r="AJ141" s="104"/>
    </row>
    <row r="142" spans="2:36" x14ac:dyDescent="0.6">
      <c r="B142" t="s">
        <v>1814</v>
      </c>
      <c r="C142" s="20"/>
      <c r="D142" s="23"/>
      <c r="E142" s="23"/>
      <c r="F142" s="23"/>
      <c r="G142" s="23"/>
      <c r="H142" s="23"/>
      <c r="I142" s="23"/>
      <c r="J142" s="23"/>
      <c r="K142" s="23"/>
      <c r="L142" s="23"/>
      <c r="M142" s="23"/>
      <c r="N142" s="23"/>
      <c r="O142" s="23"/>
      <c r="P142" s="23">
        <f>P131-P140</f>
        <v>555.87</v>
      </c>
      <c r="Q142" s="23"/>
      <c r="R142" s="23"/>
      <c r="S142" s="23">
        <f>S131-S140</f>
        <v>774.47500000000002</v>
      </c>
      <c r="AC142" s="104"/>
      <c r="AD142" s="104"/>
      <c r="AE142" s="104"/>
      <c r="AF142" s="104"/>
      <c r="AH142" s="104"/>
      <c r="AI142" s="104"/>
      <c r="AJ142" s="104"/>
    </row>
    <row r="143" spans="2:36" x14ac:dyDescent="0.6">
      <c r="C143" s="20"/>
      <c r="D143" s="23"/>
      <c r="E143" s="23"/>
      <c r="F143" s="23"/>
      <c r="G143" s="23"/>
      <c r="H143" s="23"/>
      <c r="I143" s="23"/>
      <c r="J143" s="23"/>
      <c r="K143" s="23"/>
      <c r="L143" s="23"/>
      <c r="M143" s="23"/>
      <c r="N143" s="23"/>
      <c r="O143" s="23"/>
      <c r="P143" s="23"/>
      <c r="Q143" s="23"/>
      <c r="R143" s="23"/>
      <c r="S143" s="23"/>
      <c r="AC143" s="104"/>
      <c r="AD143" s="104"/>
      <c r="AE143" s="104"/>
      <c r="AF143" s="104"/>
      <c r="AH143" s="104"/>
      <c r="AI143" s="104"/>
      <c r="AJ143" s="104"/>
    </row>
    <row r="144" spans="2:36" x14ac:dyDescent="0.6">
      <c r="B144" s="502" t="s">
        <v>1343</v>
      </c>
      <c r="AC144" s="104"/>
      <c r="AD144" s="104"/>
      <c r="AE144" s="104"/>
      <c r="AF144" s="104"/>
      <c r="AH144" s="104"/>
      <c r="AI144" s="104"/>
      <c r="AJ144" s="104"/>
    </row>
    <row r="145" spans="2:36" x14ac:dyDescent="0.6">
      <c r="B145" t="s">
        <v>1815</v>
      </c>
      <c r="P145" s="43">
        <v>1135</v>
      </c>
      <c r="S145" s="43">
        <v>1704</v>
      </c>
      <c r="AC145" s="104"/>
      <c r="AD145" s="104"/>
      <c r="AE145" s="104"/>
      <c r="AF145" s="104"/>
      <c r="AH145" s="104"/>
      <c r="AI145" s="104"/>
      <c r="AJ145" s="104"/>
    </row>
    <row r="146" spans="2:36" x14ac:dyDescent="0.6">
      <c r="B146" t="s">
        <v>1350</v>
      </c>
      <c r="P146" s="43">
        <v>3923</v>
      </c>
      <c r="S146" s="43">
        <v>4908</v>
      </c>
      <c r="AC146" s="104"/>
      <c r="AD146" s="104"/>
      <c r="AE146" s="104"/>
      <c r="AF146" s="104"/>
      <c r="AH146" s="104"/>
      <c r="AI146" s="104"/>
      <c r="AJ146" s="104"/>
    </row>
    <row r="147" spans="2:36" x14ac:dyDescent="0.6">
      <c r="B147" t="s">
        <v>1816</v>
      </c>
      <c r="P147" s="345">
        <f>P145/P146</f>
        <v>0.28931939841957688</v>
      </c>
      <c r="S147" s="345">
        <f>S145/S146</f>
        <v>0.3471882640586797</v>
      </c>
      <c r="AC147" s="104"/>
      <c r="AD147" s="104"/>
      <c r="AE147" s="104"/>
      <c r="AF147" s="104"/>
      <c r="AH147" s="104"/>
      <c r="AI147" s="104"/>
      <c r="AJ147" s="104"/>
    </row>
    <row r="148" spans="2:36" x14ac:dyDescent="0.6">
      <c r="AC148" s="104"/>
      <c r="AD148" s="104"/>
      <c r="AE148" s="104"/>
      <c r="AF148" s="104"/>
      <c r="AH148" s="104"/>
      <c r="AI148" s="104"/>
      <c r="AJ148" s="104"/>
    </row>
    <row r="149" spans="2:36" x14ac:dyDescent="0.6">
      <c r="B149" s="20" t="s">
        <v>229</v>
      </c>
      <c r="AC149" s="104"/>
      <c r="AD149" s="104"/>
      <c r="AE149" s="104"/>
      <c r="AF149" s="104"/>
      <c r="AH149" s="104"/>
      <c r="AI149" s="104"/>
      <c r="AJ149" s="104"/>
    </row>
    <row r="150" spans="2:36" x14ac:dyDescent="0.6">
      <c r="B150" t="s">
        <v>1817</v>
      </c>
      <c r="P150" s="43">
        <v>470</v>
      </c>
      <c r="S150" s="43">
        <v>468</v>
      </c>
      <c r="AC150" s="104"/>
      <c r="AD150" s="104"/>
      <c r="AE150" s="104"/>
      <c r="AF150" s="104"/>
      <c r="AH150" s="104"/>
      <c r="AI150" s="104"/>
      <c r="AJ150" s="104"/>
    </row>
    <row r="151" spans="2:36" x14ac:dyDescent="0.6">
      <c r="B151" t="s">
        <v>1819</v>
      </c>
      <c r="P151" s="43">
        <f>P150/P152</f>
        <v>959.18367346938783</v>
      </c>
      <c r="S151" s="43">
        <f>S150/S152</f>
        <v>1114.2857142857142</v>
      </c>
      <c r="AC151" s="104"/>
      <c r="AD151" s="104"/>
      <c r="AE151" s="104"/>
      <c r="AF151" s="104"/>
      <c r="AH151" s="104"/>
      <c r="AI151" s="104"/>
      <c r="AJ151" s="104"/>
    </row>
    <row r="152" spans="2:36" x14ac:dyDescent="0.6">
      <c r="B152" t="s">
        <v>1816</v>
      </c>
      <c r="P152" s="336">
        <v>0.49</v>
      </c>
      <c r="S152" s="336">
        <v>0.42</v>
      </c>
      <c r="AC152" s="104"/>
      <c r="AD152" s="104"/>
      <c r="AE152" s="104"/>
      <c r="AF152" s="104"/>
      <c r="AH152" s="104"/>
      <c r="AI152" s="104"/>
      <c r="AJ152" s="104"/>
    </row>
    <row r="153" spans="2:36" x14ac:dyDescent="0.6">
      <c r="B153" t="s">
        <v>1818</v>
      </c>
      <c r="P153" s="336">
        <v>0.1</v>
      </c>
      <c r="S153" s="336">
        <v>0.1</v>
      </c>
      <c r="AC153" s="104"/>
      <c r="AD153" s="104"/>
      <c r="AE153" s="104"/>
      <c r="AF153" s="104"/>
      <c r="AH153" s="104"/>
      <c r="AI153" s="104"/>
      <c r="AJ153" s="104"/>
    </row>
    <row r="154" spans="2:36" x14ac:dyDescent="0.6">
      <c r="AC154" s="104"/>
      <c r="AD154" s="104"/>
      <c r="AE154" s="104"/>
      <c r="AF154" s="104"/>
      <c r="AH154" s="104"/>
      <c r="AI154" s="104"/>
      <c r="AJ154" s="104"/>
    </row>
    <row r="155" spans="2:36" s="101" customFormat="1" ht="15.9" thickBot="1" x14ac:dyDescent="0.65">
      <c r="B155" s="87" t="s">
        <v>174</v>
      </c>
      <c r="C155" s="87"/>
      <c r="D155" s="109"/>
      <c r="E155" s="109"/>
      <c r="F155" s="109"/>
      <c r="G155" s="109"/>
      <c r="H155" s="109"/>
      <c r="I155" s="109"/>
      <c r="J155" s="109"/>
      <c r="K155" s="109"/>
      <c r="L155" s="109"/>
      <c r="M155" s="109"/>
      <c r="N155" s="109"/>
      <c r="O155" s="109"/>
      <c r="P155" s="109"/>
      <c r="AB155"/>
      <c r="AC155" s="105"/>
      <c r="AD155" s="105"/>
      <c r="AE155" s="105"/>
      <c r="AF155" s="105"/>
      <c r="AH155" s="105"/>
      <c r="AI155" s="105"/>
      <c r="AJ155" s="105"/>
    </row>
    <row r="156" spans="2:36" x14ac:dyDescent="0.6">
      <c r="B156" t="s">
        <v>389</v>
      </c>
      <c r="D156" s="126"/>
      <c r="E156" s="126"/>
      <c r="F156" s="275">
        <v>29.7</v>
      </c>
      <c r="G156" s="275">
        <v>33.299999999999997</v>
      </c>
      <c r="H156" s="275">
        <v>37.1</v>
      </c>
      <c r="I156" s="275">
        <v>41.7</v>
      </c>
      <c r="J156" s="276">
        <v>48.1</v>
      </c>
      <c r="K156" s="276">
        <v>53.9</v>
      </c>
      <c r="L156" s="126"/>
      <c r="M156" s="276">
        <v>59.6</v>
      </c>
      <c r="N156" s="276">
        <v>65.3</v>
      </c>
      <c r="O156" s="276">
        <v>70.400000000000006</v>
      </c>
      <c r="P156" s="276">
        <v>74.599999999999994</v>
      </c>
      <c r="Q156"/>
      <c r="R156" s="276">
        <v>79.099999999999994</v>
      </c>
      <c r="S156" s="276">
        <v>83.7</v>
      </c>
      <c r="T156"/>
      <c r="U156"/>
      <c r="V156"/>
      <c r="W156"/>
      <c r="X156"/>
      <c r="Y156"/>
      <c r="Z156"/>
      <c r="AA156"/>
      <c r="AC156" s="104"/>
      <c r="AD156" s="104"/>
      <c r="AE156" s="257">
        <f>J156/F156-1</f>
        <v>0.6195286195286196</v>
      </c>
      <c r="AF156" s="257">
        <f>K156/G156-1</f>
        <v>0.61861861861861867</v>
      </c>
      <c r="AH156" s="257"/>
      <c r="AI156" s="257"/>
      <c r="AJ156" s="257"/>
    </row>
    <row r="157" spans="2:36" x14ac:dyDescent="0.6">
      <c r="B157" s="237" t="s">
        <v>1486</v>
      </c>
      <c r="D157" s="126"/>
      <c r="E157" s="126"/>
      <c r="F157" s="275"/>
      <c r="G157" s="275"/>
      <c r="H157" s="276"/>
      <c r="I157" s="276"/>
      <c r="J157" s="276"/>
      <c r="K157" s="276"/>
      <c r="L157" s="126"/>
      <c r="M157" s="275"/>
      <c r="N157" s="275"/>
      <c r="O157" s="1153">
        <f>O156-O158-O159</f>
        <v>66.961000000000013</v>
      </c>
      <c r="P157" s="1153">
        <f>P156-P158-P159</f>
        <v>70.834999999999994</v>
      </c>
      <c r="Q157"/>
      <c r="R157" s="1153">
        <f>R156-R158-R159</f>
        <v>75.264999999999986</v>
      </c>
      <c r="S157" s="1153">
        <f>S156-S158-S159</f>
        <v>79.400000000000006</v>
      </c>
      <c r="T157" s="803"/>
      <c r="U157"/>
      <c r="V157"/>
      <c r="W157"/>
      <c r="X157"/>
      <c r="Y157"/>
      <c r="Z157"/>
      <c r="AA157"/>
      <c r="AC157" s="104"/>
      <c r="AD157" s="104"/>
      <c r="AE157" s="257"/>
      <c r="AF157" s="257"/>
      <c r="AH157" s="257"/>
      <c r="AI157" s="257"/>
      <c r="AJ157" s="257"/>
    </row>
    <row r="158" spans="2:36" x14ac:dyDescent="0.6">
      <c r="B158" s="237" t="s">
        <v>1487</v>
      </c>
      <c r="D158" s="126"/>
      <c r="E158" s="126"/>
      <c r="F158" s="275"/>
      <c r="G158" s="275"/>
      <c r="H158" s="276"/>
      <c r="I158" s="276"/>
      <c r="J158" s="276"/>
      <c r="K158" s="276"/>
      <c r="L158" s="126"/>
      <c r="M158" s="275"/>
      <c r="N158" s="275"/>
      <c r="O158" s="1153">
        <v>3</v>
      </c>
      <c r="P158" s="1153">
        <v>3.2</v>
      </c>
      <c r="Q158"/>
      <c r="R158" s="1153">
        <v>3.2</v>
      </c>
      <c r="S158" s="1153">
        <v>3.6</v>
      </c>
      <c r="T158" s="803"/>
      <c r="U158"/>
      <c r="V158"/>
      <c r="W158"/>
      <c r="X158"/>
      <c r="Y158"/>
      <c r="Z158"/>
      <c r="AA158"/>
      <c r="AC158" s="104"/>
      <c r="AD158" s="104"/>
      <c r="AE158" s="257"/>
      <c r="AF158" s="257"/>
      <c r="AH158" s="257"/>
      <c r="AI158" s="257"/>
      <c r="AJ158" s="257"/>
    </row>
    <row r="159" spans="2:36" x14ac:dyDescent="0.6">
      <c r="B159" s="237" t="s">
        <v>1488</v>
      </c>
      <c r="D159" s="126"/>
      <c r="E159" s="126"/>
      <c r="F159" s="275"/>
      <c r="G159" s="275"/>
      <c r="H159" s="276"/>
      <c r="I159" s="276"/>
      <c r="J159" s="276"/>
      <c r="K159" s="276"/>
      <c r="L159" s="126"/>
      <c r="M159" s="275"/>
      <c r="N159" s="275"/>
      <c r="O159" s="1153">
        <v>0.439</v>
      </c>
      <c r="P159" s="1153">
        <v>0.56499999999999995</v>
      </c>
      <c r="Q159"/>
      <c r="R159" s="1153">
        <v>0.63500000000000001</v>
      </c>
      <c r="S159" s="1153">
        <v>0.7</v>
      </c>
      <c r="T159" s="803"/>
      <c r="U159"/>
      <c r="V159"/>
      <c r="W159"/>
      <c r="X159"/>
      <c r="Y159"/>
      <c r="Z159"/>
      <c r="AA159"/>
      <c r="AC159" s="104"/>
      <c r="AD159" s="104"/>
      <c r="AE159" s="257"/>
      <c r="AF159" s="257"/>
      <c r="AH159" s="257"/>
      <c r="AI159" s="257"/>
      <c r="AJ159" s="257"/>
    </row>
    <row r="160" spans="2:36" x14ac:dyDescent="0.6">
      <c r="B160" s="237"/>
      <c r="D160" s="126"/>
      <c r="E160" s="126"/>
      <c r="F160" s="275"/>
      <c r="G160" s="275"/>
      <c r="H160" s="276"/>
      <c r="I160" s="276"/>
      <c r="J160" s="276"/>
      <c r="K160" s="276"/>
      <c r="L160" s="126"/>
      <c r="M160" s="275"/>
      <c r="N160" s="275"/>
      <c r="O160" s="275"/>
      <c r="P160" s="275"/>
      <c r="Q160"/>
      <c r="R160" s="1153"/>
      <c r="S160" s="1153"/>
      <c r="T160" s="803"/>
      <c r="U160"/>
      <c r="V160"/>
      <c r="W160"/>
      <c r="X160"/>
      <c r="Y160"/>
      <c r="Z160"/>
      <c r="AA160"/>
      <c r="AC160" s="104"/>
      <c r="AD160" s="104"/>
      <c r="AE160" s="257"/>
      <c r="AF160" s="257"/>
      <c r="AH160" s="257"/>
      <c r="AI160" s="257"/>
      <c r="AJ160" s="257"/>
    </row>
    <row r="161" spans="2:36" x14ac:dyDescent="0.6">
      <c r="B161" s="237" t="s">
        <v>1489</v>
      </c>
      <c r="D161" s="126"/>
      <c r="E161" s="126"/>
      <c r="F161" s="275"/>
      <c r="G161" s="275"/>
      <c r="H161" s="276"/>
      <c r="I161" s="276"/>
      <c r="J161" s="276"/>
      <c r="K161" s="276"/>
      <c r="L161" s="126"/>
      <c r="M161" s="275"/>
      <c r="N161" s="275"/>
      <c r="O161" s="275"/>
      <c r="P161" s="275"/>
      <c r="Q161"/>
      <c r="R161" s="1153"/>
      <c r="S161" s="1153"/>
      <c r="T161" s="803"/>
      <c r="U161"/>
      <c r="V161"/>
      <c r="W161"/>
      <c r="X161"/>
      <c r="Y161"/>
      <c r="Z161"/>
      <c r="AA161"/>
      <c r="AC161" s="104"/>
      <c r="AD161" s="104"/>
      <c r="AE161" s="257"/>
      <c r="AF161" s="257"/>
      <c r="AH161" s="257"/>
      <c r="AI161" s="257"/>
      <c r="AJ161" s="257"/>
    </row>
    <row r="162" spans="2:36" x14ac:dyDescent="0.6">
      <c r="B162" s="237" t="str">
        <f>B157</f>
        <v xml:space="preserve"> - Brazil</v>
      </c>
      <c r="D162" s="126"/>
      <c r="E162" s="126"/>
      <c r="F162" s="275"/>
      <c r="G162" s="275"/>
      <c r="H162" s="276"/>
      <c r="I162" s="276"/>
      <c r="J162" s="276"/>
      <c r="K162" s="276"/>
      <c r="L162" s="126"/>
      <c r="M162" s="275"/>
      <c r="N162" s="275"/>
      <c r="O162" s="275"/>
      <c r="P162" s="275"/>
      <c r="Q162"/>
      <c r="R162" s="1153"/>
      <c r="S162" s="1153"/>
      <c r="T162" s="803"/>
      <c r="U162"/>
      <c r="V162"/>
      <c r="W162"/>
      <c r="X162"/>
      <c r="Y162"/>
      <c r="Z162"/>
      <c r="AA162"/>
      <c r="AC162" s="104"/>
      <c r="AD162" s="104"/>
      <c r="AE162" s="257"/>
      <c r="AF162" s="257"/>
      <c r="AH162" s="257"/>
      <c r="AI162" s="257"/>
      <c r="AJ162" s="257"/>
    </row>
    <row r="163" spans="2:36" x14ac:dyDescent="0.6">
      <c r="B163" s="237" t="str">
        <f>B158</f>
        <v xml:space="preserve"> - Mexico</v>
      </c>
      <c r="D163" s="126"/>
      <c r="E163" s="126"/>
      <c r="F163" s="275"/>
      <c r="G163" s="275"/>
      <c r="H163" s="276"/>
      <c r="I163" s="276"/>
      <c r="J163" s="276"/>
      <c r="K163" s="276"/>
      <c r="L163" s="126"/>
      <c r="M163" s="275"/>
      <c r="N163" s="275"/>
      <c r="O163" s="275"/>
      <c r="P163" s="275"/>
      <c r="Q163"/>
      <c r="R163" s="1153"/>
      <c r="S163" s="1153"/>
      <c r="T163" s="803"/>
      <c r="U163"/>
      <c r="V163"/>
      <c r="W163"/>
      <c r="X163"/>
      <c r="Y163"/>
      <c r="Z163"/>
      <c r="AA163"/>
      <c r="AC163" s="104"/>
      <c r="AD163" s="104"/>
      <c r="AE163" s="257"/>
      <c r="AF163" s="257"/>
      <c r="AH163" s="257"/>
      <c r="AI163" s="257"/>
      <c r="AJ163" s="257"/>
    </row>
    <row r="164" spans="2:36" x14ac:dyDescent="0.6">
      <c r="B164" s="237" t="str">
        <f>B159</f>
        <v xml:space="preserve"> - Colombia</v>
      </c>
      <c r="D164" s="126"/>
      <c r="E164" s="126"/>
      <c r="F164" s="275"/>
      <c r="G164" s="275"/>
      <c r="H164" s="276"/>
      <c r="I164" s="276"/>
      <c r="J164" s="276"/>
      <c r="K164" s="276"/>
      <c r="L164" s="126"/>
      <c r="M164" s="275"/>
      <c r="N164" s="275"/>
      <c r="O164" s="275"/>
      <c r="P164" s="275"/>
      <c r="Q164"/>
      <c r="R164" s="1153"/>
      <c r="S164" s="1153"/>
      <c r="T164" s="803"/>
      <c r="U164"/>
      <c r="V164"/>
      <c r="W164"/>
      <c r="X164"/>
      <c r="Y164"/>
      <c r="Z164"/>
      <c r="AA164"/>
      <c r="AC164" s="104"/>
      <c r="AD164" s="104"/>
      <c r="AE164" s="257"/>
      <c r="AF164" s="257"/>
      <c r="AH164" s="257"/>
      <c r="AI164" s="257"/>
      <c r="AJ164" s="257"/>
    </row>
    <row r="165" spans="2:36" x14ac:dyDescent="0.6">
      <c r="B165" s="237"/>
      <c r="D165" s="126"/>
      <c r="E165" s="126"/>
      <c r="F165" s="275"/>
      <c r="G165" s="275"/>
      <c r="H165" s="276"/>
      <c r="I165" s="276"/>
      <c r="J165" s="276"/>
      <c r="K165" s="276"/>
      <c r="L165" s="126"/>
      <c r="M165" s="275"/>
      <c r="N165" s="275"/>
      <c r="O165" s="275"/>
      <c r="P165" s="275"/>
      <c r="Q165"/>
      <c r="R165" s="1153"/>
      <c r="S165" s="1153"/>
      <c r="T165" s="803"/>
      <c r="U165"/>
      <c r="V165"/>
      <c r="W165"/>
      <c r="X165"/>
      <c r="Y165"/>
      <c r="Z165"/>
      <c r="AA165"/>
      <c r="AC165" s="104"/>
      <c r="AD165" s="104"/>
      <c r="AE165" s="257"/>
      <c r="AF165" s="257"/>
      <c r="AH165" s="257"/>
      <c r="AI165" s="257"/>
      <c r="AJ165" s="257"/>
    </row>
    <row r="166" spans="2:36" x14ac:dyDescent="0.6">
      <c r="B166" t="s">
        <v>388</v>
      </c>
      <c r="D166" s="126"/>
      <c r="E166" s="126"/>
      <c r="F166" s="275">
        <v>18.600000000000001</v>
      </c>
      <c r="G166" s="275">
        <v>21.8</v>
      </c>
      <c r="H166" s="276">
        <f>M166/1.82</f>
        <v>25.549450549450547</v>
      </c>
      <c r="I166" s="276">
        <f>N166/1.75</f>
        <v>29.885714285714283</v>
      </c>
      <c r="J166" s="276">
        <v>35.200000000000003</v>
      </c>
      <c r="K166" s="276">
        <v>39.9</v>
      </c>
      <c r="L166" s="126"/>
      <c r="M166" s="275">
        <v>46.5</v>
      </c>
      <c r="N166" s="275">
        <v>52.3</v>
      </c>
      <c r="O166" s="275">
        <v>57.4</v>
      </c>
      <c r="P166" s="275">
        <v>61.2</v>
      </c>
      <c r="Q166"/>
      <c r="R166" s="1153">
        <v>64.900000000000006</v>
      </c>
      <c r="S166" s="1153">
        <v>68.8</v>
      </c>
      <c r="T166" s="803">
        <f>S166+T167</f>
        <v>72.3</v>
      </c>
      <c r="U166">
        <f>Drivers!H16</f>
        <v>75.7</v>
      </c>
      <c r="V166"/>
      <c r="W166"/>
      <c r="X166"/>
      <c r="Y166"/>
      <c r="Z166"/>
      <c r="AA166"/>
      <c r="AC166" s="104"/>
      <c r="AD166" s="104"/>
      <c r="AE166" s="257">
        <f>J166/F166-1</f>
        <v>0.89247311827956999</v>
      </c>
      <c r="AF166" s="257">
        <f>K166/G166-1</f>
        <v>0.83027522935779796</v>
      </c>
      <c r="AH166" s="257"/>
      <c r="AI166" s="257"/>
      <c r="AJ166" s="257"/>
    </row>
    <row r="167" spans="2:36" x14ac:dyDescent="0.6">
      <c r="B167" t="s">
        <v>1339</v>
      </c>
      <c r="D167" s="126"/>
      <c r="E167" s="126"/>
      <c r="F167" s="275"/>
      <c r="G167" s="275"/>
      <c r="H167" s="275">
        <f>H166-F166</f>
        <v>6.9494505494505461</v>
      </c>
      <c r="I167" s="275">
        <f>I166-H166</f>
        <v>4.3362637362637351</v>
      </c>
      <c r="J167" s="275">
        <f>J166-I166</f>
        <v>5.3142857142857203</v>
      </c>
      <c r="K167" s="275">
        <f>K166-J166</f>
        <v>4.6999999999999957</v>
      </c>
      <c r="L167" s="126"/>
      <c r="M167" s="275">
        <f>M166-K166</f>
        <v>6.6000000000000014</v>
      </c>
      <c r="N167" s="275">
        <f>N166-M166</f>
        <v>5.7999999999999972</v>
      </c>
      <c r="O167" s="275">
        <f>O166-N166</f>
        <v>5.1000000000000014</v>
      </c>
      <c r="P167" s="275">
        <f>P166-O166</f>
        <v>3.8000000000000043</v>
      </c>
      <c r="Q167"/>
      <c r="R167" s="275">
        <f>R166-P166</f>
        <v>3.7000000000000028</v>
      </c>
      <c r="S167" s="275">
        <f>S166-R166</f>
        <v>3.8999999999999915</v>
      </c>
      <c r="T167" s="1109">
        <v>3.5</v>
      </c>
      <c r="U167" s="803">
        <f>U166-T166</f>
        <v>3.4000000000000057</v>
      </c>
      <c r="V167"/>
      <c r="W167"/>
      <c r="X167"/>
      <c r="Y167"/>
      <c r="Z167"/>
      <c r="AA167"/>
      <c r="AC167" s="104"/>
      <c r="AD167" s="104"/>
      <c r="AE167" s="257"/>
      <c r="AF167" s="257"/>
      <c r="AH167" s="257"/>
      <c r="AI167" s="257"/>
      <c r="AJ167" s="257"/>
    </row>
    <row r="168" spans="2:36" x14ac:dyDescent="0.6">
      <c r="B168" t="s">
        <v>1490</v>
      </c>
      <c r="D168" s="126"/>
      <c r="E168" s="126"/>
      <c r="F168" s="1156">
        <f t="shared" ref="F168:K168" si="36">F166/F156</f>
        <v>0.6262626262626263</v>
      </c>
      <c r="G168" s="1156">
        <f t="shared" si="36"/>
        <v>0.65465465465465478</v>
      </c>
      <c r="H168" s="1156">
        <f t="shared" si="36"/>
        <v>0.68866443529516297</v>
      </c>
      <c r="I168" s="1156">
        <f t="shared" si="36"/>
        <v>0.71668379582048636</v>
      </c>
      <c r="J168" s="1156">
        <f t="shared" si="36"/>
        <v>0.73180873180873185</v>
      </c>
      <c r="K168" s="1156">
        <f t="shared" si="36"/>
        <v>0.74025974025974028</v>
      </c>
      <c r="L168" s="126"/>
      <c r="M168" s="1156">
        <f>M166/M156</f>
        <v>0.78020134228187921</v>
      </c>
      <c r="N168" s="1156">
        <f>N166/N156</f>
        <v>0.80091883614088821</v>
      </c>
      <c r="O168" s="1156">
        <f>O166/O156</f>
        <v>0.81534090909090895</v>
      </c>
      <c r="P168" s="1156">
        <f>P166/P156</f>
        <v>0.82037533512064353</v>
      </c>
      <c r="Q168"/>
      <c r="R168" s="1156">
        <f>R166/R156</f>
        <v>0.82048040455120119</v>
      </c>
      <c r="S168" s="1156">
        <f>S166/S156</f>
        <v>0.82198327359617673</v>
      </c>
      <c r="T168" s="1109"/>
      <c r="U168" s="803"/>
      <c r="V168"/>
      <c r="W168"/>
      <c r="X168"/>
      <c r="Y168"/>
      <c r="Z168"/>
      <c r="AA168"/>
      <c r="AC168" s="104"/>
      <c r="AD168" s="104"/>
      <c r="AE168" s="257"/>
      <c r="AF168" s="257"/>
      <c r="AH168" s="257"/>
      <c r="AI168" s="257"/>
      <c r="AJ168" s="257"/>
    </row>
    <row r="169" spans="2:36" x14ac:dyDescent="0.6">
      <c r="D169" s="126"/>
      <c r="E169" s="126"/>
      <c r="F169" s="275"/>
      <c r="G169" s="275"/>
      <c r="H169" s="276"/>
      <c r="I169" s="276"/>
      <c r="J169" s="276"/>
      <c r="K169" s="276"/>
      <c r="L169" s="126"/>
      <c r="M169" s="275"/>
      <c r="N169" s="275"/>
      <c r="O169" s="275"/>
      <c r="P169" s="275"/>
      <c r="Q169"/>
      <c r="R169"/>
      <c r="S169"/>
      <c r="T169"/>
      <c r="U169"/>
      <c r="V169"/>
      <c r="W169"/>
      <c r="X169"/>
      <c r="Y169"/>
      <c r="Z169"/>
      <c r="AA169"/>
      <c r="AC169" s="104"/>
      <c r="AD169" s="104"/>
      <c r="AE169" s="257"/>
      <c r="AF169" s="257"/>
      <c r="AH169" s="257"/>
      <c r="AI169" s="257"/>
      <c r="AJ169" s="257"/>
    </row>
    <row r="170" spans="2:36" x14ac:dyDescent="0.6">
      <c r="B170" t="s">
        <v>734</v>
      </c>
      <c r="D170" s="126"/>
      <c r="E170" s="126"/>
      <c r="F170" s="275">
        <f>F6/AVERAGE(E166,F166)/3</f>
        <v>2.7974910394265233</v>
      </c>
      <c r="G170" s="275">
        <f>G6/AVERAGE(F166,G166)/3</f>
        <v>3.3432343234323429</v>
      </c>
      <c r="H170" s="275">
        <f>H6/AVERAGE(G166,H166)/3</f>
        <v>3.4495296447580142</v>
      </c>
      <c r="I170" s="275">
        <f>I6/AVERAGE(H166,I166)/3</f>
        <v>4.0419590585312362</v>
      </c>
      <c r="J170" s="276">
        <f>J6/AVERAGE(I166,J166)/3</f>
        <v>4.9258121158911319</v>
      </c>
      <c r="K170" s="276">
        <v>5.6</v>
      </c>
      <c r="L170" s="126"/>
      <c r="M170" s="276">
        <v>6.7</v>
      </c>
      <c r="N170" s="276">
        <v>7.8</v>
      </c>
      <c r="O170" s="276">
        <v>7.9</v>
      </c>
      <c r="P170" s="276">
        <v>8.1999999999999993</v>
      </c>
      <c r="Q170"/>
      <c r="R170" s="276">
        <v>8.6</v>
      </c>
      <c r="S170" s="276">
        <v>9.3000000000000007</v>
      </c>
      <c r="T170"/>
      <c r="U170"/>
      <c r="V170"/>
      <c r="W170"/>
      <c r="X170"/>
      <c r="Y170"/>
      <c r="Z170"/>
      <c r="AA170"/>
      <c r="AC170" s="104"/>
      <c r="AD170" s="104"/>
      <c r="AE170" s="257"/>
      <c r="AF170" s="257"/>
      <c r="AH170" s="257"/>
      <c r="AI170" s="257"/>
      <c r="AJ170" s="257"/>
    </row>
    <row r="171" spans="2:36" x14ac:dyDescent="0.6">
      <c r="B171" t="s">
        <v>735</v>
      </c>
      <c r="D171" s="126"/>
      <c r="E171" s="126"/>
      <c r="F171" s="275"/>
      <c r="G171" s="275"/>
      <c r="H171" s="275"/>
      <c r="I171" s="275"/>
      <c r="J171" s="275"/>
      <c r="K171" s="275">
        <f>K6/AVERAGE(J166,K166)/3</f>
        <v>5.6452729693741688</v>
      </c>
      <c r="L171" s="126"/>
      <c r="M171" s="275">
        <f>M6/AVERAGE(K166,M166)/3</f>
        <v>6.7690354938271602</v>
      </c>
      <c r="N171" s="275">
        <f>N6/AVERAGE(M166,N166)/3</f>
        <v>7.8108029689608651</v>
      </c>
      <c r="O171" s="275">
        <f>O6/AVERAGE(N166,O166)/3</f>
        <v>7.9422667882102722</v>
      </c>
      <c r="P171" s="275">
        <f>P6/AVERAGE(O166,P166)/3</f>
        <v>8.1521753794266445</v>
      </c>
      <c r="Q171"/>
      <c r="R171" s="275">
        <f>R6/AVERAGE(P166,R166)/3</f>
        <v>8.5564578376949498</v>
      </c>
      <c r="S171" s="275">
        <f>S6/AVERAGE(Q166,S166)/3</f>
        <v>9.0532945736434112</v>
      </c>
      <c r="T171" s="275">
        <f>T6/AVERAGE(S166,T166)/3</f>
        <v>9.5802564810620208</v>
      </c>
      <c r="U171" s="275">
        <f>U6/AVERAGE(T166,U166)/3</f>
        <v>9.9914051924579894</v>
      </c>
      <c r="V171"/>
      <c r="W171"/>
      <c r="X171"/>
      <c r="Y171"/>
      <c r="Z171"/>
      <c r="AA171"/>
      <c r="AC171" s="104"/>
      <c r="AD171" s="104"/>
      <c r="AE171" s="257"/>
      <c r="AF171" s="257"/>
      <c r="AH171" s="257"/>
      <c r="AI171" s="257"/>
      <c r="AJ171" s="257"/>
    </row>
    <row r="172" spans="2:36" x14ac:dyDescent="0.6">
      <c r="B172" t="s">
        <v>392</v>
      </c>
      <c r="D172" s="126"/>
      <c r="E172" s="126"/>
      <c r="F172" s="275">
        <f t="shared" ref="F172:K172" si="37">F50*F170</f>
        <v>15.04764496035625</v>
      </c>
      <c r="G172" s="275">
        <f t="shared" si="37"/>
        <v>18.050370322032204</v>
      </c>
      <c r="H172" s="275">
        <f t="shared" si="37"/>
        <v>18.895628672232785</v>
      </c>
      <c r="I172" s="275">
        <f t="shared" si="37"/>
        <v>21.409380338844198</v>
      </c>
      <c r="J172" s="275">
        <f t="shared" si="37"/>
        <v>25.768871113017799</v>
      </c>
      <c r="K172" s="275">
        <f t="shared" si="37"/>
        <v>31.278358787878783</v>
      </c>
      <c r="L172" s="126"/>
      <c r="M172" s="275">
        <f>M50*M170</f>
        <v>35.028517384615377</v>
      </c>
      <c r="N172" s="275">
        <f>N50*N170</f>
        <v>38.384352000000014</v>
      </c>
      <c r="O172" s="275">
        <f>O50*O170</f>
        <v>41.446871212121216</v>
      </c>
      <c r="P172" s="275">
        <f>P50*P170</f>
        <v>43.131999999999998</v>
      </c>
      <c r="Q172"/>
      <c r="R172" s="275">
        <f>R50*R170</f>
        <v>44.634</v>
      </c>
      <c r="S172" s="275">
        <f>S50*S170</f>
        <v>46.035000000000004</v>
      </c>
      <c r="T172"/>
      <c r="U172"/>
      <c r="V172"/>
      <c r="W172"/>
      <c r="X172"/>
      <c r="Y172"/>
      <c r="Z172"/>
      <c r="AA172"/>
      <c r="AC172" s="104"/>
      <c r="AD172" s="104"/>
      <c r="AE172" s="257"/>
      <c r="AF172" s="257"/>
      <c r="AH172" s="257"/>
      <c r="AI172" s="257"/>
      <c r="AJ172" s="257"/>
    </row>
    <row r="173" spans="2:36" x14ac:dyDescent="0.6">
      <c r="Q173" s="346" t="s">
        <v>577</v>
      </c>
      <c r="R173" s="346"/>
      <c r="S173" s="346"/>
    </row>
    <row r="174" spans="2:36" x14ac:dyDescent="0.6">
      <c r="D174" s="110"/>
      <c r="E174" s="110">
        <v>0.375</v>
      </c>
      <c r="F174" s="110">
        <v>0.40300000000000002</v>
      </c>
      <c r="G174" s="110">
        <v>0.41899999999999998</v>
      </c>
      <c r="H174" s="110">
        <v>0.41799999999999998</v>
      </c>
      <c r="I174" s="110">
        <v>0.47</v>
      </c>
      <c r="J174" s="110">
        <v>0.47899999999999998</v>
      </c>
      <c r="K174" s="110"/>
      <c r="L174" s="110"/>
      <c r="M174" s="110"/>
      <c r="N174" s="110"/>
      <c r="O174" s="110"/>
      <c r="P174" s="110"/>
      <c r="Q174" s="110"/>
      <c r="R174" s="110"/>
      <c r="S174" s="110"/>
      <c r="T174" s="110"/>
      <c r="U174" s="110"/>
      <c r="V174" s="363" t="s">
        <v>577</v>
      </c>
      <c r="W174" s="110"/>
      <c r="X174" s="110"/>
      <c r="Y174" s="110"/>
      <c r="Z174" s="110"/>
      <c r="AA174" s="363" t="s">
        <v>577</v>
      </c>
      <c r="AB174" s="111"/>
      <c r="AC174" s="104"/>
      <c r="AD174" s="104"/>
      <c r="AE174" s="104"/>
      <c r="AF174" s="104"/>
      <c r="AH174" s="104"/>
      <c r="AI174" s="104"/>
      <c r="AJ174" s="104"/>
    </row>
    <row r="175" spans="2:36" x14ac:dyDescent="0.6">
      <c r="M175" s="281">
        <f>M176/L176-1</f>
        <v>0.32227449287149956</v>
      </c>
      <c r="N175" s="281"/>
      <c r="O175" s="281"/>
      <c r="W175" s="346" t="s">
        <v>577</v>
      </c>
      <c r="AC175" s="104"/>
      <c r="AD175" s="104"/>
      <c r="AE175" s="104"/>
      <c r="AF175" s="104"/>
      <c r="AH175" s="104"/>
      <c r="AI175" s="104"/>
      <c r="AJ175" s="104"/>
    </row>
    <row r="176" spans="2:36" x14ac:dyDescent="0.6">
      <c r="B176" s="364" t="s">
        <v>575</v>
      </c>
      <c r="C176" s="364"/>
      <c r="D176" s="365"/>
      <c r="E176" s="365"/>
      <c r="F176" s="365"/>
      <c r="G176" s="366">
        <f>Analysis!H359</f>
        <v>3083.6</v>
      </c>
      <c r="H176" s="490">
        <v>3600</v>
      </c>
      <c r="I176" s="490">
        <v>4200</v>
      </c>
      <c r="J176" s="366">
        <f>Analysis!E359</f>
        <v>4854.2</v>
      </c>
      <c r="K176" s="490">
        <v>5975</v>
      </c>
      <c r="L176" s="366">
        <f>Master!F154+Master!F155</f>
        <v>5975.3099999999995</v>
      </c>
      <c r="M176" s="490">
        <f>6234+1667</f>
        <v>7901</v>
      </c>
      <c r="N176" s="490">
        <v>8154</v>
      </c>
      <c r="O176" s="490">
        <f>O194</f>
        <v>8591.0529999999999</v>
      </c>
      <c r="P176" s="490">
        <f>P194</f>
        <v>9906</v>
      </c>
      <c r="Q176" s="366">
        <f>Master!G154+Master!G155</f>
        <v>9906</v>
      </c>
      <c r="R176" s="490">
        <f>R194</f>
        <v>11178</v>
      </c>
      <c r="S176" s="490">
        <f>S194</f>
        <v>12821</v>
      </c>
      <c r="T176" s="366">
        <f>T194</f>
        <v>13634.442460317459</v>
      </c>
      <c r="U176" s="366">
        <f>V176</f>
        <v>15589.409829558052</v>
      </c>
      <c r="V176" s="366">
        <f>Master!H154+Master!H155+Master!H156</f>
        <v>15589.409829558052</v>
      </c>
      <c r="W176" s="366">
        <f>W194</f>
        <v>16221.968792323474</v>
      </c>
      <c r="X176" s="366">
        <f>X194</f>
        <v>17817.713473174539</v>
      </c>
      <c r="Y176" s="366">
        <f>Y194</f>
        <v>19703.593550543977</v>
      </c>
      <c r="Z176" s="366">
        <f>AA176</f>
        <v>22002.246705654736</v>
      </c>
      <c r="AA176" s="366">
        <f>Master!I154+Master!I155+Master!I156</f>
        <v>22002.246705654736</v>
      </c>
      <c r="AC176" s="104"/>
      <c r="AD176" s="104"/>
      <c r="AE176" s="104"/>
      <c r="AF176" s="104"/>
      <c r="AH176" s="104"/>
      <c r="AI176" s="104"/>
      <c r="AJ176" s="104"/>
    </row>
    <row r="177" spans="2:36" x14ac:dyDescent="0.6">
      <c r="B177" t="s">
        <v>576</v>
      </c>
      <c r="G177" s="345"/>
      <c r="H177" s="345">
        <f>H38*4/AVERAGE(G176,H176)</f>
        <v>-8.5343228200371046E-2</v>
      </c>
      <c r="I177" s="345">
        <f>I38*4/AVERAGE(H176,I176)</f>
        <v>-8.4820512820512825E-2</v>
      </c>
      <c r="J177" s="345">
        <f>J38*4/AVERAGE(I176,J176)</f>
        <v>-0.1122131165646882</v>
      </c>
      <c r="K177" s="345">
        <f>K38*4/AVERAGE(J176,K176)</f>
        <v>-0.14747829941269899</v>
      </c>
      <c r="L177" s="348">
        <f>(L38)/(AVERAGE(G176,L176))</f>
        <v>-0.10611497409732518</v>
      </c>
      <c r="M177" s="345">
        <f>M38*4/AVERAGE(L176,M176)</f>
        <v>-0.15895983874675615</v>
      </c>
      <c r="N177" s="345">
        <f>N38*4/AVERAGE(M176,N176)</f>
        <v>-0.16866620990345688</v>
      </c>
      <c r="O177" s="345">
        <f>O38*4/AVERAGE(N176,O176)</f>
        <v>-0.1793962670646668</v>
      </c>
      <c r="P177" s="345">
        <f>P38*4/AVERAGE(O176,P176)</f>
        <v>-0.17956849666809091</v>
      </c>
      <c r="Q177" s="348">
        <f>(Q38)/(AVERAGE(L176,Q176))</f>
        <v>-0.17693754482470275</v>
      </c>
      <c r="R177" s="345">
        <f>R38*4/AVERAGE(P176,R176)</f>
        <v>-0.17985202048947069</v>
      </c>
      <c r="S177" s="345">
        <f>S38*4/AVERAGE(R176,S176)</f>
        <v>-0.19680820034168089</v>
      </c>
      <c r="T177" s="345">
        <f>T38*4/AVERAGE(S176,T176)</f>
        <v>-0.20234119305929971</v>
      </c>
      <c r="U177" s="345">
        <f>U38*4/AVERAGE(T176,U176)</f>
        <v>-0.19964836092772917</v>
      </c>
      <c r="V177" s="348">
        <f>(V38)/(AVERAGE(Q176,V176))</f>
        <v>-0.19319869862571981</v>
      </c>
      <c r="W177" s="345">
        <f>W38*4/AVERAGE(V176,W176)</f>
        <v>-0.18884526773172702</v>
      </c>
      <c r="X177" s="345">
        <f>X38*4/AVERAGE(W176,X176)</f>
        <v>-0.18101523836924108</v>
      </c>
      <c r="Y177" s="345">
        <f>Y38*4/AVERAGE(X176,Y176)</f>
        <v>-0.17165283467618569</v>
      </c>
      <c r="Z177" s="345">
        <f>Z38*4/AVERAGE(Y176,Z176)</f>
        <v>-0.18816337779910722</v>
      </c>
      <c r="AA177" s="348">
        <f>(AA38)/(AVERAGE(V176,AA176))</f>
        <v>-0.17595180978003047</v>
      </c>
    </row>
    <row r="178" spans="2:36" x14ac:dyDescent="0.6">
      <c r="G178" s="345"/>
      <c r="H178" s="345"/>
      <c r="I178" s="345"/>
      <c r="J178" s="345"/>
      <c r="K178" s="345"/>
      <c r="L178" s="345"/>
      <c r="M178" s="345"/>
      <c r="N178" s="345"/>
      <c r="O178" s="345"/>
      <c r="P178" s="345"/>
      <c r="Q178" s="345"/>
      <c r="R178" s="345"/>
      <c r="S178" s="345"/>
      <c r="T178" s="345"/>
      <c r="U178" s="345"/>
      <c r="V178" s="345"/>
      <c r="W178" s="345"/>
      <c r="X178" s="345"/>
      <c r="Y178" s="345"/>
      <c r="Z178" s="345"/>
      <c r="AA178" s="345"/>
    </row>
    <row r="179" spans="2:36" x14ac:dyDescent="0.6">
      <c r="B179" t="s">
        <v>1160</v>
      </c>
      <c r="F179" s="51"/>
      <c r="G179" s="51"/>
      <c r="H179" s="51"/>
      <c r="I179" s="49">
        <v>1000</v>
      </c>
      <c r="J179" s="49">
        <v>1400</v>
      </c>
      <c r="K179" s="49">
        <v>2000</v>
      </c>
      <c r="L179" s="345"/>
      <c r="M179" s="49">
        <v>3100</v>
      </c>
      <c r="N179" s="49">
        <v>3200</v>
      </c>
      <c r="O179" s="49">
        <v>3500</v>
      </c>
      <c r="P179" s="49">
        <v>4000</v>
      </c>
      <c r="Q179" s="345"/>
      <c r="R179" s="49">
        <v>5200</v>
      </c>
      <c r="S179" s="49">
        <v>6300</v>
      </c>
      <c r="T179" s="345"/>
      <c r="U179" s="345"/>
      <c r="V179" s="345"/>
      <c r="W179" s="345"/>
      <c r="X179" s="345"/>
      <c r="Y179" s="345"/>
      <c r="Z179" s="345"/>
      <c r="AA179" s="345"/>
    </row>
    <row r="180" spans="2:36" x14ac:dyDescent="0.6">
      <c r="B180" t="s">
        <v>1161</v>
      </c>
      <c r="G180" s="345"/>
      <c r="H180" s="345"/>
      <c r="I180" s="49">
        <f>I179*I221</f>
        <v>4969.5999999999995</v>
      </c>
      <c r="J180" s="49">
        <f>J179*J221</f>
        <v>7620.0599999999995</v>
      </c>
      <c r="K180" s="49">
        <f>K179*K221</f>
        <v>11151.6</v>
      </c>
      <c r="L180" s="345"/>
      <c r="M180" s="49">
        <f>M179*M221</f>
        <v>14694</v>
      </c>
      <c r="N180" s="49">
        <f>N179*N221</f>
        <v>16832</v>
      </c>
      <c r="O180" s="49">
        <f>O179*O221</f>
        <v>18954.25</v>
      </c>
      <c r="P180" s="49">
        <f>P179*P221</f>
        <v>21120</v>
      </c>
      <c r="Q180" s="345"/>
      <c r="R180" s="49">
        <f>R179*R221</f>
        <v>26311.999999999996</v>
      </c>
      <c r="S180" s="49">
        <f>S179*S221</f>
        <v>30177</v>
      </c>
      <c r="T180" s="345"/>
      <c r="U180" s="345"/>
      <c r="V180" s="345"/>
      <c r="W180" s="345"/>
      <c r="X180" s="345"/>
      <c r="Y180" s="345"/>
      <c r="Z180" s="345"/>
      <c r="AA180" s="345"/>
    </row>
    <row r="181" spans="2:36" x14ac:dyDescent="0.6">
      <c r="T181" s="1188">
        <v>19299</v>
      </c>
      <c r="U181" s="1188">
        <v>20925</v>
      </c>
      <c r="V181" s="340"/>
      <c r="W181" s="1188">
        <v>22130</v>
      </c>
      <c r="X181" s="1188">
        <v>23626</v>
      </c>
      <c r="Y181" s="1188">
        <v>25272</v>
      </c>
      <c r="Z181" s="1188">
        <v>27252</v>
      </c>
    </row>
    <row r="182" spans="2:36" x14ac:dyDescent="0.6">
      <c r="B182" s="364" t="s">
        <v>47</v>
      </c>
      <c r="C182" s="364"/>
      <c r="D182" s="365"/>
      <c r="E182" s="365"/>
      <c r="F182" s="365"/>
      <c r="G182" s="366">
        <f>Master!E173</f>
        <v>5584.9</v>
      </c>
      <c r="H182" s="490">
        <v>5500</v>
      </c>
      <c r="I182" s="490">
        <v>7500</v>
      </c>
      <c r="J182" s="490">
        <v>8100</v>
      </c>
      <c r="K182" s="490">
        <v>9667</v>
      </c>
      <c r="L182" s="366">
        <f>Master!F173</f>
        <v>9667.2999999999993</v>
      </c>
      <c r="M182" s="490">
        <v>12596</v>
      </c>
      <c r="N182" s="490">
        <v>13293</v>
      </c>
      <c r="O182" s="490">
        <v>14040</v>
      </c>
      <c r="P182" s="490">
        <v>15808</v>
      </c>
      <c r="Q182" s="366">
        <f>Master!G173</f>
        <v>15808</v>
      </c>
      <c r="R182" s="490">
        <v>15757</v>
      </c>
      <c r="S182" s="490">
        <v>18034</v>
      </c>
      <c r="T182" s="367">
        <f>S182+1200</f>
        <v>19234</v>
      </c>
      <c r="U182" s="365">
        <f>V182</f>
        <v>20856.916775599129</v>
      </c>
      <c r="V182" s="366">
        <f>Master!H173</f>
        <v>20856.916775599129</v>
      </c>
      <c r="W182" s="367">
        <f>V182+1200</f>
        <v>22056.916775599129</v>
      </c>
      <c r="X182" s="367">
        <f>W182+1200</f>
        <v>23256.916775599129</v>
      </c>
      <c r="Y182" s="367">
        <f>X182+1200</f>
        <v>24456.916775599129</v>
      </c>
      <c r="Z182" s="365">
        <f>AA182</f>
        <v>25060.774268441615</v>
      </c>
      <c r="AA182" s="366">
        <f>Master!I173</f>
        <v>25060.774268441615</v>
      </c>
      <c r="AC182" s="104"/>
      <c r="AD182" s="104"/>
      <c r="AE182" s="104"/>
      <c r="AF182" s="104"/>
      <c r="AH182" s="104"/>
      <c r="AI182" s="104"/>
      <c r="AJ182" s="104"/>
    </row>
    <row r="183" spans="2:36" x14ac:dyDescent="0.6">
      <c r="B183" t="s">
        <v>580</v>
      </c>
      <c r="G183" s="49"/>
      <c r="H183" s="345">
        <f>(-H25*4)/AVERAGE(G182,H182)</f>
        <v>2.2877969129175727E-2</v>
      </c>
      <c r="I183" s="345">
        <f>(-I25*4)/AVERAGE(H182,I182)</f>
        <v>3.5200000000000002E-2</v>
      </c>
      <c r="J183" s="345">
        <f>(-J25*4)/AVERAGE(I182,J182)</f>
        <v>5.2000000000000005E-2</v>
      </c>
      <c r="K183" s="345">
        <f>(-K25*4)/AVERAGE(J182,K182)</f>
        <v>7.9698317104744745E-2</v>
      </c>
      <c r="L183" s="345">
        <f>(-L25)/AVERAGE(G182,L182)</f>
        <v>4.8169313279395762E-2</v>
      </c>
      <c r="M183" s="345">
        <f>(-M25*4)/AVERAGE(L182,M182)</f>
        <v>9.8099742625756284E-2</v>
      </c>
      <c r="N183" s="345">
        <f>(-N25*4)/AVERAGE(M182,N182)</f>
        <v>0.12592220634246204</v>
      </c>
      <c r="O183" s="345">
        <f>(-O25*4)/AVERAGE(N182,O182)</f>
        <v>0.13460651959170233</v>
      </c>
      <c r="P183" s="345">
        <f>(-P25*4)/AVERAGE(O182,P182)</f>
        <v>0.108978021978022</v>
      </c>
      <c r="Q183" s="345">
        <f>(-Q25)/AVERAGE(L182,Q182)</f>
        <v>0.1215294814977645</v>
      </c>
      <c r="R183" s="345">
        <f>(-R25*4)/AVERAGE(Q182,R182)</f>
        <v>0.1115465864089973</v>
      </c>
      <c r="S183" s="345">
        <f>(-S25*4)/AVERAGE(R182,S182)</f>
        <v>0.1073421917078512</v>
      </c>
      <c r="T183" s="345">
        <f>(-T25*4)/AVERAGE(S182,T182)</f>
        <v>0.10573306858430825</v>
      </c>
      <c r="U183" s="345">
        <f>(-U25*4)/AVERAGE(T182,U182)</f>
        <v>9.6479340350747622E-2</v>
      </c>
      <c r="V183" s="345">
        <f>(-V25)/AVERAGE(Q182,V182)</f>
        <v>0.10198150248168758</v>
      </c>
      <c r="W183" s="345">
        <f>(-W25*4)/AVERAGE(V182,W182)</f>
        <v>9.1456802935543494E-2</v>
      </c>
      <c r="X183" s="345">
        <f>(-X25*4)/AVERAGE(W182,X182)</f>
        <v>8.2061861134270289E-2</v>
      </c>
      <c r="Y183" s="345">
        <f>(-Y25*4)/AVERAGE(X182,Y182)</f>
        <v>7.8706650381731136E-2</v>
      </c>
      <c r="Z183" s="345">
        <f>(-Z25*4)/AVERAGE(Y182,Z182)</f>
        <v>7.1628196430202143E-2</v>
      </c>
      <c r="AA183" s="345">
        <f>(-AA25)/AVERAGE(V182,AA182)</f>
        <v>8.137146114808326E-2</v>
      </c>
      <c r="AC183" s="104"/>
      <c r="AD183" s="104"/>
      <c r="AE183" s="104"/>
      <c r="AF183" s="104"/>
      <c r="AH183" s="104"/>
      <c r="AI183" s="104"/>
      <c r="AJ183" s="104"/>
    </row>
    <row r="184" spans="2:36" x14ac:dyDescent="0.6">
      <c r="M184" s="281"/>
      <c r="N184" s="281"/>
      <c r="O184" s="281"/>
      <c r="P184" s="281"/>
      <c r="R184" s="281"/>
      <c r="S184" s="281"/>
      <c r="T184" s="1198">
        <f>T195/T181</f>
        <v>0.74661899580289137</v>
      </c>
      <c r="U184" s="1198">
        <f>U195/U181</f>
        <v>0.7757228195937873</v>
      </c>
      <c r="V184" s="1114"/>
      <c r="W184" s="1198">
        <f>W195/W181</f>
        <v>0.78395842747401712</v>
      </c>
      <c r="X184" s="1198">
        <f>X195/X181</f>
        <v>0.80906628290866001</v>
      </c>
      <c r="Y184" s="1198">
        <f>Y195/Y181</f>
        <v>0.83851693573915798</v>
      </c>
      <c r="Z184" s="1198">
        <f>Z195/Z181</f>
        <v>0.86900044033465429</v>
      </c>
      <c r="AC184" s="104"/>
      <c r="AD184" s="104"/>
      <c r="AE184" s="104"/>
      <c r="AF184" s="104"/>
      <c r="AH184" s="104"/>
      <c r="AI184" s="104"/>
      <c r="AJ184" s="104"/>
    </row>
    <row r="185" spans="2:36" x14ac:dyDescent="0.6">
      <c r="B185" s="20" t="s">
        <v>1468</v>
      </c>
      <c r="C185" s="20"/>
      <c r="D185" s="23"/>
      <c r="E185" s="23"/>
      <c r="F185" s="23"/>
      <c r="G185" s="23"/>
      <c r="H185" s="271">
        <f>H176/H182</f>
        <v>0.65454545454545454</v>
      </c>
      <c r="I185" s="271">
        <f t="shared" ref="I185:Z185" si="38">I176/I182</f>
        <v>0.56000000000000005</v>
      </c>
      <c r="J185" s="271">
        <f t="shared" si="38"/>
        <v>0.5992839506172839</v>
      </c>
      <c r="K185" s="271">
        <f t="shared" si="38"/>
        <v>0.61808213509878973</v>
      </c>
      <c r="L185" s="271"/>
      <c r="M185" s="271">
        <f t="shared" si="38"/>
        <v>0.62726262305493807</v>
      </c>
      <c r="N185" s="271">
        <f t="shared" si="38"/>
        <v>0.61340555179417744</v>
      </c>
      <c r="O185" s="271">
        <f t="shared" si="38"/>
        <v>0.61189836182336177</v>
      </c>
      <c r="P185" s="271">
        <f t="shared" si="38"/>
        <v>0.62664473684210531</v>
      </c>
      <c r="Q185" s="271"/>
      <c r="R185" s="271">
        <f t="shared" si="38"/>
        <v>0.70939899727105415</v>
      </c>
      <c r="S185" s="271">
        <f t="shared" si="38"/>
        <v>0.71093490074304089</v>
      </c>
      <c r="T185" s="271">
        <f t="shared" si="38"/>
        <v>0.7088719174543755</v>
      </c>
      <c r="U185" s="271">
        <f t="shared" si="38"/>
        <v>0.74744555953717828</v>
      </c>
      <c r="V185" s="271"/>
      <c r="W185" s="271">
        <f t="shared" si="38"/>
        <v>0.73545949134057242</v>
      </c>
      <c r="X185" s="271">
        <f t="shared" si="38"/>
        <v>0.76612534864761883</v>
      </c>
      <c r="Y185" s="271">
        <f t="shared" si="38"/>
        <v>0.8056450341362088</v>
      </c>
      <c r="Z185" s="271">
        <f t="shared" si="38"/>
        <v>0.87795558389277684</v>
      </c>
      <c r="AA185" s="271"/>
      <c r="AC185" s="104"/>
      <c r="AD185" s="104"/>
      <c r="AE185" s="104"/>
      <c r="AF185" s="104"/>
      <c r="AH185" s="104"/>
      <c r="AI185" s="104"/>
      <c r="AJ185" s="104"/>
    </row>
    <row r="186" spans="2:36" x14ac:dyDescent="0.6">
      <c r="M186" s="281"/>
      <c r="N186" s="281"/>
      <c r="O186" s="281"/>
      <c r="P186" s="281"/>
      <c r="R186" s="281"/>
      <c r="S186" s="281"/>
      <c r="T186" s="281"/>
      <c r="U186" s="281"/>
      <c r="W186" s="281"/>
      <c r="X186" s="281"/>
      <c r="Y186" s="281"/>
      <c r="Z186" s="281"/>
      <c r="AC186" s="104"/>
      <c r="AD186" s="104"/>
      <c r="AE186" s="104"/>
      <c r="AF186" s="104"/>
      <c r="AH186" s="104"/>
      <c r="AI186" s="104"/>
      <c r="AJ186" s="104"/>
    </row>
    <row r="187" spans="2:36" x14ac:dyDescent="0.6">
      <c r="B187" t="s">
        <v>101</v>
      </c>
      <c r="J187" s="43">
        <f>4690+1838</f>
        <v>6528</v>
      </c>
      <c r="K187" s="43">
        <f>L187</f>
        <v>8163.4279999999999</v>
      </c>
      <c r="L187" s="43">
        <f>Master!F151</f>
        <v>8163.4279999999999</v>
      </c>
      <c r="M187" s="43">
        <v>9260</v>
      </c>
      <c r="N187" s="43">
        <v>8851</v>
      </c>
      <c r="O187" s="43">
        <v>8931</v>
      </c>
      <c r="P187" s="43">
        <f>Q187</f>
        <v>9947</v>
      </c>
      <c r="Q187" s="43">
        <f>Master!G151</f>
        <v>9947</v>
      </c>
      <c r="R187" s="43">
        <v>7916</v>
      </c>
      <c r="S187" s="43">
        <v>7480</v>
      </c>
      <c r="T187" s="43">
        <f>T188*T182</f>
        <v>11540.4</v>
      </c>
      <c r="U187" s="43">
        <f>V187</f>
        <v>12706.833777777778</v>
      </c>
      <c r="V187" s="43">
        <f>Master!H151</f>
        <v>12706.833777777778</v>
      </c>
      <c r="W187" s="43">
        <f>W188*W182</f>
        <v>13675.288400871461</v>
      </c>
      <c r="X187" s="43">
        <f>X188*X182</f>
        <v>14419.288400871461</v>
      </c>
      <c r="Y187" s="43">
        <f>Y188*Y182</f>
        <v>15163.288400871461</v>
      </c>
      <c r="Z187" s="43">
        <f>AA187</f>
        <v>15287.072303749386</v>
      </c>
      <c r="AA187" s="43">
        <f>Master!I151</f>
        <v>15287.072303749386</v>
      </c>
      <c r="AC187" s="104"/>
      <c r="AD187" s="104"/>
      <c r="AE187" s="104"/>
      <c r="AF187" s="104"/>
      <c r="AH187" s="104"/>
      <c r="AI187" s="104"/>
      <c r="AJ187" s="104"/>
    </row>
    <row r="188" spans="2:36" x14ac:dyDescent="0.6">
      <c r="B188" t="s">
        <v>1340</v>
      </c>
      <c r="J188" s="336">
        <f>J187/J182</f>
        <v>0.80592592592592593</v>
      </c>
      <c r="K188" s="336">
        <f>K187/K182</f>
        <v>0.84446343229543808</v>
      </c>
      <c r="M188" s="336">
        <f t="shared" ref="M188:S188" si="39">M187/M182</f>
        <v>0.73515401714830109</v>
      </c>
      <c r="N188" s="336">
        <f t="shared" si="39"/>
        <v>0.66583916346949523</v>
      </c>
      <c r="O188" s="336">
        <f t="shared" si="39"/>
        <v>0.63611111111111107</v>
      </c>
      <c r="P188" s="336">
        <f t="shared" si="39"/>
        <v>0.62923836032388669</v>
      </c>
      <c r="R188" s="336">
        <f t="shared" si="39"/>
        <v>0.50237989464999677</v>
      </c>
      <c r="S188" s="336">
        <f t="shared" si="39"/>
        <v>0.4147720971498281</v>
      </c>
      <c r="T188" s="1110">
        <v>0.6</v>
      </c>
      <c r="U188" s="336">
        <f>U187/U182</f>
        <v>0.60923836032388667</v>
      </c>
      <c r="V188" s="336">
        <f>V187/V182</f>
        <v>0.60923836032388667</v>
      </c>
      <c r="W188" s="1110">
        <v>0.62</v>
      </c>
      <c r="X188" s="1110">
        <v>0.62</v>
      </c>
      <c r="Y188" s="1110">
        <v>0.62</v>
      </c>
      <c r="Z188" s="336">
        <f>Z187/Z182</f>
        <v>0.61</v>
      </c>
      <c r="AA188" s="336">
        <f>AA187/AA182</f>
        <v>0.61</v>
      </c>
      <c r="AC188" s="104"/>
      <c r="AD188" s="104"/>
      <c r="AE188" s="104"/>
      <c r="AF188" s="104"/>
      <c r="AH188" s="104"/>
      <c r="AI188" s="104"/>
      <c r="AJ188" s="104"/>
    </row>
    <row r="189" spans="2:36" x14ac:dyDescent="0.6">
      <c r="M189" s="281"/>
      <c r="N189" s="281"/>
      <c r="O189" s="281"/>
      <c r="P189" s="281"/>
      <c r="AC189" s="104"/>
      <c r="AD189" s="104"/>
      <c r="AE189" s="104"/>
      <c r="AF189" s="104"/>
      <c r="AH189" s="104"/>
      <c r="AI189" s="104"/>
      <c r="AJ189" s="104"/>
    </row>
    <row r="190" spans="2:36" x14ac:dyDescent="0.6">
      <c r="B190" s="338" t="s">
        <v>1013</v>
      </c>
      <c r="C190" s="338"/>
      <c r="K190" s="281"/>
      <c r="S190" s="1215"/>
    </row>
    <row r="191" spans="2:36" x14ac:dyDescent="0.6">
      <c r="B191" s="337" t="s">
        <v>346</v>
      </c>
      <c r="C191" s="491">
        <v>2786.5</v>
      </c>
      <c r="D191" s="80"/>
      <c r="E191" s="80"/>
      <c r="F191" s="80"/>
      <c r="G191" s="491">
        <v>2908.9</v>
      </c>
      <c r="H191" s="491">
        <v>3300</v>
      </c>
      <c r="I191" s="491">
        <v>3600</v>
      </c>
      <c r="J191" s="491">
        <v>4061.5</v>
      </c>
      <c r="K191" s="491">
        <v>4780.5</v>
      </c>
      <c r="L191" s="80"/>
      <c r="M191" s="491">
        <v>6234</v>
      </c>
      <c r="N191" s="491">
        <v>6478.47</v>
      </c>
      <c r="O191" s="491">
        <v>6987.9480000000003</v>
      </c>
      <c r="P191" s="491">
        <v>8233</v>
      </c>
      <c r="Q191" s="80"/>
      <c r="R191" s="491">
        <v>9158</v>
      </c>
      <c r="S191" s="491">
        <v>10388</v>
      </c>
      <c r="T191" s="532">
        <f>T225/T$221</f>
        <v>10864.785714285714</v>
      </c>
      <c r="U191" s="80">
        <f>Master!H154</f>
        <v>12218.016153236456</v>
      </c>
      <c r="W191" s="532">
        <f>W225/W$221</f>
        <v>12665.218560642257</v>
      </c>
      <c r="X191" s="532">
        <f>X225/X$221</f>
        <v>13825.760146715756</v>
      </c>
      <c r="Y191" s="532">
        <f>Y225/Y$221</f>
        <v>15083.013531628716</v>
      </c>
      <c r="Z191" s="80">
        <f>Master!I154</f>
        <v>16387.137596849418</v>
      </c>
      <c r="AB191" s="80"/>
    </row>
    <row r="192" spans="2:36" x14ac:dyDescent="0.6">
      <c r="B192" s="337" t="s">
        <v>218</v>
      </c>
      <c r="C192" s="491">
        <v>58</v>
      </c>
      <c r="D192" s="80"/>
      <c r="E192" s="80"/>
      <c r="F192" s="80"/>
      <c r="G192" s="491">
        <v>202.32558139534882</v>
      </c>
      <c r="H192" s="491">
        <v>400</v>
      </c>
      <c r="I192" s="491">
        <v>600</v>
      </c>
      <c r="J192" s="491">
        <v>792.7</v>
      </c>
      <c r="K192" s="491">
        <v>1194.81</v>
      </c>
      <c r="L192" s="80"/>
      <c r="M192" s="491">
        <v>1667</v>
      </c>
      <c r="N192" s="491">
        <v>1675.7760000000001</v>
      </c>
      <c r="O192" s="491">
        <v>1603.105</v>
      </c>
      <c r="P192" s="491">
        <v>1673</v>
      </c>
      <c r="Q192" s="80"/>
      <c r="R192" s="491">
        <v>2020</v>
      </c>
      <c r="S192" s="491">
        <v>2433</v>
      </c>
      <c r="T192" s="532">
        <f>T226/T$221</f>
        <v>2644.656746031746</v>
      </c>
      <c r="U192" s="80">
        <f>Master!H155</f>
        <v>3073.7838046249276</v>
      </c>
      <c r="W192" s="532">
        <f t="shared" ref="W192:Y193" si="40">W226/W$221</f>
        <v>3136.4080914687411</v>
      </c>
      <c r="X192" s="532">
        <f t="shared" si="40"/>
        <v>3378.1875885673871</v>
      </c>
      <c r="Y192" s="532">
        <f t="shared" si="40"/>
        <v>3716.6788845054916</v>
      </c>
      <c r="Z192" s="80">
        <f>Master!I155</f>
        <v>4345.3200144218608</v>
      </c>
      <c r="AA192" s="80"/>
      <c r="AB192" s="80"/>
      <c r="AC192" s="104"/>
      <c r="AD192" s="104"/>
      <c r="AE192" s="104"/>
      <c r="AF192" s="104"/>
      <c r="AH192" s="104"/>
      <c r="AI192" s="104"/>
      <c r="AJ192" s="104"/>
    </row>
    <row r="193" spans="1:36" x14ac:dyDescent="0.6">
      <c r="B193" s="343" t="s">
        <v>420</v>
      </c>
      <c r="C193" s="492"/>
      <c r="D193" s="311"/>
      <c r="E193" s="311"/>
      <c r="F193" s="311"/>
      <c r="G193" s="492"/>
      <c r="H193" s="492"/>
      <c r="I193" s="492"/>
      <c r="J193" s="492"/>
      <c r="K193" s="492"/>
      <c r="L193" s="311"/>
      <c r="M193" s="492"/>
      <c r="N193" s="492"/>
      <c r="O193" s="492"/>
      <c r="P193" s="492"/>
      <c r="Q193" s="311"/>
      <c r="R193" s="311"/>
      <c r="S193" s="311"/>
      <c r="T193" s="492">
        <v>125</v>
      </c>
      <c r="U193" s="311">
        <f>Master!H156</f>
        <v>297.60987169666799</v>
      </c>
      <c r="V193" s="344"/>
      <c r="W193" s="527">
        <f t="shared" si="40"/>
        <v>420.34214021247709</v>
      </c>
      <c r="X193" s="527">
        <f t="shared" si="40"/>
        <v>613.76573789139388</v>
      </c>
      <c r="Y193" s="527">
        <f t="shared" si="40"/>
        <v>903.90113440976916</v>
      </c>
      <c r="Z193" s="311">
        <f>Master!I156</f>
        <v>1269.7890943834561</v>
      </c>
      <c r="AA193" s="80"/>
      <c r="AB193" s="80"/>
      <c r="AC193" s="104"/>
      <c r="AD193" s="104"/>
      <c r="AE193" s="104"/>
      <c r="AF193" s="104"/>
      <c r="AH193" s="104"/>
      <c r="AI193" s="104"/>
      <c r="AJ193" s="104"/>
    </row>
    <row r="194" spans="1:36" x14ac:dyDescent="0.6">
      <c r="B194" s="337" t="s">
        <v>450</v>
      </c>
      <c r="C194" s="340">
        <f>C191+C192</f>
        <v>2844.5</v>
      </c>
      <c r="D194" s="340"/>
      <c r="E194" s="340"/>
      <c r="F194" s="340"/>
      <c r="G194" s="340">
        <f>G191+G192</f>
        <v>3111.2255813953489</v>
      </c>
      <c r="H194" s="340">
        <f>H191+H192</f>
        <v>3700</v>
      </c>
      <c r="I194" s="340">
        <f>I191+I192</f>
        <v>4200</v>
      </c>
      <c r="J194" s="340">
        <f>J191+J192</f>
        <v>4854.2</v>
      </c>
      <c r="K194" s="340">
        <f>K191+K192</f>
        <v>5975.3099999999995</v>
      </c>
      <c r="L194" s="340"/>
      <c r="M194" s="340">
        <f>M191+M192</f>
        <v>7901</v>
      </c>
      <c r="N194" s="340">
        <f>N191+N192</f>
        <v>8154.2460000000001</v>
      </c>
      <c r="O194" s="340">
        <f>O191+O192</f>
        <v>8591.0529999999999</v>
      </c>
      <c r="P194" s="340">
        <f>P191+P192</f>
        <v>9906</v>
      </c>
      <c r="Q194" s="340"/>
      <c r="R194" s="340">
        <f>R191+R192</f>
        <v>11178</v>
      </c>
      <c r="S194" s="340">
        <f>S191+S192</f>
        <v>12821</v>
      </c>
      <c r="T194" s="340">
        <f>SUM(T191:T193)</f>
        <v>13634.442460317459</v>
      </c>
      <c r="U194" s="340">
        <f>U176</f>
        <v>15589.409829558052</v>
      </c>
      <c r="W194" s="340">
        <f>SUM(W191:W193)</f>
        <v>16221.968792323474</v>
      </c>
      <c r="X194" s="340">
        <f>SUM(X191:X193)</f>
        <v>17817.713473174539</v>
      </c>
      <c r="Y194" s="340">
        <f>SUM(Y191:Y193)</f>
        <v>19703.593550543977</v>
      </c>
      <c r="Z194" s="340">
        <f>SUM(Z191:Z193)</f>
        <v>22002.246705654736</v>
      </c>
      <c r="AB194" s="340"/>
      <c r="AC194" s="104"/>
      <c r="AD194" s="104"/>
      <c r="AE194" s="104"/>
      <c r="AF194" s="104"/>
      <c r="AH194" s="104"/>
      <c r="AI194" s="104"/>
      <c r="AJ194" s="104"/>
    </row>
    <row r="195" spans="1:36" x14ac:dyDescent="0.6">
      <c r="B195" s="337"/>
      <c r="C195" s="337"/>
      <c r="D195" s="340"/>
      <c r="E195" s="340"/>
      <c r="F195" s="340"/>
      <c r="G195" s="340"/>
      <c r="H195" s="340"/>
      <c r="I195" s="340"/>
      <c r="J195" s="340"/>
      <c r="K195" s="880"/>
      <c r="L195" s="340"/>
      <c r="M195" s="880"/>
      <c r="N195" s="880"/>
      <c r="O195" s="880"/>
      <c r="P195" s="340"/>
      <c r="Q195" s="340"/>
      <c r="R195" s="340"/>
      <c r="S195" s="340"/>
      <c r="T195" s="1188">
        <v>14409</v>
      </c>
      <c r="U195" s="1188">
        <v>16232</v>
      </c>
      <c r="V195" s="340"/>
      <c r="W195" s="1188">
        <v>17349</v>
      </c>
      <c r="X195" s="1188">
        <v>19115</v>
      </c>
      <c r="Y195" s="1188">
        <v>21191</v>
      </c>
      <c r="Z195" s="1188">
        <v>23682</v>
      </c>
      <c r="AA195" s="340"/>
      <c r="AB195" s="340"/>
      <c r="AC195" s="104"/>
      <c r="AD195" s="104"/>
      <c r="AE195" s="104"/>
      <c r="AF195" s="104"/>
      <c r="AH195" s="104"/>
      <c r="AI195" s="104"/>
      <c r="AJ195" s="104"/>
    </row>
    <row r="196" spans="1:36" x14ac:dyDescent="0.6">
      <c r="B196" s="338" t="s">
        <v>1015</v>
      </c>
      <c r="C196" s="337"/>
      <c r="D196" s="340"/>
      <c r="E196" s="340"/>
      <c r="F196" s="340"/>
      <c r="G196" s="340"/>
      <c r="H196" s="340"/>
      <c r="I196" s="340"/>
      <c r="J196" s="340"/>
      <c r="K196" s="340"/>
      <c r="L196" s="340"/>
      <c r="M196" s="340"/>
      <c r="N196" s="340"/>
      <c r="O196" s="340"/>
      <c r="P196" s="340"/>
      <c r="Q196" s="340"/>
      <c r="R196" s="340"/>
      <c r="S196" s="340"/>
      <c r="U196" s="340"/>
      <c r="V196" s="340"/>
      <c r="W196" s="340"/>
      <c r="X196" s="340"/>
      <c r="Y196" s="340"/>
      <c r="Z196" s="340"/>
      <c r="AA196" s="340"/>
      <c r="AB196" s="340"/>
      <c r="AC196" s="104"/>
      <c r="AD196" s="104"/>
      <c r="AE196" s="104"/>
      <c r="AF196" s="104"/>
      <c r="AH196" s="104"/>
      <c r="AI196" s="104"/>
      <c r="AJ196" s="104"/>
    </row>
    <row r="197" spans="1:36" x14ac:dyDescent="0.6">
      <c r="B197" s="337" t="s">
        <v>346</v>
      </c>
      <c r="C197" s="337"/>
      <c r="D197" s="340"/>
      <c r="E197" s="340"/>
      <c r="F197" s="340"/>
      <c r="G197" s="340"/>
      <c r="H197" s="340">
        <f t="shared" ref="H197:K198" si="41">H191-G191</f>
        <v>391.09999999999991</v>
      </c>
      <c r="I197" s="340">
        <f t="shared" si="41"/>
        <v>300</v>
      </c>
      <c r="J197" s="340">
        <f t="shared" si="41"/>
        <v>461.5</v>
      </c>
      <c r="K197" s="340">
        <f t="shared" si="41"/>
        <v>719</v>
      </c>
      <c r="L197" s="340"/>
      <c r="M197" s="340">
        <f>M191-K191</f>
        <v>1453.5</v>
      </c>
      <c r="N197" s="340">
        <f t="shared" ref="N197:P198" si="42">N191-M191</f>
        <v>244.47000000000025</v>
      </c>
      <c r="O197" s="340">
        <f t="shared" si="42"/>
        <v>509.47800000000007</v>
      </c>
      <c r="P197" s="340">
        <f t="shared" si="42"/>
        <v>1245.0519999999997</v>
      </c>
      <c r="Q197" s="340"/>
      <c r="R197" s="340">
        <f>R191-P191</f>
        <v>925</v>
      </c>
      <c r="S197" s="340">
        <f t="shared" ref="S197:U198" si="43">S191-R191</f>
        <v>1230</v>
      </c>
      <c r="T197" s="340">
        <f t="shared" si="43"/>
        <v>476.78571428571377</v>
      </c>
      <c r="U197" s="340">
        <f t="shared" si="43"/>
        <v>1353.2304389507426</v>
      </c>
      <c r="V197" s="340"/>
      <c r="W197" s="340">
        <f>W191-U191</f>
        <v>447.20240740580084</v>
      </c>
      <c r="X197" s="340">
        <f t="shared" ref="X197:Z199" si="44">X191-W191</f>
        <v>1160.5415860734993</v>
      </c>
      <c r="Y197" s="340">
        <f t="shared" si="44"/>
        <v>1257.2533849129595</v>
      </c>
      <c r="Z197" s="340">
        <f t="shared" si="44"/>
        <v>1304.1240652207016</v>
      </c>
      <c r="AA197" s="340"/>
      <c r="AB197" s="340"/>
      <c r="AC197" s="104"/>
      <c r="AD197" s="104"/>
      <c r="AE197" s="104"/>
      <c r="AF197" s="104"/>
      <c r="AH197" s="104"/>
      <c r="AI197" s="104"/>
      <c r="AJ197" s="104"/>
    </row>
    <row r="198" spans="1:36" x14ac:dyDescent="0.6">
      <c r="B198" s="337" t="s">
        <v>218</v>
      </c>
      <c r="C198" s="337"/>
      <c r="D198" s="340"/>
      <c r="E198" s="340"/>
      <c r="F198" s="340"/>
      <c r="G198" s="340"/>
      <c r="H198" s="340">
        <f t="shared" si="41"/>
        <v>197.67441860465118</v>
      </c>
      <c r="I198" s="340">
        <f t="shared" si="41"/>
        <v>200</v>
      </c>
      <c r="J198" s="340">
        <f t="shared" si="41"/>
        <v>192.70000000000005</v>
      </c>
      <c r="K198" s="340">
        <f t="shared" si="41"/>
        <v>402.1099999999999</v>
      </c>
      <c r="L198" s="340"/>
      <c r="M198" s="340">
        <f>M192-K192</f>
        <v>472.19000000000005</v>
      </c>
      <c r="N198" s="340">
        <f t="shared" si="42"/>
        <v>8.7760000000000673</v>
      </c>
      <c r="O198" s="340">
        <f t="shared" si="42"/>
        <v>-72.671000000000049</v>
      </c>
      <c r="P198" s="340">
        <f t="shared" si="42"/>
        <v>69.894999999999982</v>
      </c>
      <c r="Q198" s="340"/>
      <c r="R198" s="340">
        <f>R192-P192</f>
        <v>347</v>
      </c>
      <c r="S198" s="340">
        <f t="shared" si="43"/>
        <v>413</v>
      </c>
      <c r="T198" s="340">
        <f t="shared" si="43"/>
        <v>211.65674603174602</v>
      </c>
      <c r="U198" s="340">
        <f t="shared" si="43"/>
        <v>429.12705859318157</v>
      </c>
      <c r="V198" s="340"/>
      <c r="W198" s="340">
        <f>W192-U192</f>
        <v>62.624286843813479</v>
      </c>
      <c r="X198" s="340">
        <f t="shared" si="44"/>
        <v>241.77949709864606</v>
      </c>
      <c r="Y198" s="340">
        <f t="shared" si="44"/>
        <v>338.49129593810449</v>
      </c>
      <c r="Z198" s="340">
        <f t="shared" si="44"/>
        <v>628.64112991636921</v>
      </c>
      <c r="AA198" s="340"/>
      <c r="AB198" s="340"/>
      <c r="AC198" s="104"/>
      <c r="AD198" s="104"/>
      <c r="AE198" s="104"/>
      <c r="AF198" s="104"/>
      <c r="AG198"/>
      <c r="AH198" s="104"/>
      <c r="AI198" s="104"/>
      <c r="AJ198" s="104"/>
    </row>
    <row r="199" spans="1:36" s="84" customFormat="1" x14ac:dyDescent="0.6">
      <c r="A199"/>
      <c r="B199" s="343" t="s">
        <v>420</v>
      </c>
      <c r="C199" s="343"/>
      <c r="D199" s="528"/>
      <c r="E199" s="528"/>
      <c r="F199" s="528"/>
      <c r="G199" s="528"/>
      <c r="H199" s="528"/>
      <c r="I199" s="528"/>
      <c r="J199" s="528"/>
      <c r="K199" s="528"/>
      <c r="L199" s="528"/>
      <c r="M199" s="528"/>
      <c r="N199" s="528"/>
      <c r="O199" s="528"/>
      <c r="P199" s="528"/>
      <c r="Q199" s="528"/>
      <c r="R199" s="528"/>
      <c r="S199" s="528"/>
      <c r="T199" s="528">
        <f>T193-S193</f>
        <v>125</v>
      </c>
      <c r="U199" s="528">
        <f>U193-T193</f>
        <v>172.60987169666799</v>
      </c>
      <c r="V199" s="528"/>
      <c r="W199" s="528">
        <f>W193-U193</f>
        <v>122.7322685158091</v>
      </c>
      <c r="X199" s="528">
        <f t="shared" si="44"/>
        <v>193.42359767891679</v>
      </c>
      <c r="Y199" s="528">
        <f t="shared" si="44"/>
        <v>290.13539651837527</v>
      </c>
      <c r="Z199" s="528">
        <f t="shared" si="44"/>
        <v>365.88795997368697</v>
      </c>
      <c r="AA199" s="528"/>
      <c r="AB199" s="528"/>
      <c r="AC199" s="529"/>
      <c r="AD199" s="529"/>
      <c r="AE199" s="529"/>
      <c r="AF199" s="529"/>
      <c r="AH199" s="529"/>
      <c r="AI199" s="529"/>
      <c r="AJ199" s="529"/>
    </row>
    <row r="200" spans="1:36" x14ac:dyDescent="0.6">
      <c r="B200" s="337" t="s">
        <v>354</v>
      </c>
      <c r="C200" s="337"/>
      <c r="D200" s="340"/>
      <c r="E200" s="340"/>
      <c r="F200" s="340"/>
      <c r="G200" s="340"/>
      <c r="H200" s="340">
        <f>H194-G194</f>
        <v>588.77441860465115</v>
      </c>
      <c r="I200" s="340">
        <f>I194-H194</f>
        <v>500</v>
      </c>
      <c r="J200" s="340">
        <f>J194-I194</f>
        <v>654.19999999999982</v>
      </c>
      <c r="K200" s="340">
        <f>K194-J194</f>
        <v>1121.1099999999997</v>
      </c>
      <c r="L200" s="340"/>
      <c r="M200" s="340">
        <f>M194-K194</f>
        <v>1925.6900000000005</v>
      </c>
      <c r="N200" s="340">
        <f>N194-M194</f>
        <v>253.24600000000009</v>
      </c>
      <c r="O200" s="340">
        <f>O194-N194</f>
        <v>436.80699999999979</v>
      </c>
      <c r="P200" s="340">
        <f>P194-O194</f>
        <v>1314.9470000000001</v>
      </c>
      <c r="Q200" s="340"/>
      <c r="R200" s="340">
        <f>R194-P194</f>
        <v>1272</v>
      </c>
      <c r="S200" s="340">
        <f>S194-R194</f>
        <v>1643</v>
      </c>
      <c r="T200" s="340">
        <f>T194-S194</f>
        <v>813.44246031745934</v>
      </c>
      <c r="U200" s="340">
        <f>U194-T194</f>
        <v>1954.9673692405922</v>
      </c>
      <c r="V200" s="340"/>
      <c r="W200" s="340">
        <f>W194-U194</f>
        <v>632.55896276542262</v>
      </c>
      <c r="X200" s="340">
        <f>X194-W194</f>
        <v>1595.7446808510649</v>
      </c>
      <c r="Y200" s="340">
        <f>Y194-X194</f>
        <v>1885.8800773694384</v>
      </c>
      <c r="Z200" s="340">
        <f>Z194-Y194</f>
        <v>2298.6531551107582</v>
      </c>
      <c r="AA200" s="340"/>
      <c r="AB200" s="340"/>
      <c r="AC200" s="104"/>
      <c r="AD200" s="104"/>
      <c r="AE200" s="104"/>
      <c r="AF200" s="104"/>
      <c r="AH200" s="104"/>
      <c r="AI200" s="104"/>
      <c r="AJ200" s="104"/>
    </row>
    <row r="201" spans="1:36" x14ac:dyDescent="0.6">
      <c r="B201" s="337"/>
      <c r="C201" s="337"/>
      <c r="D201" s="340"/>
      <c r="E201" s="340"/>
      <c r="F201" s="340"/>
      <c r="G201" s="340"/>
      <c r="H201" s="340"/>
      <c r="I201" s="340"/>
      <c r="J201" s="340"/>
      <c r="K201" s="340"/>
      <c r="L201" s="340"/>
      <c r="M201" s="340"/>
      <c r="N201" s="340"/>
      <c r="O201" s="340"/>
      <c r="P201" s="340"/>
      <c r="Q201" s="340"/>
      <c r="R201" s="340"/>
      <c r="S201" s="340"/>
      <c r="T201" s="340"/>
      <c r="U201" s="340"/>
      <c r="V201" s="340"/>
      <c r="W201" s="340"/>
      <c r="X201" s="340"/>
      <c r="Y201" s="340"/>
      <c r="Z201" s="340"/>
      <c r="AA201" s="340"/>
      <c r="AB201" s="340"/>
      <c r="AC201" s="104"/>
      <c r="AD201" s="104"/>
      <c r="AE201" s="104"/>
      <c r="AF201" s="104"/>
      <c r="AH201" s="104"/>
      <c r="AI201" s="104"/>
      <c r="AJ201" s="104"/>
    </row>
    <row r="202" spans="1:36" x14ac:dyDescent="0.6">
      <c r="B202" s="338" t="s">
        <v>1119</v>
      </c>
      <c r="C202" s="338"/>
      <c r="R202" s="43">
        <f>R204*R221</f>
        <v>11820.16</v>
      </c>
      <c r="S202" s="43">
        <f>S204*S221</f>
        <v>13373.68</v>
      </c>
      <c r="T202" s="43">
        <f>3300*T221</f>
        <v>16632</v>
      </c>
    </row>
    <row r="203" spans="1:36" x14ac:dyDescent="0.6">
      <c r="B203" s="337" t="s">
        <v>346</v>
      </c>
      <c r="C203" s="337"/>
      <c r="D203" s="80"/>
      <c r="E203" s="80"/>
      <c r="F203" s="80"/>
      <c r="G203" s="525">
        <v>3119</v>
      </c>
      <c r="H203" s="525">
        <v>2995</v>
      </c>
      <c r="I203" s="525">
        <v>4087</v>
      </c>
      <c r="J203" s="525">
        <v>4368</v>
      </c>
      <c r="K203" s="80">
        <f>K209+K191</f>
        <v>5171.1790000000001</v>
      </c>
      <c r="L203" s="526"/>
      <c r="M203" s="80">
        <f t="shared" ref="M203:P204" si="45">M209+M191</f>
        <v>6814.4089999999997</v>
      </c>
      <c r="N203" s="80">
        <f t="shared" si="45"/>
        <v>7175.817</v>
      </c>
      <c r="O203" s="80">
        <f t="shared" si="45"/>
        <v>7812.2719999999999</v>
      </c>
      <c r="P203" s="80">
        <f t="shared" si="45"/>
        <v>9284</v>
      </c>
      <c r="Q203" s="80"/>
      <c r="R203" s="80">
        <f>R209+R191</f>
        <v>10474</v>
      </c>
      <c r="S203" s="80">
        <f>S209+S191</f>
        <v>12062</v>
      </c>
      <c r="T203" s="80">
        <f>T191/(1-T216)</f>
        <v>12633.471760797342</v>
      </c>
      <c r="U203" s="80">
        <f>V203</f>
        <v>14290.077372206382</v>
      </c>
      <c r="V203" s="80">
        <f>Drivers!H45</f>
        <v>14290.077372206382</v>
      </c>
      <c r="W203" s="80">
        <f t="shared" ref="W203:Y205" si="46">W191/(1-W216)</f>
        <v>14726.998326328207</v>
      </c>
      <c r="X203" s="80">
        <f t="shared" si="46"/>
        <v>16076.465286878787</v>
      </c>
      <c r="Y203" s="80">
        <f t="shared" si="46"/>
        <v>17538.38782747525</v>
      </c>
      <c r="Z203" s="80">
        <f>AA203</f>
        <v>19393.062244792211</v>
      </c>
      <c r="AA203" s="80">
        <f>Drivers!I45</f>
        <v>19393.062244792211</v>
      </c>
      <c r="AB203" s="80"/>
    </row>
    <row r="204" spans="1:36" x14ac:dyDescent="0.6">
      <c r="B204" s="337" t="s">
        <v>218</v>
      </c>
      <c r="C204" s="337"/>
      <c r="D204" s="340"/>
      <c r="E204" s="340"/>
      <c r="F204" s="340"/>
      <c r="G204" s="340">
        <v>201</v>
      </c>
      <c r="H204" s="340">
        <v>304</v>
      </c>
      <c r="I204" s="340">
        <v>592</v>
      </c>
      <c r="J204" s="340">
        <v>903</v>
      </c>
      <c r="K204" s="80">
        <f>K210+K192</f>
        <v>1392.346</v>
      </c>
      <c r="L204" s="340"/>
      <c r="M204" s="80">
        <f t="shared" si="45"/>
        <v>2007.5</v>
      </c>
      <c r="N204" s="80">
        <f t="shared" si="45"/>
        <v>1946.0530000000001</v>
      </c>
      <c r="O204" s="80">
        <f t="shared" si="45"/>
        <v>1904.7350000000001</v>
      </c>
      <c r="P204" s="80">
        <f t="shared" si="45"/>
        <v>1973</v>
      </c>
      <c r="Q204" s="340"/>
      <c r="R204" s="80">
        <f>R210+R192</f>
        <v>2336</v>
      </c>
      <c r="S204" s="80">
        <f>S210+S192</f>
        <v>2792</v>
      </c>
      <c r="T204" s="80">
        <f>T192/(1-T217)</f>
        <v>3039.8353402663747</v>
      </c>
      <c r="U204" s="80">
        <f>V204</f>
        <v>3616.2162407352089</v>
      </c>
      <c r="V204" s="80">
        <f>Drivers!H43</f>
        <v>3616.2162407352089</v>
      </c>
      <c r="W204" s="80">
        <f t="shared" si="46"/>
        <v>3689.891872316166</v>
      </c>
      <c r="X204" s="80">
        <f t="shared" si="46"/>
        <v>3928.1251029853338</v>
      </c>
      <c r="Y204" s="80">
        <f t="shared" si="46"/>
        <v>4321.7196331459209</v>
      </c>
      <c r="Z204" s="80">
        <f>AA204</f>
        <v>5052.6976911882102</v>
      </c>
      <c r="AA204" s="80">
        <f>Drivers!I43</f>
        <v>5052.6976911882102</v>
      </c>
      <c r="AB204" s="340"/>
      <c r="AC204" s="104"/>
      <c r="AD204" s="104"/>
      <c r="AE204" s="104"/>
      <c r="AF204" s="104"/>
      <c r="AG204"/>
      <c r="AH204" s="104"/>
      <c r="AI204" s="104"/>
      <c r="AJ204" s="104"/>
    </row>
    <row r="205" spans="1:36" s="84" customFormat="1" x14ac:dyDescent="0.6">
      <c r="A205"/>
      <c r="B205" s="343" t="s">
        <v>420</v>
      </c>
      <c r="C205" s="343"/>
      <c r="D205" s="528"/>
      <c r="E205" s="528"/>
      <c r="F205" s="528"/>
      <c r="G205" s="528"/>
      <c r="H205" s="528"/>
      <c r="I205" s="528"/>
      <c r="J205" s="528"/>
      <c r="K205" s="311"/>
      <c r="L205" s="528"/>
      <c r="M205" s="311"/>
      <c r="N205" s="311"/>
      <c r="O205" s="311"/>
      <c r="P205" s="311"/>
      <c r="Q205" s="528"/>
      <c r="R205" s="311"/>
      <c r="S205" s="311"/>
      <c r="T205" s="311">
        <f>T193/(1-T218)</f>
        <v>125</v>
      </c>
      <c r="U205" s="311">
        <f>V205</f>
        <v>297.60987169666799</v>
      </c>
      <c r="V205" s="311">
        <f>Drivers!H47</f>
        <v>297.60987169666799</v>
      </c>
      <c r="W205" s="311">
        <f t="shared" si="46"/>
        <v>420.34214021247709</v>
      </c>
      <c r="X205" s="311">
        <f t="shared" si="46"/>
        <v>613.76573789139388</v>
      </c>
      <c r="Y205" s="311">
        <f t="shared" si="46"/>
        <v>903.90113440976916</v>
      </c>
      <c r="Z205" s="311">
        <f>AA205</f>
        <v>1269.7890943834561</v>
      </c>
      <c r="AA205" s="311">
        <f>Drivers!I47</f>
        <v>1269.7890943834561</v>
      </c>
      <c r="AB205" s="528"/>
      <c r="AC205" s="529"/>
      <c r="AD205" s="529"/>
      <c r="AE205" s="529"/>
      <c r="AF205" s="529"/>
      <c r="AH205" s="529"/>
      <c r="AI205" s="529"/>
      <c r="AJ205" s="529"/>
    </row>
    <row r="206" spans="1:36" x14ac:dyDescent="0.6">
      <c r="B206" s="337" t="s">
        <v>450</v>
      </c>
      <c r="C206" s="337"/>
      <c r="D206" s="340"/>
      <c r="E206" s="340"/>
      <c r="F206" s="340"/>
      <c r="G206" s="340">
        <f>G203+G204</f>
        <v>3320</v>
      </c>
      <c r="H206" s="340">
        <f>H203+H204</f>
        <v>3299</v>
      </c>
      <c r="I206" s="340">
        <f>I203+I204</f>
        <v>4679</v>
      </c>
      <c r="J206" s="340">
        <f>J203+J204</f>
        <v>5271</v>
      </c>
      <c r="K206" s="340">
        <f>K203+K204</f>
        <v>6563.5249999999996</v>
      </c>
      <c r="L206" s="340"/>
      <c r="M206" s="340">
        <f>M203+M204</f>
        <v>8821.9089999999997</v>
      </c>
      <c r="N206" s="340">
        <f>N203+N204</f>
        <v>9121.8700000000008</v>
      </c>
      <c r="O206" s="340">
        <f>O203+O204</f>
        <v>9717.0069999999996</v>
      </c>
      <c r="P206" s="340">
        <f>P203+P204</f>
        <v>11257</v>
      </c>
      <c r="Q206" s="340"/>
      <c r="R206" s="340">
        <f>R203+R204</f>
        <v>12810</v>
      </c>
      <c r="S206" s="340">
        <f>S203+S204</f>
        <v>14854</v>
      </c>
      <c r="T206" s="340">
        <f>T203+T204+T205</f>
        <v>15798.307101063716</v>
      </c>
      <c r="U206" s="340">
        <f>U203+U204+U205</f>
        <v>18203.903484638256</v>
      </c>
      <c r="V206" s="340">
        <f>SUM(V203:V205)</f>
        <v>18203.903484638256</v>
      </c>
      <c r="W206" s="340">
        <f>W203+W204+W205</f>
        <v>18837.232338856851</v>
      </c>
      <c r="X206" s="340">
        <f>X203+X204+X205</f>
        <v>20618.356127755513</v>
      </c>
      <c r="Y206" s="340">
        <f>Y203+Y204+Y205</f>
        <v>22764.00859503094</v>
      </c>
      <c r="Z206" s="340">
        <f>Z203+Z204+Z205</f>
        <v>25715.54903036388</v>
      </c>
      <c r="AA206" s="340">
        <f>SUM(AA203:AA205)</f>
        <v>25715.54903036388</v>
      </c>
      <c r="AB206" s="340"/>
      <c r="AC206" s="104"/>
      <c r="AD206" s="104"/>
      <c r="AE206" s="104"/>
      <c r="AF206" s="104"/>
      <c r="AH206" s="104"/>
      <c r="AI206" s="104"/>
      <c r="AJ206" s="104"/>
    </row>
    <row r="207" spans="1:36" x14ac:dyDescent="0.6">
      <c r="B207" s="337"/>
      <c r="C207" s="337"/>
      <c r="D207" s="340"/>
      <c r="E207" s="340"/>
      <c r="F207" s="340"/>
      <c r="G207" s="340"/>
      <c r="H207" s="340"/>
      <c r="I207" s="340"/>
      <c r="J207" s="340"/>
      <c r="K207" s="340"/>
      <c r="L207" s="340"/>
      <c r="M207" s="340"/>
      <c r="N207" s="340"/>
      <c r="O207" s="340"/>
      <c r="P207" s="340"/>
      <c r="Q207" s="340"/>
      <c r="R207" s="340"/>
      <c r="S207" s="340"/>
      <c r="T207" s="1188">
        <f>T195+T213</f>
        <v>16779</v>
      </c>
      <c r="U207" s="1188">
        <f>U195+U213</f>
        <v>18977</v>
      </c>
      <c r="V207" s="340"/>
      <c r="W207" s="1188">
        <f>W195+W213</f>
        <v>20462</v>
      </c>
      <c r="X207" s="1188">
        <f>X195+X213</f>
        <v>22613</v>
      </c>
      <c r="Y207" s="1188">
        <f>Y195+Y213</f>
        <v>25094</v>
      </c>
      <c r="Z207" s="1188">
        <f>Z195+Z213</f>
        <v>28056</v>
      </c>
      <c r="AA207" s="340"/>
      <c r="AB207" s="340"/>
      <c r="AC207" s="104"/>
      <c r="AD207" s="104"/>
      <c r="AE207" s="104"/>
      <c r="AF207" s="104"/>
      <c r="AH207" s="104"/>
      <c r="AI207" s="104"/>
      <c r="AJ207" s="104"/>
    </row>
    <row r="208" spans="1:36" x14ac:dyDescent="0.6">
      <c r="B208" s="338" t="s">
        <v>1123</v>
      </c>
      <c r="C208" s="337"/>
      <c r="D208" s="340"/>
      <c r="E208" s="340"/>
      <c r="F208" s="340"/>
      <c r="G208" s="340"/>
      <c r="H208" s="340"/>
      <c r="I208" s="340"/>
      <c r="J208" s="340"/>
      <c r="K208" s="340"/>
      <c r="L208" s="340"/>
      <c r="M208" s="340"/>
      <c r="N208" s="340"/>
      <c r="O208" s="340"/>
      <c r="P208" s="340"/>
      <c r="Q208" s="340"/>
      <c r="R208" s="340"/>
      <c r="S208" s="340"/>
      <c r="T208" s="340"/>
      <c r="U208" s="340"/>
      <c r="V208" s="340"/>
      <c r="W208" s="340"/>
      <c r="X208" s="340"/>
      <c r="Y208" s="340"/>
      <c r="Z208" s="340"/>
      <c r="AA208" s="340"/>
      <c r="AB208" s="340"/>
      <c r="AC208" s="104"/>
      <c r="AD208" s="104"/>
      <c r="AE208" s="104"/>
      <c r="AF208" s="104"/>
      <c r="AH208" s="104"/>
      <c r="AI208" s="104"/>
      <c r="AJ208" s="104"/>
    </row>
    <row r="209" spans="2:36" x14ac:dyDescent="0.6">
      <c r="B209" s="337" t="s">
        <v>346</v>
      </c>
      <c r="C209" s="337"/>
      <c r="D209" s="340"/>
      <c r="E209" s="340"/>
      <c r="F209" s="340"/>
      <c r="G209" s="340">
        <f t="shared" ref="G209:J210" si="47">G203-G191</f>
        <v>210.09999999999991</v>
      </c>
      <c r="H209" s="340">
        <f t="shared" si="47"/>
        <v>-305</v>
      </c>
      <c r="I209" s="340">
        <f t="shared" si="47"/>
        <v>487</v>
      </c>
      <c r="J209" s="340">
        <f t="shared" si="47"/>
        <v>306.5</v>
      </c>
      <c r="K209" s="904">
        <v>390.67899999999997</v>
      </c>
      <c r="L209" s="340"/>
      <c r="M209" s="491">
        <v>580.40899999999999</v>
      </c>
      <c r="N209" s="491">
        <v>697.34699999999998</v>
      </c>
      <c r="O209" s="491">
        <v>824.32399999999996</v>
      </c>
      <c r="P209" s="491">
        <v>1051</v>
      </c>
      <c r="Q209" s="340"/>
      <c r="R209" s="491">
        <v>1316</v>
      </c>
      <c r="S209" s="491">
        <v>1674</v>
      </c>
      <c r="T209" s="340">
        <f t="shared" ref="T209:U212" si="48">T203-T191</f>
        <v>1768.6860465116279</v>
      </c>
      <c r="U209" s="340">
        <f t="shared" si="48"/>
        <v>2072.0612189699259</v>
      </c>
      <c r="V209" s="340"/>
      <c r="W209" s="340">
        <f t="shared" ref="W209:Z212" si="49">W203-W191</f>
        <v>2061.7797656859493</v>
      </c>
      <c r="X209" s="340">
        <f t="shared" si="49"/>
        <v>2250.7051401630306</v>
      </c>
      <c r="Y209" s="340">
        <f t="shared" si="49"/>
        <v>2455.3742958465336</v>
      </c>
      <c r="Z209" s="340">
        <f t="shared" si="49"/>
        <v>3005.9246479427929</v>
      </c>
      <c r="AA209" s="340"/>
      <c r="AB209" s="340"/>
      <c r="AC209" s="104"/>
      <c r="AD209" s="104"/>
      <c r="AE209" s="104"/>
      <c r="AF209" s="104"/>
      <c r="AH209" s="104"/>
      <c r="AI209" s="104"/>
      <c r="AJ209" s="104"/>
    </row>
    <row r="210" spans="2:36" x14ac:dyDescent="0.6">
      <c r="B210" s="337" t="s">
        <v>218</v>
      </c>
      <c r="C210" s="337"/>
      <c r="D210" s="340"/>
      <c r="E210" s="340"/>
      <c r="F210" s="340"/>
      <c r="G210" s="340">
        <f t="shared" si="47"/>
        <v>-1.32558139534882</v>
      </c>
      <c r="H210" s="340">
        <f t="shared" si="47"/>
        <v>-96</v>
      </c>
      <c r="I210" s="340">
        <f t="shared" si="47"/>
        <v>-8</v>
      </c>
      <c r="J210" s="340">
        <f t="shared" si="47"/>
        <v>110.29999999999995</v>
      </c>
      <c r="K210" s="904">
        <v>197.536</v>
      </c>
      <c r="L210" s="340"/>
      <c r="M210" s="491">
        <v>340.5</v>
      </c>
      <c r="N210" s="491">
        <v>270.27699999999999</v>
      </c>
      <c r="O210" s="491">
        <v>301.63</v>
      </c>
      <c r="P210" s="491">
        <v>300</v>
      </c>
      <c r="Q210" s="340"/>
      <c r="R210" s="491">
        <v>316</v>
      </c>
      <c r="S210" s="491">
        <v>359</v>
      </c>
      <c r="T210" s="340">
        <f t="shared" si="48"/>
        <v>395.17859423462869</v>
      </c>
      <c r="U210" s="340">
        <f t="shared" si="48"/>
        <v>542.43243611028129</v>
      </c>
      <c r="V210" s="340"/>
      <c r="W210" s="340">
        <f t="shared" si="49"/>
        <v>553.4837808474249</v>
      </c>
      <c r="X210" s="340">
        <f t="shared" si="49"/>
        <v>549.93751441794666</v>
      </c>
      <c r="Y210" s="340">
        <f t="shared" si="49"/>
        <v>605.04074864042923</v>
      </c>
      <c r="Z210" s="340">
        <f t="shared" si="49"/>
        <v>707.3776767663494</v>
      </c>
      <c r="AA210" s="340"/>
      <c r="AB210" s="340"/>
      <c r="AC210" s="104"/>
      <c r="AD210" s="104"/>
      <c r="AE210" s="104"/>
      <c r="AF210" s="104"/>
      <c r="AH210" s="104"/>
      <c r="AI210" s="104"/>
      <c r="AJ210" s="104"/>
    </row>
    <row r="211" spans="2:36" x14ac:dyDescent="0.6">
      <c r="B211" s="343" t="s">
        <v>420</v>
      </c>
      <c r="C211" s="343"/>
      <c r="D211" s="528"/>
      <c r="E211" s="528"/>
      <c r="F211" s="528"/>
      <c r="G211" s="528"/>
      <c r="H211" s="528"/>
      <c r="I211" s="528"/>
      <c r="J211" s="528"/>
      <c r="K211" s="905"/>
      <c r="L211" s="528"/>
      <c r="M211" s="492"/>
      <c r="N211" s="492"/>
      <c r="O211" s="492"/>
      <c r="P211" s="492"/>
      <c r="Q211" s="528"/>
      <c r="R211" s="528"/>
      <c r="S211" s="528"/>
      <c r="T211" s="528">
        <f t="shared" si="48"/>
        <v>0</v>
      </c>
      <c r="U211" s="528">
        <f t="shared" si="48"/>
        <v>0</v>
      </c>
      <c r="V211" s="528"/>
      <c r="W211" s="528">
        <f t="shared" si="49"/>
        <v>0</v>
      </c>
      <c r="X211" s="528">
        <f t="shared" si="49"/>
        <v>0</v>
      </c>
      <c r="Y211" s="528">
        <f t="shared" si="49"/>
        <v>0</v>
      </c>
      <c r="Z211" s="528">
        <f t="shared" si="49"/>
        <v>0</v>
      </c>
      <c r="AA211" s="340"/>
      <c r="AB211" s="340"/>
      <c r="AC211" s="104"/>
      <c r="AD211" s="104"/>
      <c r="AE211" s="104"/>
      <c r="AF211" s="104"/>
      <c r="AH211" s="104"/>
      <c r="AI211" s="104"/>
      <c r="AJ211" s="104"/>
    </row>
    <row r="212" spans="2:36" x14ac:dyDescent="0.6">
      <c r="B212" s="337" t="s">
        <v>450</v>
      </c>
      <c r="C212" s="337"/>
      <c r="D212" s="340"/>
      <c r="E212" s="340"/>
      <c r="F212" s="340"/>
      <c r="G212" s="340">
        <f>G206-G194</f>
        <v>208.77441860465115</v>
      </c>
      <c r="H212" s="340">
        <f>H206-H194</f>
        <v>-401</v>
      </c>
      <c r="I212" s="340">
        <f>I206-I194</f>
        <v>479</v>
      </c>
      <c r="J212" s="340">
        <f>J206-J194</f>
        <v>416.80000000000018</v>
      </c>
      <c r="K212" s="340">
        <f>K206-K194</f>
        <v>588.21500000000015</v>
      </c>
      <c r="L212" s="340"/>
      <c r="M212" s="340">
        <f>SUM(M209:M210)</f>
        <v>920.90899999999999</v>
      </c>
      <c r="N212" s="340">
        <f>SUM(N209:N210)</f>
        <v>967.62400000000002</v>
      </c>
      <c r="O212" s="340">
        <f>SUM(O209:O210)</f>
        <v>1125.954</v>
      </c>
      <c r="P212" s="340">
        <f>SUM(P209:P210)</f>
        <v>1351</v>
      </c>
      <c r="Q212" s="340"/>
      <c r="R212" s="340">
        <f>SUM(R209:R210)</f>
        <v>1632</v>
      </c>
      <c r="S212" s="340">
        <f>SUM(S209:S210)</f>
        <v>2033</v>
      </c>
      <c r="T212" s="340">
        <f t="shared" si="48"/>
        <v>2163.8646407462566</v>
      </c>
      <c r="U212" s="340">
        <f t="shared" si="48"/>
        <v>2614.4936550802049</v>
      </c>
      <c r="V212" s="340"/>
      <c r="W212" s="340">
        <f t="shared" si="49"/>
        <v>2615.2635465333769</v>
      </c>
      <c r="X212" s="340">
        <f t="shared" si="49"/>
        <v>2800.6426545809736</v>
      </c>
      <c r="Y212" s="340">
        <f t="shared" si="49"/>
        <v>3060.4150444869629</v>
      </c>
      <c r="Z212" s="340">
        <f t="shared" si="49"/>
        <v>3713.3023247091442</v>
      </c>
      <c r="AA212" s="340"/>
      <c r="AB212" s="340"/>
      <c r="AC212" s="104"/>
      <c r="AD212" s="104"/>
      <c r="AE212" s="104"/>
      <c r="AF212" s="104"/>
      <c r="AH212" s="104"/>
      <c r="AI212" s="104"/>
      <c r="AJ212" s="104"/>
    </row>
    <row r="213" spans="2:36" x14ac:dyDescent="0.6">
      <c r="B213" s="337"/>
      <c r="C213" s="337"/>
      <c r="D213" s="340"/>
      <c r="E213" s="340"/>
      <c r="F213" s="340"/>
      <c r="G213" s="340"/>
      <c r="H213" s="340"/>
      <c r="I213" s="340"/>
      <c r="J213" s="340"/>
      <c r="K213" s="340"/>
      <c r="L213" s="340"/>
      <c r="M213" s="340"/>
      <c r="N213" s="340"/>
      <c r="O213" s="340"/>
      <c r="P213" s="340"/>
      <c r="Q213" s="340"/>
      <c r="R213" s="340"/>
      <c r="S213" s="340"/>
      <c r="T213" s="1188">
        <v>2370</v>
      </c>
      <c r="U213" s="1188">
        <v>2745</v>
      </c>
      <c r="V213" s="340"/>
      <c r="W213" s="1188">
        <v>3113</v>
      </c>
      <c r="X213" s="1188">
        <v>3498</v>
      </c>
      <c r="Y213" s="1188">
        <v>3903</v>
      </c>
      <c r="Z213" s="1188">
        <v>4374</v>
      </c>
      <c r="AA213" s="340"/>
      <c r="AB213" s="340"/>
      <c r="AC213" s="104"/>
      <c r="AD213" s="104"/>
      <c r="AE213" s="104"/>
      <c r="AF213" s="104"/>
      <c r="AH213" s="104"/>
      <c r="AI213" s="104"/>
      <c r="AJ213" s="104"/>
    </row>
    <row r="214" spans="2:36" x14ac:dyDescent="0.6">
      <c r="B214" s="337"/>
      <c r="C214" s="337"/>
      <c r="D214" s="340"/>
      <c r="E214" s="340"/>
      <c r="F214" s="340"/>
      <c r="G214" s="340"/>
      <c r="H214" s="340"/>
      <c r="I214" s="340"/>
      <c r="J214" s="340"/>
      <c r="K214" s="340"/>
      <c r="L214" s="340"/>
      <c r="M214" s="340"/>
      <c r="N214" s="340"/>
      <c r="O214" s="340"/>
      <c r="P214" s="340"/>
      <c r="Q214" s="340"/>
      <c r="R214" s="340"/>
      <c r="S214" s="340"/>
      <c r="T214" s="1188"/>
      <c r="U214" s="1188"/>
      <c r="V214" s="340"/>
      <c r="W214" s="1188"/>
      <c r="X214" s="1188"/>
      <c r="Y214" s="1188"/>
      <c r="Z214" s="1188"/>
      <c r="AA214" s="340"/>
      <c r="AB214" s="340"/>
      <c r="AC214" s="104"/>
      <c r="AD214" s="104"/>
      <c r="AE214" s="104"/>
      <c r="AF214" s="104"/>
      <c r="AH214" s="104"/>
      <c r="AI214" s="104"/>
      <c r="AJ214" s="104"/>
    </row>
    <row r="215" spans="2:36" x14ac:dyDescent="0.6">
      <c r="B215" s="337"/>
      <c r="C215" s="337"/>
      <c r="D215" s="340"/>
      <c r="E215" s="340"/>
      <c r="F215" s="340"/>
      <c r="G215" s="340"/>
      <c r="H215" s="340"/>
      <c r="I215" s="340"/>
      <c r="J215" s="340"/>
      <c r="K215" s="340"/>
      <c r="L215" s="340"/>
      <c r="M215" s="340"/>
      <c r="N215" s="340"/>
      <c r="O215" s="340"/>
      <c r="P215" s="340"/>
      <c r="Q215" s="340"/>
      <c r="R215" s="340"/>
      <c r="S215" s="340"/>
      <c r="T215" s="1198">
        <f>T213/T207</f>
        <v>0.14124798855712498</v>
      </c>
      <c r="U215" s="1198">
        <f>U213/U207</f>
        <v>0.14464878537176581</v>
      </c>
      <c r="V215" s="340"/>
      <c r="W215" s="1198">
        <f t="shared" ref="W215:Z215" si="50">W213/W207</f>
        <v>0.15213566611279444</v>
      </c>
      <c r="X215" s="1198">
        <f t="shared" si="50"/>
        <v>0.15468978021492061</v>
      </c>
      <c r="Y215" s="1198">
        <f t="shared" si="50"/>
        <v>0.15553518769426955</v>
      </c>
      <c r="Z215" s="1198">
        <f t="shared" si="50"/>
        <v>0.15590248075278015</v>
      </c>
      <c r="AA215" s="340"/>
      <c r="AB215" s="340"/>
      <c r="AC215" s="104"/>
      <c r="AD215" s="104"/>
      <c r="AE215" s="104"/>
      <c r="AF215" s="104"/>
      <c r="AH215" s="104"/>
      <c r="AI215" s="104"/>
      <c r="AJ215" s="104"/>
    </row>
    <row r="216" spans="2:36" x14ac:dyDescent="0.6">
      <c r="B216" s="337" t="str">
        <f>B209</f>
        <v>Credit cards</v>
      </c>
      <c r="C216" s="337"/>
      <c r="D216" s="340"/>
      <c r="E216" s="340"/>
      <c r="F216" s="340"/>
      <c r="G216" s="340"/>
      <c r="H216" s="1114"/>
      <c r="I216" s="1114"/>
      <c r="J216" s="1114"/>
      <c r="K216" s="1114">
        <f>K209/K203</f>
        <v>7.5549308968032233E-2</v>
      </c>
      <c r="L216" s="340"/>
      <c r="M216" s="1114">
        <f t="shared" ref="M216:P217" si="51">M209/M203</f>
        <v>8.5173783962776528E-2</v>
      </c>
      <c r="N216" s="1114">
        <f t="shared" si="51"/>
        <v>9.7180153841715855E-2</v>
      </c>
      <c r="O216" s="1114">
        <f t="shared" si="51"/>
        <v>0.10551655139503591</v>
      </c>
      <c r="P216" s="1114">
        <f t="shared" si="51"/>
        <v>0.11320551486428264</v>
      </c>
      <c r="Q216" s="1114"/>
      <c r="R216" s="1114">
        <f>R209/R203</f>
        <v>0.12564445293106741</v>
      </c>
      <c r="S216" s="1114">
        <f>S209/S203</f>
        <v>0.13878295473387497</v>
      </c>
      <c r="T216" s="1199">
        <v>0.14000000000000001</v>
      </c>
      <c r="U216" s="1114">
        <f>U209/U203</f>
        <v>0.14500000000000005</v>
      </c>
      <c r="V216" s="1114"/>
      <c r="W216" s="1199">
        <v>0.14000000000000001</v>
      </c>
      <c r="X216" s="1199">
        <v>0.14000000000000001</v>
      </c>
      <c r="Y216" s="1199">
        <v>0.14000000000000001</v>
      </c>
      <c r="Z216" s="1114">
        <f>Z209/Z203</f>
        <v>0.15500000000000003</v>
      </c>
      <c r="AA216" s="340"/>
      <c r="AB216" s="340"/>
      <c r="AC216" s="104" t="s">
        <v>1438</v>
      </c>
      <c r="AD216" s="32" t="s">
        <v>1439</v>
      </c>
      <c r="AE216" s="104" t="s">
        <v>1441</v>
      </c>
      <c r="AF216" s="104" t="s">
        <v>1442</v>
      </c>
      <c r="AG216" s="104" t="s">
        <v>1443</v>
      </c>
      <c r="AH216" s="104"/>
      <c r="AI216" s="104"/>
      <c r="AJ216" s="104"/>
    </row>
    <row r="217" spans="2:36" x14ac:dyDescent="0.6">
      <c r="B217" s="337" t="str">
        <f>B210</f>
        <v>Personal loans</v>
      </c>
      <c r="C217" s="337"/>
      <c r="D217" s="340"/>
      <c r="E217" s="340"/>
      <c r="F217" s="340"/>
      <c r="G217" s="340"/>
      <c r="H217" s="1114"/>
      <c r="I217" s="1114"/>
      <c r="J217" s="1114"/>
      <c r="K217" s="1114">
        <f>K210/K204</f>
        <v>0.14187278162180952</v>
      </c>
      <c r="L217" s="340"/>
      <c r="M217" s="1114">
        <f t="shared" si="51"/>
        <v>0.16961394769613947</v>
      </c>
      <c r="N217" s="1114">
        <f t="shared" si="51"/>
        <v>0.13888470663440305</v>
      </c>
      <c r="O217" s="1114">
        <f t="shared" si="51"/>
        <v>0.15835798680656363</v>
      </c>
      <c r="P217" s="1114">
        <f t="shared" si="51"/>
        <v>0.15205271160669032</v>
      </c>
      <c r="Q217" s="340"/>
      <c r="R217" s="1114">
        <f>R210/R204</f>
        <v>0.13527397260273974</v>
      </c>
      <c r="S217" s="1114">
        <f>S210/S204</f>
        <v>0.12858166189111747</v>
      </c>
      <c r="T217" s="1115">
        <v>0.13</v>
      </c>
      <c r="U217" s="880">
        <f>U210/U204</f>
        <v>0.15</v>
      </c>
      <c r="V217" s="340"/>
      <c r="W217" s="1115">
        <v>0.15</v>
      </c>
      <c r="X217" s="1115">
        <v>0.14000000000000001</v>
      </c>
      <c r="Y217" s="1115">
        <v>0.14000000000000001</v>
      </c>
      <c r="Z217" s="880">
        <f>Z210/Z204</f>
        <v>0.13999999999999999</v>
      </c>
      <c r="AA217" s="340"/>
      <c r="AB217" s="340"/>
      <c r="AC217" s="104"/>
      <c r="AD217" s="104"/>
      <c r="AE217" s="104"/>
      <c r="AF217" s="104"/>
      <c r="AH217" s="104"/>
      <c r="AI217" s="104"/>
      <c r="AJ217" s="104"/>
    </row>
    <row r="218" spans="2:36" x14ac:dyDescent="0.6">
      <c r="B218" s="337" t="str">
        <f>B211</f>
        <v>Payroll</v>
      </c>
      <c r="C218" s="337"/>
      <c r="D218" s="340"/>
      <c r="E218" s="340"/>
      <c r="F218" s="340"/>
      <c r="G218" s="340"/>
      <c r="H218" s="340"/>
      <c r="I218" s="340"/>
      <c r="J218" s="340"/>
      <c r="K218" s="340"/>
      <c r="L218" s="340"/>
      <c r="M218" s="340"/>
      <c r="N218" s="340"/>
      <c r="O218" s="340"/>
      <c r="P218" s="340"/>
      <c r="Q218" s="340"/>
      <c r="R218" s="340"/>
      <c r="S218" s="340"/>
      <c r="T218" s="340"/>
      <c r="U218" s="340"/>
      <c r="V218" s="340"/>
      <c r="W218" s="340"/>
      <c r="X218" s="340"/>
      <c r="Y218" s="340"/>
      <c r="Z218" s="340"/>
      <c r="AA218" s="340"/>
      <c r="AB218" s="340"/>
      <c r="AC218" s="104" t="s">
        <v>1444</v>
      </c>
      <c r="AD218" s="104" t="s">
        <v>1439</v>
      </c>
      <c r="AE218" s="104" t="s">
        <v>1445</v>
      </c>
      <c r="AF218" s="104" t="s">
        <v>1446</v>
      </c>
      <c r="AH218" s="104"/>
      <c r="AI218" s="104"/>
      <c r="AJ218" s="104"/>
    </row>
    <row r="219" spans="2:36" x14ac:dyDescent="0.6">
      <c r="B219" s="337" t="s">
        <v>595</v>
      </c>
      <c r="C219" s="337"/>
      <c r="D219" s="340"/>
      <c r="E219" s="340"/>
      <c r="F219" s="340"/>
      <c r="G219" s="340"/>
      <c r="H219" s="1114">
        <f>H212/H206</f>
        <v>-0.1215519854501364</v>
      </c>
      <c r="I219" s="1114">
        <f>I212/I206</f>
        <v>0.1023723017738833</v>
      </c>
      <c r="J219" s="1114">
        <f>J212/J206</f>
        <v>7.9074179472585882E-2</v>
      </c>
      <c r="K219" s="1114">
        <f>K212/K206</f>
        <v>8.961876430728917E-2</v>
      </c>
      <c r="L219" s="850"/>
      <c r="M219" s="1114">
        <f>M212/M206</f>
        <v>0.1043888573323529</v>
      </c>
      <c r="N219" s="1114">
        <f>N212/N206</f>
        <v>0.10607737229318111</v>
      </c>
      <c r="O219" s="1114">
        <f>O212/O206</f>
        <v>0.11587456919604977</v>
      </c>
      <c r="P219" s="1114">
        <f>P212/P206</f>
        <v>0.12001421337834237</v>
      </c>
      <c r="Q219" s="340"/>
      <c r="R219" s="1114">
        <f>R212/R206</f>
        <v>0.12740046838407496</v>
      </c>
      <c r="S219" s="1114">
        <f>S212/S206</f>
        <v>0.13686549077689511</v>
      </c>
      <c r="T219" s="1114">
        <f>T212/T206</f>
        <v>0.13696813379457357</v>
      </c>
      <c r="U219" s="1114">
        <f>U212/U206</f>
        <v>0.14362269374183947</v>
      </c>
      <c r="V219" s="340"/>
      <c r="W219" s="1114">
        <f>W212/W206</f>
        <v>0.13883480861138467</v>
      </c>
      <c r="X219" s="1114">
        <f>X212/X206</f>
        <v>0.13583249009899839</v>
      </c>
      <c r="Y219" s="1114">
        <f>Y212/Y206</f>
        <v>0.13444095453183971</v>
      </c>
      <c r="Z219" s="1114">
        <f>Z212/Z206</f>
        <v>0.14439910733870107</v>
      </c>
      <c r="AA219" s="340"/>
      <c r="AB219" s="340"/>
      <c r="AC219" s="104"/>
      <c r="AD219" s="104"/>
      <c r="AE219" s="104"/>
      <c r="AF219" s="104"/>
      <c r="AH219" s="104"/>
      <c r="AI219" s="104"/>
      <c r="AJ219" s="104"/>
    </row>
    <row r="220" spans="2:36" x14ac:dyDescent="0.6">
      <c r="B220" s="337"/>
      <c r="C220" s="337"/>
      <c r="D220" s="340"/>
      <c r="E220" s="340"/>
      <c r="F220" s="340"/>
      <c r="G220" s="340"/>
      <c r="H220" s="340"/>
      <c r="I220" s="340"/>
      <c r="J220" s="340"/>
      <c r="K220" s="340"/>
      <c r="L220" s="340"/>
      <c r="M220" s="340"/>
      <c r="N220" s="340"/>
      <c r="O220" s="340"/>
      <c r="P220" s="340"/>
      <c r="Q220" s="340"/>
      <c r="R220" s="340"/>
      <c r="S220" s="340"/>
      <c r="T220" s="340"/>
      <c r="U220" s="340"/>
      <c r="V220" s="340"/>
      <c r="W220" s="340"/>
      <c r="X220" s="340"/>
      <c r="Y220" s="340"/>
      <c r="Z220" s="340"/>
      <c r="AA220" s="340"/>
      <c r="AB220" s="340"/>
      <c r="AC220" s="104" t="s">
        <v>1438</v>
      </c>
      <c r="AD220" s="104" t="s">
        <v>1439</v>
      </c>
      <c r="AE220" s="104" t="s">
        <v>1446</v>
      </c>
      <c r="AF220" s="104" t="s">
        <v>1447</v>
      </c>
      <c r="AG220" s="32" t="s">
        <v>1440</v>
      </c>
      <c r="AH220" s="104" t="s">
        <v>1446</v>
      </c>
      <c r="AI220" s="104"/>
      <c r="AJ220" s="104"/>
    </row>
    <row r="221" spans="2:36" x14ac:dyDescent="0.6">
      <c r="B221" s="849" t="s">
        <v>1104</v>
      </c>
      <c r="C221" s="337"/>
      <c r="D221" s="340"/>
      <c r="E221" s="340"/>
      <c r="F221" s="340"/>
      <c r="G221" s="851">
        <v>5.1985000000000001</v>
      </c>
      <c r="H221" s="851">
        <v>5.6337000000000002</v>
      </c>
      <c r="I221" s="851">
        <v>4.9695999999999998</v>
      </c>
      <c r="J221" s="851">
        <v>5.4428999999999998</v>
      </c>
      <c r="K221" s="851">
        <v>5.5758000000000001</v>
      </c>
      <c r="L221" s="340"/>
      <c r="M221" s="851">
        <v>4.74</v>
      </c>
      <c r="N221" s="851">
        <v>5.26</v>
      </c>
      <c r="O221" s="851">
        <v>5.4154999999999998</v>
      </c>
      <c r="P221" s="851">
        <v>5.28</v>
      </c>
      <c r="Q221" s="340"/>
      <c r="R221" s="851">
        <v>5.0599999999999996</v>
      </c>
      <c r="S221" s="851">
        <v>4.79</v>
      </c>
      <c r="T221" s="901">
        <v>5.04</v>
      </c>
      <c r="U221" s="901">
        <v>5.17</v>
      </c>
      <c r="V221" s="851">
        <f>U221</f>
        <v>5.17</v>
      </c>
      <c r="W221" s="901">
        <v>5.17</v>
      </c>
      <c r="X221" s="901">
        <v>5.17</v>
      </c>
      <c r="Y221" s="901">
        <v>5.17</v>
      </c>
      <c r="Z221" s="901">
        <v>5.17</v>
      </c>
      <c r="AA221" s="851">
        <f>V221</f>
        <v>5.17</v>
      </c>
      <c r="AB221" s="340"/>
      <c r="AC221" s="104"/>
      <c r="AD221" s="104"/>
      <c r="AE221" s="104"/>
      <c r="AF221" s="104"/>
      <c r="AH221" s="104"/>
      <c r="AI221" s="104"/>
      <c r="AJ221" s="104"/>
    </row>
    <row r="222" spans="2:36" x14ac:dyDescent="0.6">
      <c r="B222" s="337"/>
      <c r="C222" s="337"/>
      <c r="D222" s="340"/>
      <c r="E222" s="340"/>
      <c r="F222" s="340"/>
      <c r="G222" s="340"/>
      <c r="H222" s="340"/>
      <c r="I222" s="340"/>
      <c r="J222" s="340"/>
      <c r="K222" s="340"/>
      <c r="L222" s="340"/>
      <c r="M222" s="340"/>
      <c r="N222" s="340"/>
      <c r="O222" s="340"/>
      <c r="P222" s="340"/>
      <c r="Q222" s="340"/>
      <c r="R222" s="340"/>
      <c r="S222" s="340"/>
      <c r="T222" s="880"/>
      <c r="U222" s="1233">
        <f>AVERAGE(R221:U221)</f>
        <v>5.0150000000000006</v>
      </c>
      <c r="V222" s="340"/>
      <c r="W222" s="340"/>
      <c r="X222" s="340"/>
      <c r="Y222" s="340"/>
      <c r="Z222" s="340"/>
      <c r="AA222" s="340"/>
      <c r="AB222" s="340"/>
      <c r="AC222" s="104"/>
      <c r="AD222" s="104"/>
      <c r="AE222" s="104"/>
      <c r="AF222" s="104"/>
      <c r="AH222" s="104"/>
      <c r="AI222" s="104"/>
      <c r="AJ222" s="104"/>
    </row>
    <row r="223" spans="2:36" x14ac:dyDescent="0.6">
      <c r="B223" s="337"/>
      <c r="C223" s="337"/>
      <c r="D223" s="340"/>
      <c r="E223" s="340"/>
      <c r="F223" s="340"/>
      <c r="G223" s="340"/>
      <c r="H223" s="340"/>
      <c r="I223" s="340"/>
      <c r="J223" s="340"/>
      <c r="K223" s="340"/>
      <c r="L223" s="340"/>
      <c r="M223" s="880">
        <f>M226/K226-1</f>
        <v>0.1860634018917211</v>
      </c>
      <c r="N223" s="880">
        <f>N226/M226-1</f>
        <v>0.11554673369123636</v>
      </c>
      <c r="O223" s="880">
        <f>O226/N226-1</f>
        <v>-1.5084848733651124E-2</v>
      </c>
      <c r="P223" s="880">
        <f>P226/O226-1</f>
        <v>1.7488090668645206E-2</v>
      </c>
      <c r="Q223" s="340"/>
      <c r="R223" s="880">
        <f>R226/P226-1</f>
        <v>0.15710300856744341</v>
      </c>
      <c r="S223" s="880">
        <f>S226/R226-1</f>
        <v>0.14018608382577402</v>
      </c>
      <c r="T223" s="340"/>
      <c r="U223" s="340"/>
      <c r="V223" s="340"/>
      <c r="W223" s="340"/>
      <c r="X223" s="340"/>
      <c r="Y223" s="340"/>
      <c r="Z223" s="340"/>
      <c r="AA223" s="340"/>
      <c r="AB223" s="340"/>
      <c r="AC223" s="104"/>
      <c r="AD223" s="104"/>
      <c r="AE223" s="104"/>
      <c r="AF223" s="104"/>
      <c r="AH223" s="104"/>
      <c r="AI223" s="104"/>
      <c r="AJ223" s="104"/>
    </row>
    <row r="224" spans="2:36" x14ac:dyDescent="0.6">
      <c r="B224" s="338" t="s">
        <v>1014</v>
      </c>
      <c r="C224" s="337"/>
      <c r="D224" s="340"/>
      <c r="E224" s="340"/>
      <c r="F224" s="340"/>
      <c r="G224" s="340"/>
      <c r="H224" s="340"/>
      <c r="I224" s="340"/>
      <c r="J224" s="340"/>
      <c r="K224" s="340"/>
      <c r="L224" s="340"/>
      <c r="M224" s="340"/>
      <c r="N224" s="340"/>
      <c r="O224" s="340"/>
      <c r="P224" s="340"/>
      <c r="Q224" s="340"/>
      <c r="R224" s="340"/>
      <c r="S224" s="340"/>
      <c r="T224" s="340"/>
      <c r="U224" s="340"/>
      <c r="V224" s="340"/>
      <c r="W224" s="340"/>
      <c r="X224" s="340"/>
      <c r="Y224" s="340"/>
      <c r="Z224" s="340"/>
      <c r="AA224" s="340"/>
      <c r="AB224" s="340"/>
      <c r="AC224" s="104"/>
      <c r="AD224" s="104"/>
      <c r="AE224" s="104"/>
      <c r="AF224" s="104"/>
      <c r="AH224" s="104"/>
      <c r="AI224" s="104"/>
      <c r="AJ224" s="104"/>
    </row>
    <row r="225" spans="2:36" x14ac:dyDescent="0.6">
      <c r="B225" s="337" t="s">
        <v>346</v>
      </c>
      <c r="C225" s="337"/>
      <c r="D225" s="340"/>
      <c r="E225" s="340"/>
      <c r="F225" s="340"/>
      <c r="G225" s="340">
        <f t="shared" ref="G225:K226" si="52">G191*G$221</f>
        <v>15121.916650000001</v>
      </c>
      <c r="H225" s="340">
        <f t="shared" si="52"/>
        <v>18591.21</v>
      </c>
      <c r="I225" s="340">
        <f t="shared" si="52"/>
        <v>17890.559999999998</v>
      </c>
      <c r="J225" s="340">
        <f t="shared" si="52"/>
        <v>22106.338349999998</v>
      </c>
      <c r="K225" s="340">
        <f t="shared" si="52"/>
        <v>26655.1119</v>
      </c>
      <c r="L225" s="340"/>
      <c r="M225" s="340">
        <f t="shared" ref="M225:P226" si="53">M191*M$221</f>
        <v>29549.16</v>
      </c>
      <c r="N225" s="340">
        <f t="shared" si="53"/>
        <v>34076.752200000003</v>
      </c>
      <c r="O225" s="340">
        <f t="shared" si="53"/>
        <v>37843.232393999999</v>
      </c>
      <c r="P225" s="340">
        <f t="shared" si="53"/>
        <v>43470.240000000005</v>
      </c>
      <c r="Q225" s="340"/>
      <c r="R225" s="340">
        <f>R191*R$221</f>
        <v>46339.479999999996</v>
      </c>
      <c r="S225" s="340">
        <f>S191*S$221</f>
        <v>49758.52</v>
      </c>
      <c r="T225" s="340">
        <f>S225+T231</f>
        <v>54758.52</v>
      </c>
      <c r="U225" s="340">
        <f>U191*U$50</f>
        <v>60479.179958520464</v>
      </c>
      <c r="V225" s="340"/>
      <c r="W225" s="340">
        <f>U225+W231</f>
        <v>65479.179958520464</v>
      </c>
      <c r="X225" s="340">
        <f t="shared" ref="X225:Y227" si="54">W225+X231</f>
        <v>71479.179958520457</v>
      </c>
      <c r="Y225" s="340">
        <f t="shared" si="54"/>
        <v>77979.179958520457</v>
      </c>
      <c r="Z225" s="340">
        <f>Z191*Z$50</f>
        <v>81116.331104404613</v>
      </c>
      <c r="AA225" s="340"/>
      <c r="AB225" s="340"/>
      <c r="AC225" s="104"/>
      <c r="AD225" s="104"/>
      <c r="AE225" s="104"/>
      <c r="AF225" s="104"/>
      <c r="AH225" s="104"/>
      <c r="AI225" s="104"/>
      <c r="AJ225" s="104"/>
    </row>
    <row r="226" spans="2:36" x14ac:dyDescent="0.6">
      <c r="B226" s="337" t="s">
        <v>218</v>
      </c>
      <c r="C226" s="337"/>
      <c r="D226" s="340"/>
      <c r="E226" s="340"/>
      <c r="F226" s="340"/>
      <c r="G226" s="340">
        <f t="shared" si="52"/>
        <v>1051.7895348837208</v>
      </c>
      <c r="H226" s="340">
        <f t="shared" si="52"/>
        <v>2253.48</v>
      </c>
      <c r="I226" s="340">
        <f t="shared" si="52"/>
        <v>2981.7599999999998</v>
      </c>
      <c r="J226" s="340">
        <f t="shared" si="52"/>
        <v>4314.5868300000002</v>
      </c>
      <c r="K226" s="340">
        <f t="shared" si="52"/>
        <v>6662.0215979999994</v>
      </c>
      <c r="L226" s="340"/>
      <c r="M226" s="340">
        <f t="shared" si="53"/>
        <v>7901.58</v>
      </c>
      <c r="N226" s="340">
        <f t="shared" si="53"/>
        <v>8814.5817599999991</v>
      </c>
      <c r="O226" s="340">
        <f t="shared" si="53"/>
        <v>8681.6151274999993</v>
      </c>
      <c r="P226" s="340">
        <f t="shared" si="53"/>
        <v>8833.44</v>
      </c>
      <c r="Q226" s="340"/>
      <c r="R226" s="340">
        <f>R192*R$221</f>
        <v>10221.199999999999</v>
      </c>
      <c r="S226" s="340">
        <f>S192*S$221</f>
        <v>11654.07</v>
      </c>
      <c r="T226" s="340">
        <f>S226+T232</f>
        <v>13329.07</v>
      </c>
      <c r="U226" s="340">
        <f>U192*U$50</f>
        <v>15215.229832893392</v>
      </c>
      <c r="V226" s="340"/>
      <c r="W226" s="340">
        <f>U226+W232</f>
        <v>16215.229832893392</v>
      </c>
      <c r="X226" s="340">
        <f t="shared" si="54"/>
        <v>17465.22983289339</v>
      </c>
      <c r="Y226" s="340">
        <f t="shared" si="54"/>
        <v>19215.22983289339</v>
      </c>
      <c r="Z226" s="340">
        <f>Z192*Z$50</f>
        <v>21509.334071388213</v>
      </c>
      <c r="AA226" s="340"/>
      <c r="AB226" s="340"/>
      <c r="AC226" s="104"/>
      <c r="AD226" s="104"/>
      <c r="AE226" s="104"/>
      <c r="AF226" s="104"/>
      <c r="AG226"/>
      <c r="AH226" s="104"/>
      <c r="AI226" s="104"/>
      <c r="AJ226" s="104"/>
    </row>
    <row r="227" spans="2:36" x14ac:dyDescent="0.6">
      <c r="B227" s="343" t="s">
        <v>420</v>
      </c>
      <c r="C227" s="343"/>
      <c r="D227" s="528"/>
      <c r="E227" s="528"/>
      <c r="F227" s="528"/>
      <c r="G227" s="528"/>
      <c r="H227" s="528"/>
      <c r="I227" s="528"/>
      <c r="J227" s="528"/>
      <c r="K227" s="528"/>
      <c r="L227" s="528"/>
      <c r="M227" s="528"/>
      <c r="N227" s="528"/>
      <c r="O227" s="528"/>
      <c r="P227" s="528"/>
      <c r="Q227" s="528"/>
      <c r="R227" s="528"/>
      <c r="S227" s="528"/>
      <c r="T227" s="528">
        <f>T193*T$50</f>
        <v>618.75</v>
      </c>
      <c r="U227" s="528">
        <f>U193*U$50</f>
        <v>1473.1688648985066</v>
      </c>
      <c r="V227" s="528"/>
      <c r="W227" s="528">
        <f>U227+W233</f>
        <v>2173.1688648985064</v>
      </c>
      <c r="X227" s="528">
        <f t="shared" si="54"/>
        <v>3173.1688648985064</v>
      </c>
      <c r="Y227" s="528">
        <f t="shared" si="54"/>
        <v>4673.1688648985064</v>
      </c>
      <c r="Z227" s="528">
        <f>Z193*Z$50</f>
        <v>6285.4560171981084</v>
      </c>
      <c r="AA227" s="340"/>
      <c r="AB227" s="340"/>
      <c r="AC227" s="104"/>
      <c r="AD227" s="104"/>
      <c r="AE227" s="104"/>
      <c r="AF227" s="104"/>
      <c r="AG227"/>
      <c r="AH227" s="104"/>
      <c r="AI227" s="104"/>
      <c r="AJ227" s="104"/>
    </row>
    <row r="228" spans="2:36" x14ac:dyDescent="0.6">
      <c r="B228" s="337" t="s">
        <v>450</v>
      </c>
      <c r="C228" s="337"/>
      <c r="D228" s="340"/>
      <c r="E228" s="340"/>
      <c r="F228" s="340"/>
      <c r="G228" s="340">
        <f>G194*G$221</f>
        <v>16173.706184883722</v>
      </c>
      <c r="H228" s="340">
        <f>H194*H$221</f>
        <v>20844.690000000002</v>
      </c>
      <c r="I228" s="340">
        <f>I194*I$221</f>
        <v>20872.32</v>
      </c>
      <c r="J228" s="340">
        <f>J194*J$221</f>
        <v>26420.925179999998</v>
      </c>
      <c r="K228" s="340">
        <f>K194*K$221</f>
        <v>33317.133497999996</v>
      </c>
      <c r="L228" s="340"/>
      <c r="M228" s="340">
        <f>M194*M$221</f>
        <v>37450.740000000005</v>
      </c>
      <c r="N228" s="340">
        <f>N194*N$221</f>
        <v>42891.333959999996</v>
      </c>
      <c r="O228" s="340">
        <f>O194*O$221</f>
        <v>46524.8475215</v>
      </c>
      <c r="P228" s="340">
        <f>P194*P$221</f>
        <v>52303.68</v>
      </c>
      <c r="Q228" s="340"/>
      <c r="R228" s="340">
        <f>R194*R$221</f>
        <v>56560.679999999993</v>
      </c>
      <c r="S228" s="340">
        <f>S194*S$221</f>
        <v>61412.590000000004</v>
      </c>
      <c r="T228" s="340">
        <f>SUM(T225:T227)</f>
        <v>68706.34</v>
      </c>
      <c r="U228" s="340">
        <f>SUM(U225:U227)</f>
        <v>77167.578656312355</v>
      </c>
      <c r="V228" s="340"/>
      <c r="W228" s="340">
        <f>SUM(W225:W227)</f>
        <v>83867.578656312355</v>
      </c>
      <c r="X228" s="340">
        <f>SUM(X225:X227)</f>
        <v>92117.57865631234</v>
      </c>
      <c r="Y228" s="340">
        <f>SUM(Y225:Y227)</f>
        <v>101867.57865631234</v>
      </c>
      <c r="Z228" s="340">
        <f>SUM(Z225:Z227)</f>
        <v>108911.12119299093</v>
      </c>
      <c r="AA228" s="340"/>
      <c r="AB228" s="340"/>
      <c r="AC228" s="104"/>
      <c r="AD228" s="104"/>
      <c r="AE228" s="104"/>
      <c r="AF228" s="104"/>
      <c r="AH228" s="104"/>
      <c r="AI228" s="104"/>
      <c r="AJ228" s="104"/>
    </row>
    <row r="229" spans="2:36" x14ac:dyDescent="0.6">
      <c r="B229" s="337"/>
      <c r="C229" s="337"/>
      <c r="D229" s="340"/>
      <c r="E229" s="340"/>
      <c r="F229" s="340"/>
      <c r="G229" s="340"/>
      <c r="H229" s="340"/>
      <c r="I229" s="340"/>
      <c r="J229" s="340"/>
      <c r="K229" s="340"/>
      <c r="L229" s="340"/>
      <c r="M229" s="880">
        <f>M228/H228-1</f>
        <v>0.79665612681215214</v>
      </c>
      <c r="N229" s="880">
        <f>N228/I228-1</f>
        <v>1.0549385003679514</v>
      </c>
      <c r="O229" s="880">
        <f>O228/J228-1</f>
        <v>0.76090909779034477</v>
      </c>
      <c r="P229" s="880">
        <f>P228/K228-1</f>
        <v>0.56987335069326273</v>
      </c>
      <c r="Q229" s="340"/>
      <c r="R229" s="880">
        <f>R228/M228-1</f>
        <v>0.51026868894980404</v>
      </c>
      <c r="S229" s="880">
        <f>S228/N228-1</f>
        <v>0.43181813970329608</v>
      </c>
      <c r="T229" s="880">
        <f>T228/O228-1</f>
        <v>0.47676658087379042</v>
      </c>
      <c r="U229" s="880">
        <f>U228/P228-1</f>
        <v>0.47537570313049393</v>
      </c>
      <c r="V229" s="340"/>
      <c r="W229" s="340"/>
      <c r="X229" s="340"/>
      <c r="Y229" s="340"/>
      <c r="Z229" s="340"/>
      <c r="AA229" s="340"/>
      <c r="AB229" s="340"/>
      <c r="AC229" s="104"/>
      <c r="AD229" s="104"/>
      <c r="AE229" s="104"/>
      <c r="AF229" s="104"/>
      <c r="AH229" s="104"/>
      <c r="AI229" s="104"/>
      <c r="AJ229" s="104"/>
    </row>
    <row r="230" spans="2:36" x14ac:dyDescent="0.6">
      <c r="B230" s="338" t="s">
        <v>1016</v>
      </c>
      <c r="C230" s="337"/>
      <c r="D230" s="340"/>
      <c r="E230" s="340"/>
      <c r="F230" s="340"/>
      <c r="G230" s="340"/>
      <c r="H230" s="340"/>
      <c r="I230" s="340"/>
      <c r="J230" s="340"/>
      <c r="K230" s="340"/>
      <c r="L230" s="340"/>
      <c r="M230" s="340"/>
      <c r="N230" s="340"/>
      <c r="O230" s="340"/>
      <c r="P230" s="340"/>
      <c r="Q230" s="340"/>
      <c r="R230" s="340"/>
      <c r="S230" s="340"/>
      <c r="T230" s="340">
        <f>T195*T221</f>
        <v>72621.36</v>
      </c>
      <c r="U230" s="340"/>
      <c r="V230" s="340"/>
      <c r="W230" s="340"/>
      <c r="X230" s="340"/>
      <c r="Y230" s="340"/>
      <c r="Z230" s="340"/>
      <c r="AA230" s="340"/>
      <c r="AB230" s="340"/>
      <c r="AC230" s="104"/>
      <c r="AD230" s="104"/>
      <c r="AE230" s="104"/>
      <c r="AF230" s="104"/>
      <c r="AH230" s="104"/>
      <c r="AI230" s="104"/>
      <c r="AJ230" s="104"/>
    </row>
    <row r="231" spans="2:36" x14ac:dyDescent="0.6">
      <c r="B231" s="337" t="s">
        <v>346</v>
      </c>
      <c r="C231" s="337"/>
      <c r="D231" s="340"/>
      <c r="E231" s="340"/>
      <c r="F231" s="340"/>
      <c r="G231" s="340"/>
      <c r="H231" s="340">
        <f t="shared" ref="H231:K232" si="55">H225-G225</f>
        <v>3469.2933499999981</v>
      </c>
      <c r="I231" s="340">
        <f t="shared" si="55"/>
        <v>-700.65000000000146</v>
      </c>
      <c r="J231" s="340">
        <f t="shared" si="55"/>
        <v>4215.7783500000005</v>
      </c>
      <c r="K231" s="340">
        <f t="shared" si="55"/>
        <v>4548.7735500000017</v>
      </c>
      <c r="L231" s="340"/>
      <c r="M231" s="340">
        <f>M225-K225</f>
        <v>2894.0481</v>
      </c>
      <c r="N231" s="340">
        <f t="shared" ref="N231:P232" si="56">N225-M225</f>
        <v>4527.5922000000028</v>
      </c>
      <c r="O231" s="340">
        <f t="shared" si="56"/>
        <v>3766.4801939999961</v>
      </c>
      <c r="P231" s="340">
        <f t="shared" si="56"/>
        <v>5627.0076060000065</v>
      </c>
      <c r="Q231" s="340"/>
      <c r="R231" s="340">
        <f>R225-P225</f>
        <v>2869.2399999999907</v>
      </c>
      <c r="S231" s="340">
        <f>S225-R225</f>
        <v>3419.0400000000009</v>
      </c>
      <c r="T231" s="530">
        <v>5000</v>
      </c>
      <c r="U231" s="340">
        <f>U225-T225</f>
        <v>5720.6599585204676</v>
      </c>
      <c r="V231" s="340"/>
      <c r="W231" s="530">
        <v>5000</v>
      </c>
      <c r="X231" s="530">
        <v>6000</v>
      </c>
      <c r="Y231" s="530">
        <v>6500</v>
      </c>
      <c r="Z231" s="340">
        <f>Z225-Y225</f>
        <v>3137.151145884156</v>
      </c>
      <c r="AA231" s="340"/>
      <c r="AB231" s="340"/>
      <c r="AC231" s="104"/>
      <c r="AD231" s="104"/>
      <c r="AE231" s="104"/>
      <c r="AF231" s="104"/>
      <c r="AH231" s="104"/>
      <c r="AI231" s="104"/>
      <c r="AJ231" s="104"/>
    </row>
    <row r="232" spans="2:36" x14ac:dyDescent="0.6">
      <c r="B232" s="337" t="s">
        <v>218</v>
      </c>
      <c r="C232" s="337"/>
      <c r="D232" s="340"/>
      <c r="E232" s="340"/>
      <c r="F232" s="340"/>
      <c r="G232" s="340"/>
      <c r="H232" s="340">
        <f t="shared" si="55"/>
        <v>1201.6904651162793</v>
      </c>
      <c r="I232" s="340">
        <f t="shared" si="55"/>
        <v>728.27999999999975</v>
      </c>
      <c r="J232" s="340">
        <f t="shared" si="55"/>
        <v>1332.8268300000004</v>
      </c>
      <c r="K232" s="340">
        <f t="shared" si="55"/>
        <v>2347.4347679999992</v>
      </c>
      <c r="L232" s="340"/>
      <c r="M232" s="340">
        <f>M226-K226</f>
        <v>1239.5584020000006</v>
      </c>
      <c r="N232" s="340">
        <f t="shared" si="56"/>
        <v>913.00175999999919</v>
      </c>
      <c r="O232" s="340">
        <f t="shared" si="56"/>
        <v>-132.96663249999983</v>
      </c>
      <c r="P232" s="340">
        <f t="shared" si="56"/>
        <v>151.82487250000122</v>
      </c>
      <c r="Q232" s="340"/>
      <c r="R232" s="340">
        <f>R226-P226</f>
        <v>1387.7599999999984</v>
      </c>
      <c r="S232" s="340">
        <f>S226-R226</f>
        <v>1432.8700000000008</v>
      </c>
      <c r="T232" s="530">
        <v>1675</v>
      </c>
      <c r="U232" s="340">
        <f>U226-T226</f>
        <v>1886.1598328933924</v>
      </c>
      <c r="V232" s="340"/>
      <c r="W232" s="530">
        <v>1000</v>
      </c>
      <c r="X232" s="530">
        <v>1250</v>
      </c>
      <c r="Y232" s="530">
        <v>1750</v>
      </c>
      <c r="Z232" s="340">
        <f>Z226-Y226</f>
        <v>2294.1042384948232</v>
      </c>
      <c r="AA232" s="340"/>
      <c r="AB232" s="340"/>
      <c r="AC232" s="104"/>
      <c r="AD232" s="104"/>
      <c r="AE232" s="104"/>
      <c r="AF232" s="104"/>
      <c r="AG232"/>
      <c r="AH232" s="104"/>
      <c r="AI232" s="104"/>
      <c r="AJ232" s="104"/>
    </row>
    <row r="233" spans="2:36" x14ac:dyDescent="0.6">
      <c r="B233" s="343" t="s">
        <v>420</v>
      </c>
      <c r="C233" s="343"/>
      <c r="D233" s="528"/>
      <c r="E233" s="528"/>
      <c r="F233" s="528"/>
      <c r="G233" s="528"/>
      <c r="H233" s="528"/>
      <c r="I233" s="528"/>
      <c r="J233" s="528"/>
      <c r="K233" s="528"/>
      <c r="L233" s="528"/>
      <c r="M233" s="528"/>
      <c r="N233" s="528"/>
      <c r="O233" s="528"/>
      <c r="P233" s="528"/>
      <c r="Q233" s="528"/>
      <c r="R233" s="528"/>
      <c r="S233" s="528"/>
      <c r="T233" s="528">
        <f>T227-S227</f>
        <v>618.75</v>
      </c>
      <c r="U233" s="528">
        <f>U227-T227</f>
        <v>854.41886489850663</v>
      </c>
      <c r="V233" s="528"/>
      <c r="W233" s="531">
        <v>700</v>
      </c>
      <c r="X233" s="531">
        <v>1000</v>
      </c>
      <c r="Y233" s="531">
        <v>1500</v>
      </c>
      <c r="Z233" s="528">
        <f>Z227-Y227</f>
        <v>1612.287152299602</v>
      </c>
      <c r="AA233" s="340"/>
      <c r="AB233" s="340"/>
      <c r="AC233" s="104"/>
      <c r="AD233" s="104"/>
      <c r="AE233" s="104"/>
      <c r="AF233" s="104"/>
      <c r="AG233"/>
      <c r="AH233" s="104"/>
      <c r="AI233" s="104"/>
      <c r="AJ233" s="104"/>
    </row>
    <row r="234" spans="2:36" x14ac:dyDescent="0.6">
      <c r="B234" s="337" t="s">
        <v>354</v>
      </c>
      <c r="C234" s="337"/>
      <c r="D234" s="340"/>
      <c r="E234" s="340"/>
      <c r="F234" s="340"/>
      <c r="G234" s="340"/>
      <c r="H234" s="340">
        <f>H228-G228</f>
        <v>4670.9838151162803</v>
      </c>
      <c r="I234" s="340">
        <f>I228-H228</f>
        <v>27.629999999997381</v>
      </c>
      <c r="J234" s="340">
        <f>J228-I228</f>
        <v>5548.6051799999987</v>
      </c>
      <c r="K234" s="340">
        <f>K228-J228</f>
        <v>6896.2083179999972</v>
      </c>
      <c r="L234" s="340"/>
      <c r="M234" s="340">
        <f>M228-K228</f>
        <v>4133.6065020000096</v>
      </c>
      <c r="N234" s="340">
        <f>N228-M228</f>
        <v>5440.5939599999911</v>
      </c>
      <c r="O234" s="340">
        <f>O228-N228</f>
        <v>3633.5135615000036</v>
      </c>
      <c r="P234" s="340">
        <f>P228-O228</f>
        <v>5778.8324785000004</v>
      </c>
      <c r="Q234" s="340"/>
      <c r="R234" s="340">
        <f>R228-P228</f>
        <v>4256.9999999999927</v>
      </c>
      <c r="S234" s="340">
        <f>S228-R228</f>
        <v>4851.9100000000108</v>
      </c>
      <c r="T234" s="340">
        <f>T231+T232+T233</f>
        <v>7293.75</v>
      </c>
      <c r="U234" s="340">
        <f>U231+U232+U233</f>
        <v>8461.2386563123673</v>
      </c>
      <c r="V234" s="340"/>
      <c r="W234" s="340">
        <f>W231+W232+W233</f>
        <v>6700</v>
      </c>
      <c r="X234" s="340">
        <f>X231+X232+X233</f>
        <v>8250</v>
      </c>
      <c r="Y234" s="340">
        <f>Y231+Y232+Y233</f>
        <v>9750</v>
      </c>
      <c r="Z234" s="340">
        <f>Z231+Z232+Z233</f>
        <v>7043.5425366785812</v>
      </c>
      <c r="AA234" s="340"/>
      <c r="AB234" s="340"/>
      <c r="AC234" s="104"/>
      <c r="AD234" s="104"/>
      <c r="AE234" s="104"/>
      <c r="AF234" s="104"/>
      <c r="AH234" s="104"/>
      <c r="AI234" s="104"/>
      <c r="AJ234" s="104"/>
    </row>
    <row r="235" spans="2:36" x14ac:dyDescent="0.6">
      <c r="B235" s="337"/>
      <c r="C235" s="337"/>
      <c r="D235" s="340"/>
      <c r="E235" s="340"/>
      <c r="F235" s="340"/>
      <c r="G235" s="340"/>
      <c r="H235" s="340"/>
      <c r="I235" s="340"/>
      <c r="J235" s="340"/>
      <c r="K235" s="340"/>
      <c r="L235" s="340"/>
      <c r="M235" s="536"/>
      <c r="N235" s="880">
        <f>N226/M226-1</f>
        <v>0.11554673369123636</v>
      </c>
      <c r="O235" s="880">
        <f>O226/N226-1</f>
        <v>-1.5084848733651124E-2</v>
      </c>
      <c r="P235" s="880">
        <f>P226/O226-1</f>
        <v>1.7488090668645206E-2</v>
      </c>
      <c r="Q235" s="340"/>
      <c r="R235" s="880">
        <f>R226/P226-1</f>
        <v>0.15710300856744341</v>
      </c>
      <c r="S235" s="880">
        <f>S226/R226-1</f>
        <v>0.14018608382577402</v>
      </c>
      <c r="T235" s="880">
        <f>T226/S226-1</f>
        <v>0.14372661224790995</v>
      </c>
      <c r="U235" s="880">
        <f>U226/T226-1</f>
        <v>0.14150723440520552</v>
      </c>
      <c r="V235" s="340"/>
      <c r="W235" s="340"/>
      <c r="X235" s="340"/>
      <c r="Y235" s="340"/>
      <c r="Z235" s="340"/>
      <c r="AA235" s="340"/>
      <c r="AB235" s="340"/>
      <c r="AC235" s="104"/>
      <c r="AD235" s="104"/>
      <c r="AE235" s="104"/>
      <c r="AF235" s="104"/>
      <c r="AH235" s="104"/>
      <c r="AI235" s="104"/>
      <c r="AJ235" s="104"/>
    </row>
    <row r="236" spans="2:36" x14ac:dyDescent="0.6">
      <c r="B236" s="338" t="s">
        <v>1120</v>
      </c>
      <c r="C236" s="337"/>
      <c r="D236" s="340"/>
      <c r="E236" s="340"/>
      <c r="F236" s="340"/>
      <c r="G236" s="340"/>
      <c r="H236" s="340"/>
      <c r="I236" s="340"/>
      <c r="J236" s="340"/>
      <c r="K236" s="340"/>
      <c r="L236" s="340"/>
      <c r="M236" s="536"/>
      <c r="N236" s="536"/>
      <c r="O236" s="880"/>
      <c r="P236" s="880"/>
      <c r="Q236" s="340"/>
      <c r="R236" s="880"/>
      <c r="S236" s="880"/>
      <c r="T236" s="340">
        <f>T230-S228</f>
        <v>11208.769999999997</v>
      </c>
      <c r="U236" s="340"/>
      <c r="V236" s="340"/>
      <c r="W236" s="340"/>
      <c r="X236" s="340"/>
      <c r="Y236" s="340"/>
      <c r="Z236" s="340"/>
      <c r="AA236" s="340"/>
      <c r="AB236" s="340"/>
      <c r="AC236" s="104"/>
      <c r="AD236" s="104"/>
      <c r="AE236" s="104"/>
      <c r="AF236" s="104"/>
      <c r="AH236" s="104"/>
      <c r="AI236" s="104"/>
      <c r="AJ236" s="104"/>
    </row>
    <row r="237" spans="2:36" x14ac:dyDescent="0.6">
      <c r="B237" s="337" t="s">
        <v>346</v>
      </c>
      <c r="C237" s="337"/>
      <c r="D237" s="340"/>
      <c r="E237" s="340"/>
      <c r="F237" s="340"/>
      <c r="G237" s="340">
        <f t="shared" ref="G237:K238" si="57">G203*G$221</f>
        <v>16214.121500000001</v>
      </c>
      <c r="H237" s="340">
        <f t="shared" si="57"/>
        <v>16872.931499999999</v>
      </c>
      <c r="I237" s="340">
        <f t="shared" si="57"/>
        <v>20310.7552</v>
      </c>
      <c r="J237" s="340">
        <f t="shared" si="57"/>
        <v>23774.587199999998</v>
      </c>
      <c r="K237" s="340">
        <f t="shared" si="57"/>
        <v>28833.4598682</v>
      </c>
      <c r="L237" s="340"/>
      <c r="M237" s="340">
        <f t="shared" ref="M237:P238" si="58">M203*M$221</f>
        <v>32300.29866</v>
      </c>
      <c r="N237" s="340">
        <f t="shared" si="58"/>
        <v>37744.797419999995</v>
      </c>
      <c r="O237" s="340">
        <f t="shared" si="58"/>
        <v>42307.359015999995</v>
      </c>
      <c r="P237" s="340">
        <f t="shared" si="58"/>
        <v>49019.520000000004</v>
      </c>
      <c r="Q237" s="340"/>
      <c r="R237" s="340">
        <f>R203*R$221</f>
        <v>52998.439999999995</v>
      </c>
      <c r="S237" s="340">
        <f>S203*S$221</f>
        <v>57776.98</v>
      </c>
      <c r="T237" s="340">
        <f>S237+T231</f>
        <v>62776.98</v>
      </c>
      <c r="U237" s="340">
        <f>U203*U$221</f>
        <v>73879.700014306989</v>
      </c>
      <c r="V237" s="340"/>
      <c r="W237" s="340">
        <f t="shared" ref="W237:X240" si="59">W203*W$221</f>
        <v>76138.581347116822</v>
      </c>
      <c r="X237" s="340">
        <f t="shared" si="59"/>
        <v>83115.325533163326</v>
      </c>
      <c r="Y237" s="340">
        <f>X237+Y231</f>
        <v>89615.325533163326</v>
      </c>
      <c r="Z237" s="340">
        <f>Z203*Z$221</f>
        <v>100262.13180557573</v>
      </c>
      <c r="AA237" s="340"/>
      <c r="AB237" s="340"/>
      <c r="AC237" s="104"/>
      <c r="AD237" s="104"/>
      <c r="AE237" s="104"/>
      <c r="AF237" s="104"/>
      <c r="AH237" s="104"/>
      <c r="AI237" s="104"/>
      <c r="AJ237" s="104"/>
    </row>
    <row r="238" spans="2:36" x14ac:dyDescent="0.6">
      <c r="B238" s="337" t="s">
        <v>218</v>
      </c>
      <c r="C238" s="337"/>
      <c r="D238" s="340"/>
      <c r="E238" s="340"/>
      <c r="F238" s="340"/>
      <c r="G238" s="340">
        <f t="shared" si="57"/>
        <v>1044.8985</v>
      </c>
      <c r="H238" s="340">
        <f t="shared" si="57"/>
        <v>1712.6448</v>
      </c>
      <c r="I238" s="340">
        <f t="shared" si="57"/>
        <v>2942.0032000000001</v>
      </c>
      <c r="J238" s="340">
        <f t="shared" si="57"/>
        <v>4914.9386999999997</v>
      </c>
      <c r="K238" s="340">
        <f t="shared" si="57"/>
        <v>7763.4428268000001</v>
      </c>
      <c r="L238" s="340"/>
      <c r="M238" s="340">
        <f t="shared" si="58"/>
        <v>9515.5500000000011</v>
      </c>
      <c r="N238" s="340">
        <f t="shared" si="58"/>
        <v>10236.23878</v>
      </c>
      <c r="O238" s="340">
        <f t="shared" si="58"/>
        <v>10315.092392500001</v>
      </c>
      <c r="P238" s="340">
        <f t="shared" si="58"/>
        <v>10417.44</v>
      </c>
      <c r="Q238" s="340"/>
      <c r="R238" s="340">
        <f>R204*R$221</f>
        <v>11820.16</v>
      </c>
      <c r="S238" s="340">
        <f>S204*S$221</f>
        <v>13373.68</v>
      </c>
      <c r="T238" s="340">
        <f>S238+T232</f>
        <v>15048.68</v>
      </c>
      <c r="U238" s="340">
        <f>U204*U$221</f>
        <v>18695.837964601029</v>
      </c>
      <c r="V238" s="340"/>
      <c r="W238" s="340">
        <f t="shared" si="59"/>
        <v>19076.740979874579</v>
      </c>
      <c r="X238" s="340">
        <f t="shared" si="59"/>
        <v>20308.406782434176</v>
      </c>
      <c r="Y238" s="340">
        <f>X238+Y232</f>
        <v>22058.406782434176</v>
      </c>
      <c r="Z238" s="340">
        <f>Z204*Z$221</f>
        <v>26122.447063443047</v>
      </c>
      <c r="AA238" s="340"/>
      <c r="AB238" s="340"/>
      <c r="AC238" s="104"/>
      <c r="AD238" s="104"/>
      <c r="AE238" s="104"/>
      <c r="AF238" s="104"/>
      <c r="AH238" s="104"/>
      <c r="AI238" s="104"/>
      <c r="AJ238" s="104"/>
    </row>
    <row r="239" spans="2:36" x14ac:dyDescent="0.6">
      <c r="B239" s="343" t="s">
        <v>420</v>
      </c>
      <c r="C239" s="343"/>
      <c r="D239" s="528"/>
      <c r="E239" s="528"/>
      <c r="F239" s="528"/>
      <c r="G239" s="528"/>
      <c r="H239" s="528"/>
      <c r="I239" s="528"/>
      <c r="J239" s="528"/>
      <c r="K239" s="528"/>
      <c r="L239" s="528"/>
      <c r="M239" s="528"/>
      <c r="N239" s="528"/>
      <c r="O239" s="528"/>
      <c r="P239" s="528"/>
      <c r="Q239" s="528"/>
      <c r="R239" s="528"/>
      <c r="S239" s="528"/>
      <c r="T239" s="528">
        <f>S239+T233</f>
        <v>618.75</v>
      </c>
      <c r="U239" s="528">
        <f>U205*U$221</f>
        <v>1538.6430366717734</v>
      </c>
      <c r="V239" s="528"/>
      <c r="W239" s="528">
        <f t="shared" si="59"/>
        <v>2173.1688648985064</v>
      </c>
      <c r="X239" s="528">
        <f t="shared" si="59"/>
        <v>3173.1688648985064</v>
      </c>
      <c r="Y239" s="528">
        <f>X239+Y233</f>
        <v>4673.1688648985064</v>
      </c>
      <c r="Z239" s="528">
        <f>Z205*Z$221</f>
        <v>6564.8096179624681</v>
      </c>
      <c r="AA239" s="340"/>
      <c r="AB239" s="340"/>
      <c r="AC239" s="104"/>
      <c r="AD239" s="104"/>
      <c r="AE239" s="104"/>
      <c r="AF239" s="104"/>
      <c r="AH239" s="104"/>
      <c r="AI239" s="104"/>
      <c r="AJ239" s="104"/>
    </row>
    <row r="240" spans="2:36" x14ac:dyDescent="0.6">
      <c r="B240" s="337" t="s">
        <v>450</v>
      </c>
      <c r="C240" s="337"/>
      <c r="D240" s="340"/>
      <c r="E240" s="340"/>
      <c r="F240" s="340"/>
      <c r="G240" s="340">
        <f>G206*G$221</f>
        <v>17259.02</v>
      </c>
      <c r="H240" s="340">
        <f>H206*H$221</f>
        <v>18585.576300000001</v>
      </c>
      <c r="I240" s="340">
        <f>I206*I$221</f>
        <v>23252.758399999999</v>
      </c>
      <c r="J240" s="340">
        <f>J206*J$221</f>
        <v>28689.525900000001</v>
      </c>
      <c r="K240" s="340">
        <f>K206*K$221</f>
        <v>36596.902694999997</v>
      </c>
      <c r="L240" s="340"/>
      <c r="M240" s="340">
        <f>M206*M$221</f>
        <v>41815.848660000003</v>
      </c>
      <c r="N240" s="340">
        <f>N206*N$221</f>
        <v>47981.036200000002</v>
      </c>
      <c r="O240" s="340">
        <f>O206*O$221</f>
        <v>52622.451408499997</v>
      </c>
      <c r="P240" s="340">
        <f>P206*P$221</f>
        <v>59436.960000000006</v>
      </c>
      <c r="Q240" s="340"/>
      <c r="R240" s="340">
        <f>R206*R$221</f>
        <v>64818.6</v>
      </c>
      <c r="S240" s="340">
        <f>S206*S$221</f>
        <v>71150.66</v>
      </c>
      <c r="T240" s="340">
        <f>S240+T234</f>
        <v>78444.41</v>
      </c>
      <c r="U240" s="340">
        <f>SUM(U237:U239)</f>
        <v>94114.181015579787</v>
      </c>
      <c r="V240" s="340"/>
      <c r="W240" s="340">
        <f t="shared" si="59"/>
        <v>97388.491191889916</v>
      </c>
      <c r="X240" s="340">
        <f t="shared" si="59"/>
        <v>106596.901180496</v>
      </c>
      <c r="Y240" s="340">
        <f>X240+Y234</f>
        <v>116346.901180496</v>
      </c>
      <c r="Z240" s="340">
        <f>SUM(Z237:Z239)</f>
        <v>132949.38848698125</v>
      </c>
      <c r="AA240" s="340"/>
      <c r="AB240" s="340"/>
      <c r="AC240" s="104"/>
      <c r="AD240" s="104"/>
      <c r="AE240" s="104"/>
      <c r="AF240" s="104"/>
      <c r="AH240" s="104"/>
      <c r="AI240" s="104"/>
      <c r="AJ240" s="104"/>
    </row>
    <row r="241" spans="1:36" x14ac:dyDescent="0.6">
      <c r="B241" s="337"/>
      <c r="C241" s="337"/>
      <c r="D241" s="340"/>
      <c r="E241" s="340"/>
      <c r="F241" s="340"/>
      <c r="G241" s="340"/>
      <c r="H241" s="340"/>
      <c r="I241" s="340"/>
      <c r="J241" s="340"/>
      <c r="K241" s="340"/>
      <c r="L241" s="340"/>
      <c r="M241" s="536"/>
      <c r="N241" s="536"/>
      <c r="O241" s="536"/>
      <c r="P241" s="340"/>
      <c r="Q241" s="340"/>
      <c r="R241" s="340"/>
      <c r="S241" s="340"/>
      <c r="T241" s="340"/>
      <c r="U241" s="340"/>
      <c r="V241" s="340"/>
      <c r="W241" s="340"/>
      <c r="X241" s="340"/>
      <c r="Y241" s="340"/>
      <c r="Z241" s="340"/>
      <c r="AA241" s="340"/>
      <c r="AB241" s="340"/>
      <c r="AC241" s="104"/>
      <c r="AD241" s="104"/>
      <c r="AE241" s="104"/>
      <c r="AF241" s="104"/>
      <c r="AH241" s="104"/>
      <c r="AI241" s="104"/>
      <c r="AJ241" s="104"/>
    </row>
    <row r="242" spans="1:36" x14ac:dyDescent="0.6">
      <c r="B242" s="338" t="s">
        <v>1044</v>
      </c>
      <c r="C242" s="337"/>
      <c r="D242" s="340"/>
      <c r="E242" s="340"/>
      <c r="F242" s="340"/>
      <c r="G242" s="340"/>
      <c r="H242" s="340"/>
      <c r="I242" s="340"/>
      <c r="J242" s="340"/>
      <c r="K242" s="340"/>
      <c r="L242" s="340"/>
      <c r="M242" s="340"/>
      <c r="N242" s="340"/>
      <c r="O242" s="340"/>
      <c r="P242" s="340"/>
      <c r="Q242" s="340"/>
      <c r="R242" s="340"/>
      <c r="S242" s="340"/>
      <c r="T242" s="340"/>
      <c r="U242" s="340"/>
      <c r="V242" s="340"/>
      <c r="W242" s="340"/>
      <c r="X242" s="340"/>
      <c r="Y242" s="340"/>
      <c r="Z242" s="340"/>
      <c r="AA242" s="340"/>
      <c r="AB242" s="340"/>
      <c r="AC242" s="104"/>
      <c r="AD242" s="104"/>
      <c r="AE242" s="104"/>
      <c r="AF242" s="104"/>
      <c r="AH242" s="104"/>
      <c r="AI242" s="104"/>
      <c r="AJ242" s="104"/>
    </row>
    <row r="243" spans="1:36" x14ac:dyDescent="0.6">
      <c r="B243" s="338" t="s">
        <v>180</v>
      </c>
      <c r="C243" s="337"/>
      <c r="D243" s="340"/>
      <c r="E243" s="340"/>
      <c r="F243" s="340"/>
      <c r="G243" s="340"/>
      <c r="H243" s="340"/>
      <c r="I243" s="340"/>
      <c r="J243" s="340"/>
      <c r="K243" s="340"/>
      <c r="L243" s="340"/>
      <c r="M243" s="340"/>
      <c r="N243" s="340"/>
      <c r="O243" s="340"/>
      <c r="P243" s="340"/>
      <c r="Q243" s="340"/>
      <c r="R243" s="340"/>
      <c r="S243" s="340"/>
      <c r="T243" s="340"/>
      <c r="U243" s="340"/>
      <c r="V243" s="340"/>
      <c r="W243" s="340"/>
      <c r="X243" s="340"/>
      <c r="Y243" s="340"/>
      <c r="Z243" s="340"/>
      <c r="AA243" s="340"/>
      <c r="AB243" s="340"/>
      <c r="AC243" s="104"/>
      <c r="AD243" s="104"/>
      <c r="AE243" s="104"/>
      <c r="AF243" s="104"/>
      <c r="AH243" s="104"/>
      <c r="AI243" s="104"/>
      <c r="AJ243" s="104"/>
    </row>
    <row r="244" spans="1:36" x14ac:dyDescent="0.6">
      <c r="B244" s="538" t="s">
        <v>556</v>
      </c>
      <c r="C244" s="337"/>
      <c r="D244" s="340"/>
      <c r="E244" s="340"/>
      <c r="F244" s="340"/>
      <c r="G244" s="340"/>
      <c r="H244" s="542">
        <v>113.747</v>
      </c>
      <c r="I244" s="542">
        <v>68.921999999999997</v>
      </c>
      <c r="J244" s="542">
        <v>126.875</v>
      </c>
      <c r="K244" s="340">
        <f>L244-J244-I244-H244</f>
        <v>150.21499999999997</v>
      </c>
      <c r="L244" s="542">
        <v>459.75900000000001</v>
      </c>
      <c r="M244" s="542">
        <v>303.31299999999999</v>
      </c>
      <c r="N244" s="542">
        <v>294.291</v>
      </c>
      <c r="O244" s="542"/>
      <c r="P244" s="340"/>
      <c r="Q244" s="340"/>
      <c r="R244" s="340"/>
      <c r="S244" s="340"/>
      <c r="T244" s="340" t="e">
        <f>T260*T357</f>
        <v>#REF!</v>
      </c>
      <c r="U244" s="340" t="e">
        <f>U260*U357</f>
        <v>#REF!</v>
      </c>
      <c r="V244" s="340"/>
      <c r="W244" s="340" t="e">
        <f>W260*W357</f>
        <v>#REF!</v>
      </c>
      <c r="X244" s="340" t="e">
        <f>X260*X357</f>
        <v>#REF!</v>
      </c>
      <c r="Y244" s="340" t="e">
        <f>Y260*Y357</f>
        <v>#REF!</v>
      </c>
      <c r="Z244" s="340" t="e">
        <f>Z260*Z357</f>
        <v>#REF!</v>
      </c>
      <c r="AA244" s="340"/>
      <c r="AB244" s="340"/>
      <c r="AC244" s="104"/>
      <c r="AD244" s="104"/>
      <c r="AE244" s="104"/>
      <c r="AF244" s="104"/>
      <c r="AH244" s="104"/>
      <c r="AI244" s="104"/>
      <c r="AJ244" s="104"/>
    </row>
    <row r="245" spans="1:36" s="84" customFormat="1" x14ac:dyDescent="0.6">
      <c r="A245"/>
      <c r="B245" s="539" t="s">
        <v>557</v>
      </c>
      <c r="C245" s="343"/>
      <c r="D245" s="528"/>
      <c r="E245" s="528"/>
      <c r="F245" s="528"/>
      <c r="G245" s="528"/>
      <c r="H245" s="543">
        <v>-55.731000000000002</v>
      </c>
      <c r="I245" s="543">
        <v>-9.9920000000000009</v>
      </c>
      <c r="J245" s="543">
        <v>-40.728000000000002</v>
      </c>
      <c r="K245" s="528">
        <f>L245-J245-I245-H245</f>
        <v>-41.706999999999972</v>
      </c>
      <c r="L245" s="543">
        <v>-148.15799999999999</v>
      </c>
      <c r="M245" s="543">
        <v>-133.25700000000001</v>
      </c>
      <c r="N245" s="543">
        <v>-71.617000000000004</v>
      </c>
      <c r="O245" s="543"/>
      <c r="P245" s="528"/>
      <c r="Q245" s="528"/>
      <c r="R245" s="528"/>
      <c r="S245" s="528"/>
      <c r="T245" s="528" t="e">
        <f>T261*#REF!</f>
        <v>#REF!</v>
      </c>
      <c r="U245" s="528" t="e">
        <f>U261*T347</f>
        <v>#REF!</v>
      </c>
      <c r="V245" s="528"/>
      <c r="W245" s="528" t="e">
        <f>W261*V347</f>
        <v>#REF!</v>
      </c>
      <c r="X245" s="528" t="e">
        <f>X261*W347</f>
        <v>#REF!</v>
      </c>
      <c r="Y245" s="528" t="e">
        <f>Y261*X347</f>
        <v>#REF!</v>
      </c>
      <c r="Z245" s="528" t="e">
        <f>Z261*Y347</f>
        <v>#REF!</v>
      </c>
      <c r="AA245" s="528"/>
      <c r="AB245" s="528"/>
      <c r="AC245" s="529"/>
      <c r="AD245" s="529"/>
      <c r="AE245" s="529"/>
      <c r="AF245" s="529"/>
      <c r="AH245" s="529"/>
      <c r="AI245" s="529"/>
      <c r="AJ245" s="529"/>
    </row>
    <row r="246" spans="1:36" x14ac:dyDescent="0.6">
      <c r="B246" s="338" t="s">
        <v>1042</v>
      </c>
      <c r="C246" s="337"/>
      <c r="D246" s="340"/>
      <c r="E246" s="340"/>
      <c r="F246" s="340"/>
      <c r="G246" s="340"/>
      <c r="H246" s="340">
        <f>SUM(H244:H245)</f>
        <v>58.015999999999998</v>
      </c>
      <c r="I246" s="340">
        <f>SUM(I244:I245)</f>
        <v>58.929999999999993</v>
      </c>
      <c r="J246" s="340">
        <f>SUM(J244:J245)</f>
        <v>86.146999999999991</v>
      </c>
      <c r="K246" s="340">
        <f>L246-J246-I246-H246</f>
        <v>108.50800000000001</v>
      </c>
      <c r="L246" s="340">
        <f>SUM(L244:L245)</f>
        <v>311.601</v>
      </c>
      <c r="M246" s="340">
        <f>SUM(M244:M245)</f>
        <v>170.05599999999998</v>
      </c>
      <c r="N246" s="340">
        <f>SUM(N244:N245)</f>
        <v>222.67399999999998</v>
      </c>
      <c r="O246" s="340">
        <f>SUM(O244:O245)</f>
        <v>0</v>
      </c>
      <c r="P246" s="340"/>
      <c r="Q246" s="340"/>
      <c r="R246" s="340"/>
      <c r="S246" s="340"/>
      <c r="T246" s="340" t="e">
        <f>SUM(T244:T245)</f>
        <v>#REF!</v>
      </c>
      <c r="U246" s="340" t="e">
        <f>SUM(U244:U245)</f>
        <v>#REF!</v>
      </c>
      <c r="V246" s="340"/>
      <c r="W246" s="340" t="e">
        <f>SUM(W244:W245)</f>
        <v>#REF!</v>
      </c>
      <c r="X246" s="340" t="e">
        <f>SUM(X244:X245)</f>
        <v>#REF!</v>
      </c>
      <c r="Y246" s="340" t="e">
        <f>SUM(Y244:Y245)</f>
        <v>#REF!</v>
      </c>
      <c r="Z246" s="340" t="e">
        <f>SUM(Z244:Z245)</f>
        <v>#REF!</v>
      </c>
      <c r="AA246" s="340"/>
      <c r="AB246" s="340"/>
      <c r="AC246" s="104"/>
      <c r="AD246" s="104"/>
      <c r="AE246" s="104"/>
      <c r="AF246" s="104"/>
      <c r="AH246" s="104"/>
      <c r="AI246" s="104"/>
      <c r="AJ246" s="104"/>
    </row>
    <row r="247" spans="1:36" s="84" customFormat="1" x14ac:dyDescent="0.6">
      <c r="A247"/>
      <c r="B247" s="343" t="s">
        <v>559</v>
      </c>
      <c r="C247" s="343"/>
      <c r="D247" s="528"/>
      <c r="E247" s="528"/>
      <c r="F247" s="528"/>
      <c r="G247" s="528"/>
      <c r="H247" s="543">
        <v>-5.8680000000000003</v>
      </c>
      <c r="I247" s="543">
        <v>-5.8109999999999999</v>
      </c>
      <c r="J247" s="543">
        <v>-6.4</v>
      </c>
      <c r="K247" s="528">
        <f>L247-J247-I247-H247</f>
        <v>-4.4150000000000009</v>
      </c>
      <c r="L247" s="543">
        <v>-22.494</v>
      </c>
      <c r="M247" s="543">
        <v>-3.5449999999999999</v>
      </c>
      <c r="N247" s="543">
        <v>-6.2089999999999996</v>
      </c>
      <c r="O247" s="543"/>
      <c r="P247" s="531"/>
      <c r="Q247" s="528"/>
      <c r="R247" s="528"/>
      <c r="S247" s="528"/>
      <c r="T247" s="531">
        <v>-4</v>
      </c>
      <c r="U247" s="531">
        <v>-4</v>
      </c>
      <c r="V247" s="528"/>
      <c r="W247" s="531">
        <v>-4</v>
      </c>
      <c r="X247" s="531">
        <v>-4</v>
      </c>
      <c r="Y247" s="531">
        <v>-4</v>
      </c>
      <c r="Z247" s="531">
        <v>-4</v>
      </c>
      <c r="AA247" s="528"/>
      <c r="AB247" s="528"/>
      <c r="AC247" s="529"/>
      <c r="AD247" s="529"/>
      <c r="AE247" s="529"/>
      <c r="AF247" s="529"/>
      <c r="AH247" s="529"/>
      <c r="AI247" s="529"/>
      <c r="AJ247" s="529"/>
    </row>
    <row r="248" spans="1:36" x14ac:dyDescent="0.6">
      <c r="B248" s="338" t="s">
        <v>106</v>
      </c>
      <c r="C248" s="337"/>
      <c r="D248" s="340"/>
      <c r="E248" s="340"/>
      <c r="F248" s="340"/>
      <c r="G248" s="340"/>
      <c r="H248" s="340">
        <f>SUM(H246:H247)</f>
        <v>52.147999999999996</v>
      </c>
      <c r="I248" s="340">
        <f>SUM(I246:I247)</f>
        <v>53.118999999999993</v>
      </c>
      <c r="J248" s="340">
        <f>SUM(J246:J247)</f>
        <v>79.746999999999986</v>
      </c>
      <c r="K248" s="340">
        <f>L248-J248-I248-H248</f>
        <v>104.09299999999999</v>
      </c>
      <c r="L248" s="340">
        <f>SUM(L246:L247)</f>
        <v>289.10699999999997</v>
      </c>
      <c r="M248" s="340">
        <f>SUM(M246:M247)</f>
        <v>166.511</v>
      </c>
      <c r="N248" s="340">
        <f>SUM(N246:N247)</f>
        <v>216.46499999999997</v>
      </c>
      <c r="O248" s="340">
        <f>SUM(O246:O247)</f>
        <v>0</v>
      </c>
      <c r="P248" s="340"/>
      <c r="Q248" s="340"/>
      <c r="R248" s="340"/>
      <c r="S248" s="340"/>
      <c r="T248" s="340" t="e">
        <f>SUM(T246:T247)</f>
        <v>#REF!</v>
      </c>
      <c r="U248" s="340" t="e">
        <f>SUM(U246:U247)</f>
        <v>#REF!</v>
      </c>
      <c r="V248" s="340"/>
      <c r="W248" s="340" t="e">
        <f>SUM(W246:W247)</f>
        <v>#REF!</v>
      </c>
      <c r="X248" s="340" t="e">
        <f>SUM(X246:X247)</f>
        <v>#REF!</v>
      </c>
      <c r="Y248" s="340" t="e">
        <f>SUM(Y246:Y247)</f>
        <v>#REF!</v>
      </c>
      <c r="Z248" s="340" t="e">
        <f>SUM(Z246:Z247)</f>
        <v>#REF!</v>
      </c>
      <c r="AA248" s="340"/>
      <c r="AB248" s="340"/>
      <c r="AC248" s="104"/>
      <c r="AD248" s="104"/>
      <c r="AE248" s="104"/>
      <c r="AF248" s="104"/>
      <c r="AH248" s="104"/>
      <c r="AI248" s="104"/>
      <c r="AJ248" s="104"/>
    </row>
    <row r="249" spans="1:36" x14ac:dyDescent="0.6">
      <c r="B249" s="337"/>
      <c r="C249" s="337"/>
      <c r="D249" s="340"/>
      <c r="E249" s="340"/>
      <c r="F249" s="340"/>
      <c r="G249" s="340"/>
      <c r="H249" s="340"/>
      <c r="I249" s="340"/>
      <c r="J249" s="340"/>
      <c r="K249" s="340"/>
      <c r="L249" s="340"/>
      <c r="M249" s="340"/>
      <c r="N249" s="340"/>
      <c r="O249" s="340"/>
      <c r="P249" s="340"/>
      <c r="Q249" s="340"/>
      <c r="R249" s="340"/>
      <c r="S249" s="340"/>
      <c r="T249" s="340"/>
      <c r="U249" s="340"/>
      <c r="V249" s="340"/>
      <c r="W249" s="340"/>
      <c r="X249" s="340"/>
      <c r="Y249" s="340"/>
      <c r="Z249" s="340"/>
      <c r="AA249" s="340"/>
      <c r="AB249" s="340"/>
      <c r="AC249" s="104"/>
      <c r="AD249" s="104"/>
      <c r="AE249" s="104"/>
      <c r="AF249" s="104"/>
      <c r="AH249" s="104"/>
      <c r="AI249" s="104"/>
      <c r="AJ249" s="104"/>
    </row>
    <row r="250" spans="1:36" x14ac:dyDescent="0.6">
      <c r="B250" s="338" t="s">
        <v>218</v>
      </c>
      <c r="C250" s="337"/>
      <c r="D250" s="340"/>
      <c r="E250" s="340"/>
      <c r="F250" s="340"/>
      <c r="G250" s="340"/>
      <c r="H250" s="340"/>
      <c r="I250" s="340"/>
      <c r="J250" s="340"/>
      <c r="K250" s="340"/>
      <c r="L250" s="340"/>
      <c r="M250" s="340"/>
      <c r="N250" s="340"/>
      <c r="O250" s="340"/>
      <c r="P250" s="340"/>
      <c r="Q250" s="340"/>
      <c r="R250" s="340"/>
      <c r="S250" s="340"/>
      <c r="T250" s="340"/>
      <c r="U250" s="340"/>
      <c r="V250" s="340"/>
      <c r="W250" s="340"/>
      <c r="X250" s="340"/>
      <c r="Y250" s="340"/>
      <c r="Z250" s="340"/>
      <c r="AA250" s="340"/>
      <c r="AB250" s="340"/>
      <c r="AC250" s="104"/>
      <c r="AD250" s="104"/>
      <c r="AE250" s="104"/>
      <c r="AF250" s="104"/>
      <c r="AH250" s="104"/>
      <c r="AI250" s="104"/>
      <c r="AJ250" s="104"/>
    </row>
    <row r="251" spans="1:36" x14ac:dyDescent="0.6">
      <c r="B251" s="538" t="s">
        <v>556</v>
      </c>
      <c r="C251" s="337"/>
      <c r="D251" s="340"/>
      <c r="E251" s="340"/>
      <c r="F251" s="340"/>
      <c r="G251" s="340"/>
      <c r="H251" s="542">
        <v>28.798999999999999</v>
      </c>
      <c r="I251" s="542">
        <v>35.643999999999998</v>
      </c>
      <c r="J251" s="542">
        <v>67.611999999999995</v>
      </c>
      <c r="K251" s="340">
        <f>L251-J251-I251-H251</f>
        <v>113.989</v>
      </c>
      <c r="L251" s="542">
        <v>246.04400000000001</v>
      </c>
      <c r="M251" s="542">
        <v>181.959</v>
      </c>
      <c r="N251" s="542">
        <v>157.75899999999999</v>
      </c>
      <c r="O251" s="542"/>
      <c r="P251" s="340"/>
      <c r="Q251" s="340"/>
      <c r="R251" s="340"/>
      <c r="S251" s="340"/>
      <c r="T251" s="340" t="e">
        <f>T264*T358</f>
        <v>#REF!</v>
      </c>
      <c r="U251" s="340" t="e">
        <f>U264*U358</f>
        <v>#REF!</v>
      </c>
      <c r="V251" s="340"/>
      <c r="W251" s="340" t="e">
        <f>W264*W358</f>
        <v>#REF!</v>
      </c>
      <c r="X251" s="340" t="e">
        <f>X264*X358</f>
        <v>#REF!</v>
      </c>
      <c r="Y251" s="340" t="e">
        <f>Y264*Y358</f>
        <v>#REF!</v>
      </c>
      <c r="Z251" s="340" t="e">
        <f>Z264*Z358</f>
        <v>#REF!</v>
      </c>
      <c r="AA251" s="340"/>
      <c r="AB251" s="340"/>
      <c r="AC251" s="104"/>
      <c r="AD251" s="104"/>
      <c r="AE251" s="104"/>
      <c r="AF251" s="104"/>
      <c r="AH251" s="104"/>
      <c r="AI251" s="104"/>
      <c r="AJ251" s="104"/>
    </row>
    <row r="252" spans="1:36" s="84" customFormat="1" x14ac:dyDescent="0.6">
      <c r="A252"/>
      <c r="B252" s="539" t="s">
        <v>557</v>
      </c>
      <c r="C252" s="343"/>
      <c r="D252" s="528"/>
      <c r="E252" s="528"/>
      <c r="F252" s="528"/>
      <c r="G252" s="528"/>
      <c r="H252" s="543">
        <v>-9.6050000000000004</v>
      </c>
      <c r="I252" s="543">
        <v>-5.9690000000000003</v>
      </c>
      <c r="J252" s="543">
        <v>-20.170000000000002</v>
      </c>
      <c r="K252" s="528">
        <f>L252-J252-I252-H252</f>
        <v>-18.221999999999998</v>
      </c>
      <c r="L252" s="543">
        <v>-53.966000000000001</v>
      </c>
      <c r="M252" s="543">
        <v>-72.525999999999996</v>
      </c>
      <c r="N252" s="543">
        <v>-34.686999999999998</v>
      </c>
      <c r="O252" s="543"/>
      <c r="P252" s="528"/>
      <c r="Q252" s="528"/>
      <c r="R252" s="528"/>
      <c r="S252" s="528"/>
      <c r="T252" s="528" t="e">
        <f>T265*#REF!</f>
        <v>#REF!</v>
      </c>
      <c r="U252" s="528" t="e">
        <f>U265*T348</f>
        <v>#REF!</v>
      </c>
      <c r="V252" s="528"/>
      <c r="W252" s="528" t="e">
        <f>W265*V348</f>
        <v>#REF!</v>
      </c>
      <c r="X252" s="528" t="e">
        <f>X265*W348</f>
        <v>#REF!</v>
      </c>
      <c r="Y252" s="528" t="e">
        <f>Y265*X348</f>
        <v>#REF!</v>
      </c>
      <c r="Z252" s="528" t="e">
        <f>Z265*Y348</f>
        <v>#REF!</v>
      </c>
      <c r="AA252" s="528"/>
      <c r="AB252" s="528"/>
      <c r="AC252" s="529"/>
      <c r="AD252" s="529"/>
      <c r="AE252" s="529"/>
      <c r="AF252" s="529"/>
      <c r="AH252" s="529"/>
      <c r="AI252" s="529"/>
      <c r="AJ252" s="529"/>
    </row>
    <row r="253" spans="1:36" x14ac:dyDescent="0.6">
      <c r="B253" s="338" t="s">
        <v>1042</v>
      </c>
      <c r="C253" s="337"/>
      <c r="D253" s="340"/>
      <c r="E253" s="340"/>
      <c r="F253" s="340"/>
      <c r="G253" s="340"/>
      <c r="H253" s="340">
        <f>SUM(H251:H252)</f>
        <v>19.193999999999999</v>
      </c>
      <c r="I253" s="340">
        <f>SUM(I251:I252)</f>
        <v>29.674999999999997</v>
      </c>
      <c r="J253" s="340">
        <f>SUM(J251:J252)</f>
        <v>47.441999999999993</v>
      </c>
      <c r="K253" s="340">
        <f>L253-J253-I253-H253</f>
        <v>95.767000000000024</v>
      </c>
      <c r="L253" s="340">
        <f>SUM(L251:L252)</f>
        <v>192.078</v>
      </c>
      <c r="M253" s="340">
        <f>SUM(M251:M252)</f>
        <v>109.43300000000001</v>
      </c>
      <c r="N253" s="340">
        <f>SUM(N251:N252)</f>
        <v>123.07199999999999</v>
      </c>
      <c r="O253" s="340">
        <f>SUM(O251:O252)</f>
        <v>0</v>
      </c>
      <c r="P253" s="340"/>
      <c r="Q253" s="340"/>
      <c r="R253" s="340"/>
      <c r="S253" s="340"/>
      <c r="T253" s="340" t="e">
        <f>SUM(T251:T252)</f>
        <v>#REF!</v>
      </c>
      <c r="U253" s="340" t="e">
        <f>SUM(U251:U252)</f>
        <v>#REF!</v>
      </c>
      <c r="V253" s="340"/>
      <c r="W253" s="340" t="e">
        <f>SUM(W251:W252)</f>
        <v>#REF!</v>
      </c>
      <c r="X253" s="340" t="e">
        <f>SUM(X251:X252)</f>
        <v>#REF!</v>
      </c>
      <c r="Y253" s="340" t="e">
        <f>SUM(Y251:Y252)</f>
        <v>#REF!</v>
      </c>
      <c r="Z253" s="340" t="e">
        <f>SUM(Z251:Z252)</f>
        <v>#REF!</v>
      </c>
      <c r="AA253" s="340"/>
      <c r="AB253" s="340"/>
      <c r="AC253" s="104"/>
      <c r="AD253" s="104"/>
      <c r="AE253" s="104"/>
      <c r="AF253" s="104"/>
      <c r="AH253" s="104"/>
      <c r="AI253" s="104"/>
      <c r="AJ253" s="104"/>
    </row>
    <row r="254" spans="1:36" s="84" customFormat="1" x14ac:dyDescent="0.6">
      <c r="A254"/>
      <c r="B254" s="343" t="s">
        <v>559</v>
      </c>
      <c r="C254" s="343"/>
      <c r="D254" s="528"/>
      <c r="E254" s="528"/>
      <c r="F254" s="528"/>
      <c r="G254" s="528"/>
      <c r="H254" s="543">
        <v>-4.8000000000000001E-2</v>
      </c>
      <c r="I254" s="543">
        <v>-0.126</v>
      </c>
      <c r="J254" s="543">
        <v>-0.184</v>
      </c>
      <c r="K254" s="528">
        <f>L254-J254-I254-H254</f>
        <v>-0.18400000000000005</v>
      </c>
      <c r="L254" s="543">
        <v>-0.54200000000000004</v>
      </c>
      <c r="M254" s="543">
        <v>-0.222</v>
      </c>
      <c r="N254" s="543">
        <v>-0.995</v>
      </c>
      <c r="O254" s="543"/>
      <c r="P254" s="531"/>
      <c r="Q254" s="528"/>
      <c r="R254" s="528"/>
      <c r="S254" s="528"/>
      <c r="T254" s="531">
        <v>0</v>
      </c>
      <c r="U254" s="531">
        <v>0</v>
      </c>
      <c r="V254" s="528"/>
      <c r="W254" s="531">
        <v>0</v>
      </c>
      <c r="X254" s="531">
        <v>0</v>
      </c>
      <c r="Y254" s="531">
        <v>0</v>
      </c>
      <c r="Z254" s="531">
        <v>0</v>
      </c>
      <c r="AA254" s="528"/>
      <c r="AB254" s="528"/>
      <c r="AC254" s="529"/>
      <c r="AD254" s="529"/>
      <c r="AE254" s="529"/>
      <c r="AF254" s="529"/>
      <c r="AH254" s="529"/>
      <c r="AI254" s="529"/>
      <c r="AJ254" s="529"/>
    </row>
    <row r="255" spans="1:36" x14ac:dyDescent="0.6">
      <c r="B255" s="338" t="s">
        <v>1055</v>
      </c>
      <c r="C255" s="337"/>
      <c r="D255" s="340"/>
      <c r="E255" s="340"/>
      <c r="F255" s="340"/>
      <c r="G255" s="340"/>
      <c r="H255" s="340">
        <f>SUM(H253:H254)</f>
        <v>19.146000000000001</v>
      </c>
      <c r="I255" s="340">
        <f>SUM(I253:I254)</f>
        <v>29.548999999999996</v>
      </c>
      <c r="J255" s="340">
        <f>SUM(J253:J254)</f>
        <v>47.257999999999996</v>
      </c>
      <c r="K255" s="340">
        <f>L255-J255-I255-H255</f>
        <v>95.583000000000027</v>
      </c>
      <c r="L255" s="340">
        <f>SUM(L253:L254)</f>
        <v>191.536</v>
      </c>
      <c r="M255" s="340">
        <f>SUM(M253:M254)</f>
        <v>109.21100000000001</v>
      </c>
      <c r="N255" s="340">
        <f>SUM(N253:N254)</f>
        <v>122.07699999999998</v>
      </c>
      <c r="O255" s="340">
        <f>SUM(O253:O254)</f>
        <v>0</v>
      </c>
      <c r="P255" s="340"/>
      <c r="Q255" s="340"/>
      <c r="R255" s="340"/>
      <c r="S255" s="340"/>
      <c r="T255" s="340" t="e">
        <f>SUM(T253:T254)</f>
        <v>#REF!</v>
      </c>
      <c r="U255" s="340" t="e">
        <f>SUM(U253:U254)</f>
        <v>#REF!</v>
      </c>
      <c r="V255" s="340"/>
      <c r="W255" s="340" t="e">
        <f>SUM(W253:W254)</f>
        <v>#REF!</v>
      </c>
      <c r="X255" s="340" t="e">
        <f>SUM(X253:X254)</f>
        <v>#REF!</v>
      </c>
      <c r="Y255" s="340" t="e">
        <f>SUM(Y253:Y254)</f>
        <v>#REF!</v>
      </c>
      <c r="Z255" s="340" t="e">
        <f>SUM(Z253:Z254)</f>
        <v>#REF!</v>
      </c>
      <c r="AA255" s="340"/>
      <c r="AB255" s="340"/>
      <c r="AC255" s="104"/>
      <c r="AD255" s="104"/>
      <c r="AE255" s="104"/>
      <c r="AF255" s="104"/>
      <c r="AH255" s="104"/>
      <c r="AI255" s="104"/>
      <c r="AJ255" s="104"/>
    </row>
    <row r="256" spans="1:36" x14ac:dyDescent="0.6">
      <c r="B256" s="337"/>
      <c r="C256" s="337"/>
      <c r="D256" s="340"/>
      <c r="E256" s="340"/>
      <c r="F256" s="340"/>
      <c r="G256" s="340"/>
      <c r="H256" s="340"/>
      <c r="I256" s="340"/>
      <c r="J256" s="340"/>
      <c r="K256" s="340"/>
      <c r="L256" s="340"/>
      <c r="M256" s="340"/>
      <c r="N256" s="340"/>
      <c r="O256" s="340"/>
      <c r="P256" s="340"/>
      <c r="Q256" s="340"/>
      <c r="R256" s="340"/>
      <c r="S256" s="340"/>
      <c r="T256" s="340"/>
      <c r="U256" s="340"/>
      <c r="V256" s="340"/>
      <c r="W256" s="340"/>
      <c r="X256" s="340"/>
      <c r="Y256" s="340"/>
      <c r="Z256" s="340"/>
      <c r="AA256" s="340"/>
      <c r="AB256" s="340"/>
      <c r="AC256" s="104"/>
      <c r="AD256" s="104"/>
      <c r="AE256" s="104"/>
      <c r="AF256" s="104"/>
      <c r="AH256" s="104"/>
      <c r="AI256" s="104"/>
      <c r="AJ256" s="104"/>
    </row>
    <row r="257" spans="1:36" s="20" customFormat="1" x14ac:dyDescent="0.6">
      <c r="B257" s="338" t="s">
        <v>1043</v>
      </c>
      <c r="C257" s="338"/>
      <c r="D257" s="339"/>
      <c r="E257" s="339"/>
      <c r="F257" s="339"/>
      <c r="G257" s="339"/>
      <c r="H257" s="339">
        <f t="shared" ref="H257:O257" si="60">H38</f>
        <v>-71.3</v>
      </c>
      <c r="I257" s="339">
        <f t="shared" si="60"/>
        <v>-82.7</v>
      </c>
      <c r="J257" s="339">
        <f t="shared" si="60"/>
        <v>-127</v>
      </c>
      <c r="K257" s="339">
        <f t="shared" si="60"/>
        <v>-199.63400000000001</v>
      </c>
      <c r="L257" s="339">
        <f t="shared" si="60"/>
        <v>-480.64299999999997</v>
      </c>
      <c r="M257" s="339">
        <f t="shared" si="60"/>
        <v>-275.72199999999998</v>
      </c>
      <c r="N257" s="339">
        <f t="shared" si="60"/>
        <v>-338.49200000000002</v>
      </c>
      <c r="O257" s="339">
        <f t="shared" si="60"/>
        <v>-375.5</v>
      </c>
      <c r="P257" s="339"/>
      <c r="Q257" s="541"/>
      <c r="R257" s="541"/>
      <c r="S257" s="541"/>
      <c r="T257" s="339" t="e">
        <f>-(T255+T248)</f>
        <v>#REF!</v>
      </c>
      <c r="U257" s="339" t="e">
        <f>-(U255+U248)</f>
        <v>#REF!</v>
      </c>
      <c r="V257" s="541"/>
      <c r="W257" s="339" t="e">
        <f>-(W255+W248)</f>
        <v>#REF!</v>
      </c>
      <c r="X257" s="339" t="e">
        <f>-(X255+X248)</f>
        <v>#REF!</v>
      </c>
      <c r="Y257" s="339" t="e">
        <f>-(Y255+Y248)</f>
        <v>#REF!</v>
      </c>
      <c r="Z257" s="339" t="e">
        <f>-(Z255+Z248)</f>
        <v>#REF!</v>
      </c>
      <c r="AA257" s="541"/>
      <c r="AB257" s="339"/>
      <c r="AC257" s="540"/>
      <c r="AD257" s="540"/>
      <c r="AE257" s="540"/>
      <c r="AF257" s="540"/>
      <c r="AH257" s="540"/>
      <c r="AI257" s="540"/>
      <c r="AJ257" s="540"/>
    </row>
    <row r="258" spans="1:36" s="20" customFormat="1" x14ac:dyDescent="0.6">
      <c r="B258" s="338"/>
      <c r="C258" s="338"/>
      <c r="D258" s="339"/>
      <c r="E258" s="339"/>
      <c r="F258" s="339"/>
      <c r="G258" s="339"/>
      <c r="H258" s="541"/>
      <c r="I258" s="541"/>
      <c r="J258" s="541"/>
      <c r="K258" s="541"/>
      <c r="L258" s="541"/>
      <c r="M258" s="541"/>
      <c r="N258" s="541"/>
      <c r="O258" s="541"/>
      <c r="P258" s="339"/>
      <c r="Q258" s="339"/>
      <c r="R258" s="339"/>
      <c r="S258" s="339"/>
      <c r="T258" s="339"/>
      <c r="U258" s="339"/>
      <c r="V258" s="339"/>
      <c r="W258" s="339"/>
      <c r="X258" s="339"/>
      <c r="Y258" s="339"/>
      <c r="Z258" s="339"/>
      <c r="AA258" s="339"/>
      <c r="AB258" s="339"/>
      <c r="AC258" s="540"/>
      <c r="AD258" s="540"/>
      <c r="AE258" s="540"/>
      <c r="AF258" s="540"/>
      <c r="AH258" s="540"/>
      <c r="AI258" s="540"/>
      <c r="AJ258" s="540"/>
    </row>
    <row r="259" spans="1:36" s="20" customFormat="1" x14ac:dyDescent="0.6">
      <c r="B259" s="338" t="s">
        <v>180</v>
      </c>
      <c r="C259" s="338"/>
      <c r="D259" s="339"/>
      <c r="E259" s="339"/>
      <c r="F259" s="339"/>
      <c r="G259" s="339"/>
      <c r="H259" s="541"/>
      <c r="I259" s="541"/>
      <c r="J259" s="541"/>
      <c r="K259" s="541"/>
      <c r="L259" s="541"/>
      <c r="M259" s="541"/>
      <c r="N259" s="541"/>
      <c r="O259" s="541"/>
      <c r="P259" s="339"/>
      <c r="Q259" s="339"/>
      <c r="R259" s="339"/>
      <c r="S259" s="339"/>
      <c r="T259" s="339"/>
      <c r="U259" s="339"/>
      <c r="V259" s="339"/>
      <c r="W259" s="339"/>
      <c r="X259" s="339"/>
      <c r="Y259" s="339"/>
      <c r="Z259" s="339"/>
      <c r="AA259" s="339"/>
      <c r="AB259" s="339"/>
      <c r="AC259" s="540"/>
      <c r="AD259" s="540"/>
      <c r="AE259" s="540"/>
      <c r="AF259" s="540"/>
      <c r="AH259" s="540"/>
      <c r="AI259" s="540"/>
      <c r="AJ259" s="540"/>
    </row>
    <row r="260" spans="1:36" s="20" customFormat="1" x14ac:dyDescent="0.6">
      <c r="B260" s="538" t="s">
        <v>1045</v>
      </c>
      <c r="C260" s="338"/>
      <c r="D260" s="339"/>
      <c r="E260" s="339"/>
      <c r="F260" s="339"/>
      <c r="G260" s="339"/>
      <c r="H260" s="536">
        <f>H244/H357</f>
        <v>7.7735218278018089E-2</v>
      </c>
      <c r="I260" s="536">
        <f>I244/I357</f>
        <v>2.6280231765007881E-2</v>
      </c>
      <c r="J260" s="536">
        <f>J244/J357</f>
        <v>5.2919515571646876E-2</v>
      </c>
      <c r="K260" s="536">
        <f>K244/K357</f>
        <v>4.9078351273436974E-2</v>
      </c>
      <c r="L260" s="536"/>
      <c r="M260" s="536">
        <f>M244/M357</f>
        <v>7.1571829790801206E-2</v>
      </c>
      <c r="N260" s="536">
        <f>N244/N357</f>
        <v>8.0649584518374867E-2</v>
      </c>
      <c r="O260" s="536">
        <f>O244/O357</f>
        <v>0</v>
      </c>
      <c r="P260" s="546"/>
      <c r="Q260" s="339"/>
      <c r="R260" s="339"/>
      <c r="S260" s="339"/>
      <c r="T260" s="546" t="e">
        <f>#REF!</f>
        <v>#REF!</v>
      </c>
      <c r="U260" s="546" t="e">
        <f>T260</f>
        <v>#REF!</v>
      </c>
      <c r="V260" s="339"/>
      <c r="W260" s="546" t="e">
        <f>U260</f>
        <v>#REF!</v>
      </c>
      <c r="X260" s="546" t="e">
        <f t="shared" ref="X260:Z261" si="61">W260</f>
        <v>#REF!</v>
      </c>
      <c r="Y260" s="546" t="e">
        <f t="shared" si="61"/>
        <v>#REF!</v>
      </c>
      <c r="Z260" s="546" t="e">
        <f t="shared" si="61"/>
        <v>#REF!</v>
      </c>
      <c r="AA260" s="339"/>
      <c r="AB260" s="339"/>
      <c r="AC260" s="540"/>
      <c r="AD260" s="540"/>
      <c r="AE260" s="540"/>
      <c r="AF260" s="540"/>
      <c r="AH260" s="540"/>
      <c r="AI260" s="540"/>
      <c r="AJ260" s="540"/>
    </row>
    <row r="261" spans="1:36" s="235" customFormat="1" x14ac:dyDescent="0.6">
      <c r="A261" s="20"/>
      <c r="B261" s="539" t="s">
        <v>1046</v>
      </c>
      <c r="C261" s="341"/>
      <c r="D261" s="342"/>
      <c r="E261" s="342"/>
      <c r="F261" s="342"/>
      <c r="G261" s="342"/>
      <c r="H261" s="537"/>
      <c r="I261" s="537"/>
      <c r="J261" s="537">
        <f>J245/I347</f>
        <v>-9.9652556887692683E-3</v>
      </c>
      <c r="K261" s="537">
        <f>K245/J347</f>
        <v>-9.5483058608058537E-3</v>
      </c>
      <c r="L261" s="537"/>
      <c r="M261" s="537">
        <f>M245/K347</f>
        <v>-2.5769171788483827E-2</v>
      </c>
      <c r="N261" s="537">
        <f>N245/N347</f>
        <v>-9.9803269787955857E-3</v>
      </c>
      <c r="O261" s="537">
        <f>O245/O347</f>
        <v>0</v>
      </c>
      <c r="P261" s="547"/>
      <c r="Q261" s="342"/>
      <c r="R261" s="342"/>
      <c r="S261" s="342"/>
      <c r="T261" s="547" t="e">
        <f>#REF!</f>
        <v>#REF!</v>
      </c>
      <c r="U261" s="547" t="e">
        <f>T261</f>
        <v>#REF!</v>
      </c>
      <c r="V261" s="342"/>
      <c r="W261" s="547" t="e">
        <f>U261</f>
        <v>#REF!</v>
      </c>
      <c r="X261" s="547" t="e">
        <f t="shared" si="61"/>
        <v>#REF!</v>
      </c>
      <c r="Y261" s="547" t="e">
        <f t="shared" si="61"/>
        <v>#REF!</v>
      </c>
      <c r="Z261" s="547" t="e">
        <f t="shared" si="61"/>
        <v>#REF!</v>
      </c>
      <c r="AA261" s="342"/>
      <c r="AB261" s="342"/>
      <c r="AC261" s="544"/>
      <c r="AD261" s="544"/>
      <c r="AE261" s="544"/>
      <c r="AF261" s="544"/>
      <c r="AH261" s="544"/>
      <c r="AI261" s="544"/>
      <c r="AJ261" s="544"/>
    </row>
    <row r="262" spans="1:36" s="20" customFormat="1" x14ac:dyDescent="0.6">
      <c r="B262" s="337"/>
      <c r="C262" s="338"/>
      <c r="D262" s="339"/>
      <c r="E262" s="339"/>
      <c r="F262" s="339"/>
      <c r="G262" s="339"/>
      <c r="H262" s="541"/>
      <c r="I262" s="541"/>
      <c r="J262" s="541"/>
      <c r="K262" s="541"/>
      <c r="L262" s="541"/>
      <c r="M262" s="541"/>
      <c r="N262" s="541"/>
      <c r="O262" s="541"/>
      <c r="P262" s="339"/>
      <c r="Q262" s="339"/>
      <c r="R262" s="339"/>
      <c r="S262" s="339"/>
      <c r="T262" s="339"/>
      <c r="U262" s="339"/>
      <c r="V262" s="339"/>
      <c r="W262" s="339"/>
      <c r="X262" s="339"/>
      <c r="Y262" s="339"/>
      <c r="Z262" s="339"/>
      <c r="AA262" s="339"/>
      <c r="AB262" s="339"/>
      <c r="AC262" s="540"/>
      <c r="AD262" s="540"/>
      <c r="AE262" s="540"/>
      <c r="AF262" s="540"/>
      <c r="AH262" s="540"/>
      <c r="AI262" s="540"/>
      <c r="AJ262" s="540"/>
    </row>
    <row r="263" spans="1:36" s="20" customFormat="1" x14ac:dyDescent="0.6">
      <c r="B263" s="338" t="s">
        <v>218</v>
      </c>
      <c r="C263" s="338"/>
      <c r="D263" s="339"/>
      <c r="E263" s="339"/>
      <c r="F263" s="339"/>
      <c r="G263" s="339"/>
      <c r="H263" s="541"/>
      <c r="I263" s="541"/>
      <c r="J263" s="541"/>
      <c r="K263" s="541"/>
      <c r="L263" s="541"/>
      <c r="M263" s="541"/>
      <c r="N263" s="541"/>
      <c r="O263" s="541"/>
      <c r="P263" s="339"/>
      <c r="Q263" s="339"/>
      <c r="R263" s="339"/>
      <c r="S263" s="339"/>
      <c r="T263" s="339"/>
      <c r="U263" s="339"/>
      <c r="V263" s="339"/>
      <c r="W263" s="339"/>
      <c r="X263" s="339"/>
      <c r="Y263" s="339"/>
      <c r="Z263" s="339"/>
      <c r="AA263" s="339"/>
      <c r="AB263" s="339"/>
      <c r="AC263" s="540"/>
      <c r="AD263" s="540"/>
      <c r="AE263" s="540"/>
      <c r="AF263" s="540"/>
      <c r="AH263" s="540"/>
      <c r="AI263" s="540"/>
      <c r="AJ263" s="540"/>
    </row>
    <row r="264" spans="1:36" s="20" customFormat="1" x14ac:dyDescent="0.6">
      <c r="B264" s="538" t="s">
        <v>1045</v>
      </c>
      <c r="C264" s="338"/>
      <c r="D264" s="339"/>
      <c r="E264" s="339"/>
      <c r="F264" s="339"/>
      <c r="G264" s="339"/>
      <c r="H264" s="536">
        <f>H251/H358</f>
        <v>0.19390031833141419</v>
      </c>
      <c r="I264" s="536">
        <f>I251/I358</f>
        <v>9.3829777283425925E-2</v>
      </c>
      <c r="J264" s="536">
        <f>J251/J358</f>
        <v>0.13641385022993319</v>
      </c>
      <c r="K264" s="536">
        <f>K251/K358</f>
        <v>0.13831905268969152</v>
      </c>
      <c r="L264" s="536"/>
      <c r="M264" s="536">
        <f>M251/M358</f>
        <v>0.14574621318244185</v>
      </c>
      <c r="N264" s="536">
        <f>N251/N358</f>
        <v>3.2866458333333327E-2</v>
      </c>
      <c r="O264" s="536">
        <f>O251/O358</f>
        <v>0</v>
      </c>
      <c r="P264" s="546"/>
      <c r="Q264" s="339"/>
      <c r="R264" s="339"/>
      <c r="S264" s="339"/>
      <c r="T264" s="546" t="e">
        <f>#REF!</f>
        <v>#REF!</v>
      </c>
      <c r="U264" s="546" t="e">
        <f>T264</f>
        <v>#REF!</v>
      </c>
      <c r="V264" s="339"/>
      <c r="W264" s="546" t="e">
        <f>U264</f>
        <v>#REF!</v>
      </c>
      <c r="X264" s="546" t="e">
        <f t="shared" ref="X264:Z265" si="62">W264</f>
        <v>#REF!</v>
      </c>
      <c r="Y264" s="546" t="e">
        <f t="shared" si="62"/>
        <v>#REF!</v>
      </c>
      <c r="Z264" s="546" t="e">
        <f t="shared" si="62"/>
        <v>#REF!</v>
      </c>
      <c r="AA264" s="339"/>
      <c r="AB264" s="339"/>
      <c r="AC264" s="540"/>
      <c r="AD264" s="540"/>
      <c r="AE264" s="540"/>
      <c r="AF264" s="540"/>
      <c r="AH264" s="540"/>
      <c r="AI264" s="540"/>
      <c r="AJ264" s="540"/>
    </row>
    <row r="265" spans="1:36" s="235" customFormat="1" x14ac:dyDescent="0.6">
      <c r="A265" s="20"/>
      <c r="B265" s="539" t="s">
        <v>1046</v>
      </c>
      <c r="C265" s="341"/>
      <c r="D265" s="342"/>
      <c r="E265" s="342"/>
      <c r="F265" s="342"/>
      <c r="G265" s="342"/>
      <c r="H265" s="537"/>
      <c r="I265" s="545"/>
      <c r="J265" s="537">
        <f>J252/I348</f>
        <v>-3.4070945945945952E-2</v>
      </c>
      <c r="K265" s="537">
        <f>K252/J348</f>
        <v>-2.0179401993355481E-2</v>
      </c>
      <c r="L265" s="537"/>
      <c r="M265" s="537">
        <f>M252/M348</f>
        <v>-3.6127521793275219E-2</v>
      </c>
      <c r="N265" s="537">
        <f>N252/N348</f>
        <v>-1.782428330574758E-2</v>
      </c>
      <c r="O265" s="537">
        <f>O252/O348</f>
        <v>0</v>
      </c>
      <c r="P265" s="547"/>
      <c r="Q265" s="342"/>
      <c r="R265" s="342"/>
      <c r="S265" s="342"/>
      <c r="T265" s="547" t="e">
        <f>#REF!</f>
        <v>#REF!</v>
      </c>
      <c r="U265" s="547" t="e">
        <f>T265</f>
        <v>#REF!</v>
      </c>
      <c r="V265" s="342"/>
      <c r="W265" s="547" t="e">
        <f>U265</f>
        <v>#REF!</v>
      </c>
      <c r="X265" s="547" t="e">
        <f t="shared" si="62"/>
        <v>#REF!</v>
      </c>
      <c r="Y265" s="547" t="e">
        <f t="shared" si="62"/>
        <v>#REF!</v>
      </c>
      <c r="Z265" s="547" t="e">
        <f t="shared" si="62"/>
        <v>#REF!</v>
      </c>
      <c r="AA265" s="342"/>
      <c r="AB265" s="342"/>
      <c r="AC265" s="544"/>
      <c r="AD265" s="544"/>
      <c r="AE265" s="544"/>
      <c r="AF265" s="544"/>
      <c r="AH265" s="544"/>
      <c r="AI265" s="544"/>
      <c r="AJ265" s="544"/>
    </row>
    <row r="266" spans="1:36" x14ac:dyDescent="0.6">
      <c r="AC266" s="104"/>
      <c r="AD266" s="104"/>
      <c r="AE266" s="104"/>
      <c r="AF266" s="104"/>
      <c r="AH266" s="104"/>
      <c r="AI266" s="104"/>
      <c r="AJ266" s="104"/>
    </row>
    <row r="267" spans="1:36" x14ac:dyDescent="0.6">
      <c r="B267" s="338" t="s">
        <v>997</v>
      </c>
      <c r="AC267" s="104"/>
      <c r="AD267" s="104"/>
      <c r="AE267" s="104"/>
      <c r="AF267" s="104"/>
      <c r="AH267" s="104"/>
      <c r="AI267" s="104"/>
      <c r="AJ267" s="104"/>
    </row>
    <row r="268" spans="1:36" x14ac:dyDescent="0.6">
      <c r="B268" t="str">
        <f>B203</f>
        <v>Credit cards</v>
      </c>
      <c r="G268" s="43">
        <f>G191/(1-G278)</f>
        <v>3030.0245686588223</v>
      </c>
      <c r="H268" s="43">
        <f>H191/(1-H278)</f>
        <v>3406.5372450301302</v>
      </c>
      <c r="I268" s="43">
        <f>I191/(1-I278)</f>
        <v>3720.4376802795559</v>
      </c>
      <c r="J268" s="43">
        <f>J191/(1-J278)</f>
        <v>4215.4651105793855</v>
      </c>
      <c r="K268" s="43">
        <f>K191/(1-K278)</f>
        <v>4961.6798871554511</v>
      </c>
      <c r="M268" s="43">
        <f>M191/(1-M278)</f>
        <v>6489.5725075220153</v>
      </c>
      <c r="N268" s="43">
        <f>N191/(1-N278)</f>
        <v>6778.823206646779</v>
      </c>
      <c r="O268" s="43">
        <f>O191/(1-O278)</f>
        <v>7366.9822575493099</v>
      </c>
      <c r="AC268" s="104"/>
      <c r="AD268" s="104"/>
      <c r="AE268" s="104"/>
      <c r="AF268" s="104"/>
      <c r="AH268" s="104"/>
      <c r="AI268" s="104"/>
      <c r="AJ268" s="104"/>
    </row>
    <row r="269" spans="1:36" s="84" customFormat="1" x14ac:dyDescent="0.6">
      <c r="A269"/>
      <c r="B269" s="343" t="str">
        <f>B204</f>
        <v>Personal loans</v>
      </c>
      <c r="C269" s="343"/>
      <c r="D269" s="528"/>
      <c r="E269" s="528"/>
      <c r="F269" s="528"/>
      <c r="G269" s="528">
        <f>G270-G268</f>
        <v>200.73927495005501</v>
      </c>
      <c r="H269" s="528">
        <f>H270-H268</f>
        <v>407.89574466059139</v>
      </c>
      <c r="I269" s="528">
        <f>I270-I268</f>
        <v>609.45922693693865</v>
      </c>
      <c r="J269" s="528">
        <f>J270-J268</f>
        <v>799.20431090821785</v>
      </c>
      <c r="K269" s="528">
        <f>K270-K268</f>
        <v>1204.7907010798426</v>
      </c>
      <c r="L269" s="528"/>
      <c r="M269" s="528">
        <f>M270-M268</f>
        <v>1697.9922593173633</v>
      </c>
      <c r="N269" s="528">
        <f>N270-N268</f>
        <v>1724.0401927275689</v>
      </c>
      <c r="O269" s="528">
        <f>O270-O268</f>
        <v>1224.07074245069</v>
      </c>
      <c r="P269" s="528"/>
      <c r="Q269" s="528"/>
      <c r="R269" s="528"/>
      <c r="S269" s="528"/>
      <c r="T269" s="528"/>
      <c r="U269" s="528"/>
      <c r="V269" s="528"/>
      <c r="W269" s="528"/>
      <c r="X269" s="528"/>
      <c r="Y269" s="528"/>
      <c r="Z269" s="528"/>
      <c r="AA269" s="528"/>
      <c r="AB269" s="528"/>
      <c r="AC269" s="529"/>
      <c r="AD269" s="529"/>
      <c r="AE269" s="529"/>
      <c r="AF269" s="529"/>
      <c r="AH269" s="529"/>
      <c r="AI269" s="529"/>
      <c r="AJ269" s="529"/>
    </row>
    <row r="270" spans="1:36" x14ac:dyDescent="0.6">
      <c r="B270" t="str">
        <f>B206</f>
        <v>Loan book</v>
      </c>
      <c r="G270" s="43">
        <f>G194/(1-G280)</f>
        <v>3230.7638436088773</v>
      </c>
      <c r="H270" s="43">
        <f>H194/(1-H280)</f>
        <v>3814.4329896907216</v>
      </c>
      <c r="I270" s="43">
        <f>I194/(1-I280)</f>
        <v>4329.8969072164946</v>
      </c>
      <c r="J270" s="43">
        <f>J194/(1-J280)</f>
        <v>5014.6694214876034</v>
      </c>
      <c r="K270" s="43">
        <f>K194/(1-K280)</f>
        <v>6166.4705882352937</v>
      </c>
      <c r="M270" s="43">
        <f>M194/(1-M280)</f>
        <v>8187.5647668393785</v>
      </c>
      <c r="N270" s="43">
        <f>N194/(1-N280)</f>
        <v>8502.8633993743479</v>
      </c>
      <c r="O270" s="43">
        <f>O194/(1-O280)</f>
        <v>8591.0529999999999</v>
      </c>
      <c r="AC270" s="104"/>
      <c r="AD270" s="104"/>
      <c r="AE270" s="104"/>
      <c r="AF270" s="104"/>
      <c r="AH270" s="104"/>
      <c r="AI270" s="104"/>
      <c r="AJ270" s="104"/>
    </row>
    <row r="271" spans="1:36" x14ac:dyDescent="0.6">
      <c r="AC271" s="104"/>
      <c r="AD271" s="104"/>
      <c r="AE271" s="104"/>
      <c r="AF271" s="104"/>
      <c r="AH271" s="104"/>
      <c r="AI271" s="104"/>
      <c r="AJ271" s="104"/>
    </row>
    <row r="272" spans="1:36" x14ac:dyDescent="0.6">
      <c r="B272" s="338" t="s">
        <v>595</v>
      </c>
      <c r="AC272" s="104"/>
      <c r="AD272" s="104"/>
      <c r="AE272" s="104"/>
      <c r="AF272" s="104"/>
      <c r="AH272" s="104"/>
      <c r="AI272" s="104"/>
      <c r="AJ272" s="104"/>
    </row>
    <row r="273" spans="1:38" x14ac:dyDescent="0.6">
      <c r="B273" s="337" t="str">
        <f>B268</f>
        <v>Credit cards</v>
      </c>
      <c r="G273" s="43">
        <f t="shared" ref="G273:K274" si="63">G268-G191</f>
        <v>121.12456865882223</v>
      </c>
      <c r="H273" s="43">
        <f t="shared" si="63"/>
        <v>106.53724503013018</v>
      </c>
      <c r="I273" s="43">
        <f t="shared" si="63"/>
        <v>120.43768027955593</v>
      </c>
      <c r="J273" s="43">
        <f t="shared" si="63"/>
        <v>153.96511057938551</v>
      </c>
      <c r="K273" s="43">
        <f t="shared" si="63"/>
        <v>181.17988715545107</v>
      </c>
      <c r="M273" s="43">
        <f t="shared" ref="M273:O274" si="64">M268-M191</f>
        <v>255.57250752201526</v>
      </c>
      <c r="N273" s="43">
        <f t="shared" si="64"/>
        <v>300.35320664677874</v>
      </c>
      <c r="O273" s="43">
        <f t="shared" si="64"/>
        <v>379.03425754930959</v>
      </c>
      <c r="AC273" s="104"/>
      <c r="AD273" s="104"/>
      <c r="AE273" s="104"/>
      <c r="AF273" s="104"/>
      <c r="AH273" s="104"/>
      <c r="AI273" s="104"/>
      <c r="AJ273" s="104"/>
    </row>
    <row r="274" spans="1:38" x14ac:dyDescent="0.6">
      <c r="B274" s="343" t="str">
        <f>B269</f>
        <v>Personal loans</v>
      </c>
      <c r="C274" s="84"/>
      <c r="D274" s="344"/>
      <c r="E274" s="344"/>
      <c r="F274" s="344"/>
      <c r="G274" s="344">
        <f t="shared" si="63"/>
        <v>-1.5863064452938147</v>
      </c>
      <c r="H274" s="344">
        <f t="shared" si="63"/>
        <v>7.8957446605913901</v>
      </c>
      <c r="I274" s="344">
        <f t="shared" si="63"/>
        <v>9.4592269369386486</v>
      </c>
      <c r="J274" s="344">
        <f t="shared" si="63"/>
        <v>6.5043109082178034</v>
      </c>
      <c r="K274" s="344">
        <f t="shared" si="63"/>
        <v>9.9807010798426745</v>
      </c>
      <c r="L274" s="344"/>
      <c r="M274" s="344">
        <f t="shared" si="64"/>
        <v>30.992259317363278</v>
      </c>
      <c r="N274" s="344">
        <f t="shared" si="64"/>
        <v>48.264192727568798</v>
      </c>
      <c r="O274" s="344">
        <f t="shared" si="64"/>
        <v>-379.03425754931004</v>
      </c>
      <c r="AC274" s="104"/>
      <c r="AD274" s="104"/>
      <c r="AE274" s="104"/>
      <c r="AF274" s="104"/>
      <c r="AH274" s="104"/>
      <c r="AI274" s="104"/>
      <c r="AJ274" s="104"/>
    </row>
    <row r="275" spans="1:38" x14ac:dyDescent="0.6">
      <c r="B275" s="337" t="str">
        <f>B270</f>
        <v>Loan book</v>
      </c>
      <c r="G275" s="43">
        <f>G270-G194</f>
        <v>119.53826221352847</v>
      </c>
      <c r="H275" s="43">
        <f>H270-H194</f>
        <v>114.43298969072157</v>
      </c>
      <c r="I275" s="43">
        <f>I270-I194</f>
        <v>129.89690721649458</v>
      </c>
      <c r="J275" s="43">
        <f>J270-J194</f>
        <v>160.46942148760354</v>
      </c>
      <c r="K275" s="43">
        <f>K270-K194</f>
        <v>191.1605882352942</v>
      </c>
      <c r="M275" s="43">
        <f>M270-M194</f>
        <v>286.56476683937854</v>
      </c>
      <c r="N275" s="43">
        <f>N270-N194</f>
        <v>348.61739937434777</v>
      </c>
      <c r="O275" s="43">
        <f>O270-O194</f>
        <v>0</v>
      </c>
      <c r="AC275" s="104"/>
      <c r="AD275" s="104"/>
      <c r="AE275" s="104"/>
      <c r="AF275" s="104"/>
      <c r="AH275" s="104"/>
      <c r="AI275" s="104"/>
      <c r="AJ275" s="104"/>
    </row>
    <row r="276" spans="1:38" x14ac:dyDescent="0.6">
      <c r="B276" s="338"/>
      <c r="AC276" s="104"/>
      <c r="AD276" s="104"/>
      <c r="AE276" s="104"/>
      <c r="AF276" s="104"/>
      <c r="AH276" s="104"/>
      <c r="AI276" s="104"/>
      <c r="AJ276" s="104"/>
    </row>
    <row r="277" spans="1:38" x14ac:dyDescent="0.6">
      <c r="B277" s="20" t="s">
        <v>522</v>
      </c>
      <c r="AC277" s="104"/>
      <c r="AD277" s="104"/>
      <c r="AE277" s="104"/>
      <c r="AF277" s="104"/>
      <c r="AH277" s="104"/>
      <c r="AI277" s="104"/>
      <c r="AJ277" s="104"/>
    </row>
    <row r="278" spans="1:38" x14ac:dyDescent="0.6">
      <c r="B278" t="str">
        <f>B273</f>
        <v>Credit cards</v>
      </c>
      <c r="G278" s="523">
        <f>G333</f>
        <v>3.9974781033685014E-2</v>
      </c>
      <c r="H278" s="523">
        <f>H333</f>
        <v>3.1274352037559489E-2</v>
      </c>
      <c r="I278" s="523">
        <f>I333</f>
        <v>3.2371911755959271E-2</v>
      </c>
      <c r="J278" s="523">
        <f>J333</f>
        <v>3.6523872583593624E-2</v>
      </c>
      <c r="K278" s="523">
        <f>K333</f>
        <v>3.6515835619399965E-2</v>
      </c>
      <c r="M278" s="523">
        <f>M333</f>
        <v>3.9382025121960311E-2</v>
      </c>
      <c r="N278" s="523">
        <f>N333</f>
        <v>4.4307573378263666E-2</v>
      </c>
      <c r="O278" s="523">
        <f>O333</f>
        <v>5.1450409991268015E-2</v>
      </c>
      <c r="AC278" s="104"/>
      <c r="AD278" s="104"/>
      <c r="AE278" s="104"/>
      <c r="AF278" s="104"/>
      <c r="AH278" s="104"/>
      <c r="AI278" s="104"/>
      <c r="AJ278" s="104"/>
    </row>
    <row r="279" spans="1:38" x14ac:dyDescent="0.6">
      <c r="B279" s="84" t="str">
        <f>B274</f>
        <v>Personal loans</v>
      </c>
      <c r="C279" s="84"/>
      <c r="D279" s="344"/>
      <c r="E279" s="344"/>
      <c r="F279" s="344"/>
      <c r="G279" s="369">
        <f>G274/G269</f>
        <v>-7.9023222819176574E-3</v>
      </c>
      <c r="H279" s="369">
        <f>H274/H269</f>
        <v>1.9357261662931568E-2</v>
      </c>
      <c r="I279" s="369">
        <f>I274/I269</f>
        <v>1.5520688700504987E-2</v>
      </c>
      <c r="J279" s="369">
        <f>J274/J269</f>
        <v>8.1384832632174966E-3</v>
      </c>
      <c r="K279" s="369">
        <f>K274/K269</f>
        <v>8.2841783812715904E-3</v>
      </c>
      <c r="L279" s="344"/>
      <c r="M279" s="369">
        <f>M274/M269</f>
        <v>1.8252297174677915E-2</v>
      </c>
      <c r="N279" s="369">
        <f>N274/N269</f>
        <v>2.799481875837883E-2</v>
      </c>
      <c r="O279" s="369">
        <f>O274/O269</f>
        <v>-0.3096506144656741</v>
      </c>
      <c r="AC279" s="104"/>
      <c r="AD279" s="104"/>
      <c r="AE279" s="104"/>
      <c r="AF279" s="104"/>
      <c r="AH279" s="104"/>
      <c r="AI279" s="104"/>
      <c r="AJ279" s="104"/>
    </row>
    <row r="280" spans="1:38" s="233" customFormat="1" x14ac:dyDescent="0.6">
      <c r="A280"/>
      <c r="B280" t="str">
        <f>B275</f>
        <v>Loan book</v>
      </c>
      <c r="C280" s="338"/>
      <c r="D280" s="524">
        <f t="shared" ref="D280:K280" si="65">D323</f>
        <v>0.05</v>
      </c>
      <c r="E280" s="524">
        <f t="shared" si="65"/>
        <v>6.2E-2</v>
      </c>
      <c r="F280" s="524">
        <f t="shared" si="65"/>
        <v>5.1999999999999998E-2</v>
      </c>
      <c r="G280" s="524">
        <f t="shared" si="65"/>
        <v>3.6999999999999998E-2</v>
      </c>
      <c r="H280" s="524">
        <f t="shared" si="65"/>
        <v>0.03</v>
      </c>
      <c r="I280" s="524">
        <f t="shared" si="65"/>
        <v>0.03</v>
      </c>
      <c r="J280" s="524">
        <f t="shared" si="65"/>
        <v>3.2000000000000001E-2</v>
      </c>
      <c r="K280" s="524">
        <f t="shared" si="65"/>
        <v>3.1E-2</v>
      </c>
      <c r="L280" s="138"/>
      <c r="M280" s="524">
        <f>M323</f>
        <v>3.5000000000000003E-2</v>
      </c>
      <c r="N280" s="524">
        <v>4.1000000000000002E-2</v>
      </c>
      <c r="O280" s="524"/>
      <c r="P280" s="138"/>
      <c r="Q280" s="138"/>
      <c r="R280" s="138"/>
      <c r="S280" s="138"/>
      <c r="T280" s="138"/>
      <c r="U280" s="138"/>
      <c r="V280" s="138"/>
      <c r="W280" s="138"/>
      <c r="X280" s="138"/>
      <c r="Y280" s="138"/>
      <c r="Z280" s="138"/>
      <c r="AA280" s="138"/>
      <c r="AB280" s="138"/>
      <c r="AC280" s="399"/>
      <c r="AD280" s="399"/>
      <c r="AE280" s="399"/>
      <c r="AF280" s="399"/>
      <c r="AH280" s="399"/>
      <c r="AI280" s="399"/>
      <c r="AJ280" s="399"/>
      <c r="AK280" s="138"/>
      <c r="AL280" s="138"/>
    </row>
    <row r="281" spans="1:38" s="233" customFormat="1" x14ac:dyDescent="0.6">
      <c r="A281"/>
      <c r="B281" s="338"/>
      <c r="C281" s="338"/>
      <c r="D281" s="138"/>
      <c r="E281" s="138"/>
      <c r="F281" s="138"/>
      <c r="G281" s="138"/>
      <c r="H281" s="138"/>
      <c r="I281" s="138"/>
      <c r="J281" s="398"/>
      <c r="K281" s="138"/>
      <c r="L281" s="138"/>
      <c r="M281" s="138"/>
      <c r="N281" s="138"/>
      <c r="O281" s="138"/>
      <c r="P281" s="138"/>
      <c r="Q281" s="138"/>
      <c r="R281" s="138"/>
      <c r="S281" s="138"/>
      <c r="T281" s="138"/>
      <c r="U281" s="138"/>
      <c r="V281" s="138"/>
      <c r="W281" s="138"/>
      <c r="X281" s="138"/>
      <c r="Y281" s="138"/>
      <c r="Z281" s="138"/>
      <c r="AA281" s="138"/>
      <c r="AB281" s="138"/>
      <c r="AC281" s="399"/>
      <c r="AD281" s="399"/>
      <c r="AE281" s="399"/>
      <c r="AF281" s="399"/>
      <c r="AH281" s="399"/>
      <c r="AI281" s="399"/>
      <c r="AJ281" s="399"/>
      <c r="AK281" s="138"/>
      <c r="AL281" s="138"/>
    </row>
    <row r="282" spans="1:38" s="404" customFormat="1" x14ac:dyDescent="0.6">
      <c r="A282"/>
      <c r="B282" s="338" t="s">
        <v>390</v>
      </c>
      <c r="C282" s="338"/>
      <c r="D282" s="402"/>
      <c r="E282" s="402"/>
      <c r="F282" s="402">
        <v>3.1</v>
      </c>
      <c r="G282" s="402"/>
      <c r="H282" s="402"/>
      <c r="I282" s="402"/>
      <c r="J282" s="497">
        <f>J170</f>
        <v>4.9258121158911319</v>
      </c>
      <c r="K282" s="497">
        <f>K170</f>
        <v>5.6</v>
      </c>
      <c r="L282" s="498"/>
      <c r="M282" s="497">
        <f>M170</f>
        <v>6.7</v>
      </c>
      <c r="N282" s="497">
        <f>N170</f>
        <v>7.8</v>
      </c>
      <c r="O282" s="497">
        <f>O170</f>
        <v>7.9</v>
      </c>
      <c r="P282" s="402"/>
      <c r="Q282" s="402"/>
      <c r="R282" s="402"/>
      <c r="S282" s="402"/>
      <c r="T282" s="402"/>
      <c r="U282" s="402"/>
      <c r="V282" s="402"/>
      <c r="W282" s="402"/>
      <c r="X282" s="402"/>
      <c r="Y282" s="402"/>
      <c r="Z282" s="402"/>
      <c r="AA282" s="402"/>
      <c r="AB282" s="402"/>
      <c r="AC282" s="403"/>
      <c r="AD282" s="403"/>
      <c r="AE282" s="403"/>
      <c r="AF282" s="403"/>
      <c r="AH282" s="403"/>
      <c r="AI282" s="403"/>
      <c r="AJ282" s="403"/>
      <c r="AK282" s="402"/>
      <c r="AL282" s="402"/>
    </row>
    <row r="283" spans="1:38" s="233" customFormat="1" x14ac:dyDescent="0.6">
      <c r="A283"/>
      <c r="B283" s="338"/>
      <c r="C283" s="338"/>
      <c r="D283" s="138"/>
      <c r="E283" s="138"/>
      <c r="F283" s="138"/>
      <c r="G283" s="138"/>
      <c r="H283" s="138"/>
      <c r="I283" s="138"/>
      <c r="J283" s="398"/>
      <c r="K283" s="138"/>
      <c r="L283" s="138"/>
      <c r="M283" s="138"/>
      <c r="N283" s="138"/>
      <c r="O283" s="138"/>
      <c r="P283" s="138"/>
      <c r="Q283" s="138"/>
      <c r="R283" s="138"/>
      <c r="S283" s="138"/>
      <c r="T283" s="138"/>
      <c r="U283" s="138"/>
      <c r="V283" s="138"/>
      <c r="W283" s="138"/>
      <c r="X283" s="138"/>
      <c r="Y283" s="138"/>
      <c r="Z283" s="138"/>
      <c r="AA283" s="138"/>
      <c r="AB283" s="138"/>
      <c r="AC283" s="399"/>
      <c r="AD283" s="399"/>
      <c r="AE283" s="399"/>
      <c r="AF283" s="399"/>
      <c r="AH283" s="399"/>
      <c r="AI283" s="399"/>
      <c r="AJ283" s="399"/>
      <c r="AK283" s="138"/>
      <c r="AL283" s="138"/>
    </row>
    <row r="284" spans="1:38" x14ac:dyDescent="0.6">
      <c r="B284" s="82" t="s">
        <v>346</v>
      </c>
      <c r="C284" s="82"/>
      <c r="D284" s="143"/>
      <c r="E284" s="143"/>
      <c r="F284" s="143"/>
      <c r="G284" s="143"/>
      <c r="H284" s="143"/>
      <c r="I284" s="143"/>
      <c r="J284" s="143"/>
      <c r="K284" s="143"/>
      <c r="L284" s="143"/>
      <c r="M284" s="143"/>
      <c r="N284" s="143"/>
      <c r="O284" s="143"/>
      <c r="P284" s="143"/>
      <c r="Q284" s="143"/>
      <c r="R284" s="143"/>
      <c r="S284" s="143"/>
      <c r="T284" s="143"/>
      <c r="U284" s="143"/>
      <c r="V284" s="143"/>
      <c r="W284" s="143"/>
      <c r="X284" s="143"/>
      <c r="Y284" s="143"/>
      <c r="Z284" s="143"/>
      <c r="AA284" s="143"/>
      <c r="AB284" s="79"/>
      <c r="AC284" s="400"/>
      <c r="AD284" s="400"/>
      <c r="AE284" s="400"/>
      <c r="AF284" s="400"/>
      <c r="AH284" s="400"/>
      <c r="AI284" s="400"/>
      <c r="AJ284" s="400"/>
      <c r="AK284" s="79"/>
      <c r="AL284" s="79"/>
    </row>
    <row r="285" spans="1:38" x14ac:dyDescent="0.6">
      <c r="B285" s="79" t="s">
        <v>681</v>
      </c>
      <c r="C285" s="79"/>
      <c r="D285" s="143"/>
      <c r="E285" s="143"/>
      <c r="F285" s="155">
        <v>5.7</v>
      </c>
      <c r="G285" s="155"/>
      <c r="H285" s="143"/>
      <c r="I285" s="143"/>
      <c r="J285" s="155"/>
      <c r="K285" s="143"/>
      <c r="L285" s="143"/>
      <c r="M285" s="143"/>
      <c r="N285" s="143"/>
      <c r="O285" s="143"/>
      <c r="P285" s="143"/>
      <c r="Q285" s="143"/>
      <c r="R285" s="143"/>
      <c r="S285" s="143"/>
      <c r="T285" s="143"/>
      <c r="U285" s="143"/>
      <c r="V285" s="143"/>
      <c r="W285" s="143"/>
      <c r="X285" s="143"/>
      <c r="Y285" s="143"/>
      <c r="Z285" s="143"/>
      <c r="AA285" s="143"/>
      <c r="AB285" s="79"/>
      <c r="AC285" s="79"/>
      <c r="AD285" s="79"/>
      <c r="AE285" s="79"/>
      <c r="AF285" s="79"/>
      <c r="AH285" s="79"/>
      <c r="AI285" s="79"/>
      <c r="AJ285" s="79"/>
      <c r="AK285" s="79"/>
      <c r="AL285" s="79"/>
    </row>
    <row r="286" spans="1:38" x14ac:dyDescent="0.6">
      <c r="B286" s="79" t="s">
        <v>702</v>
      </c>
      <c r="C286" s="79"/>
      <c r="D286" s="143"/>
      <c r="E286" s="143"/>
      <c r="F286" s="143"/>
      <c r="G286" s="493">
        <v>7.6</v>
      </c>
      <c r="H286" s="493">
        <v>7.5</v>
      </c>
      <c r="I286" s="493">
        <v>9.9</v>
      </c>
      <c r="J286" s="493">
        <v>12.1</v>
      </c>
      <c r="K286" s="493">
        <v>14.3</v>
      </c>
      <c r="L286" s="143">
        <f>Drivers!F202</f>
        <v>42.581076066790345</v>
      </c>
      <c r="M286" s="493">
        <v>15.9</v>
      </c>
      <c r="N286" s="493">
        <v>20</v>
      </c>
      <c r="O286" s="493">
        <v>21.2</v>
      </c>
      <c r="P286" s="493">
        <v>23.8</v>
      </c>
      <c r="Q286" s="143">
        <f>Drivers!G185</f>
        <v>81</v>
      </c>
      <c r="R286" s="493">
        <v>23.3</v>
      </c>
      <c r="S286" s="493">
        <v>26.3</v>
      </c>
      <c r="T286" s="114">
        <v>30</v>
      </c>
      <c r="U286" s="143">
        <f>V286-T286-S286-R286</f>
        <v>48.30821580133474</v>
      </c>
      <c r="V286" s="143">
        <f>Drivers!H185</f>
        <v>127.90821580133473</v>
      </c>
      <c r="W286" s="114">
        <v>35</v>
      </c>
      <c r="X286" s="114">
        <v>40</v>
      </c>
      <c r="Y286" s="114">
        <v>40</v>
      </c>
      <c r="Z286" s="143">
        <f>AA286-Y286-X286-W286</f>
        <v>49.912520744470527</v>
      </c>
      <c r="AA286" s="143">
        <f>Drivers!I185</f>
        <v>164.91252074447053</v>
      </c>
      <c r="AB286" s="79"/>
      <c r="AC286" s="400"/>
      <c r="AD286" s="400"/>
      <c r="AE286" s="400"/>
      <c r="AF286" s="400"/>
      <c r="AH286" s="400"/>
      <c r="AI286" s="400"/>
      <c r="AJ286" s="400"/>
      <c r="AK286" s="79"/>
      <c r="AL286" s="79"/>
    </row>
    <row r="287" spans="1:38" x14ac:dyDescent="0.6">
      <c r="B287" s="79" t="s">
        <v>682</v>
      </c>
      <c r="C287" s="79"/>
      <c r="D287" s="143"/>
      <c r="E287" s="143"/>
      <c r="F287" s="143"/>
      <c r="G287" s="143"/>
      <c r="H287" s="143"/>
      <c r="I287" s="143"/>
      <c r="J287" s="143"/>
      <c r="K287" s="143"/>
      <c r="L287" s="143"/>
      <c r="M287" s="143"/>
      <c r="N287" s="143"/>
      <c r="O287" s="143"/>
      <c r="P287" s="143"/>
      <c r="Q287" s="143"/>
      <c r="R287" s="143"/>
      <c r="S287" s="143"/>
      <c r="T287" s="143"/>
      <c r="U287" s="143"/>
      <c r="V287" s="143"/>
      <c r="W287" s="143"/>
      <c r="X287" s="143"/>
      <c r="Y287" s="143"/>
      <c r="Z287" s="143"/>
      <c r="AA287" s="143"/>
      <c r="AB287" s="79"/>
      <c r="AC287" s="400"/>
      <c r="AD287" s="400"/>
      <c r="AE287" s="400"/>
      <c r="AF287" s="400"/>
      <c r="AH287" s="400"/>
      <c r="AI287" s="400"/>
      <c r="AJ287" s="400"/>
      <c r="AK287" s="79"/>
      <c r="AL287" s="79"/>
    </row>
    <row r="288" spans="1:38" x14ac:dyDescent="0.6">
      <c r="B288" s="79" t="s">
        <v>683</v>
      </c>
      <c r="C288" s="79"/>
      <c r="D288" s="143"/>
      <c r="E288" s="143"/>
      <c r="F288" s="143"/>
      <c r="G288" s="143"/>
      <c r="H288" s="143"/>
      <c r="I288" s="143"/>
      <c r="J288" s="143"/>
      <c r="K288" s="143"/>
      <c r="L288" s="143"/>
      <c r="M288" s="143"/>
      <c r="N288" s="143"/>
      <c r="O288" s="143"/>
      <c r="P288" s="143"/>
      <c r="Q288" s="143"/>
      <c r="R288" s="143"/>
      <c r="S288" s="143"/>
      <c r="T288" s="143"/>
      <c r="U288" s="143"/>
      <c r="V288" s="143"/>
      <c r="W288" s="143"/>
      <c r="X288" s="143"/>
      <c r="Y288" s="143"/>
      <c r="Z288" s="143"/>
      <c r="AA288" s="143"/>
      <c r="AB288" s="79"/>
      <c r="AC288" s="79"/>
      <c r="AD288" s="79"/>
      <c r="AE288" s="79"/>
      <c r="AF288" s="79"/>
      <c r="AH288" s="79"/>
      <c r="AI288" s="79"/>
      <c r="AJ288" s="79"/>
      <c r="AK288" s="79"/>
      <c r="AL288" s="79"/>
    </row>
    <row r="289" spans="2:38" x14ac:dyDescent="0.6">
      <c r="B289" s="79"/>
      <c r="C289" s="79"/>
      <c r="D289" s="143"/>
      <c r="E289" s="143"/>
      <c r="F289" s="143"/>
      <c r="G289" s="143"/>
      <c r="H289" s="143"/>
      <c r="I289" s="143"/>
      <c r="J289" s="143"/>
      <c r="K289" s="143"/>
      <c r="L289" s="143"/>
      <c r="M289" s="143"/>
      <c r="N289" s="143"/>
      <c r="O289" s="143"/>
      <c r="P289" s="143"/>
      <c r="Q289" s="143"/>
      <c r="R289" s="143"/>
      <c r="S289" s="143"/>
      <c r="T289" s="143"/>
      <c r="U289" s="143"/>
      <c r="V289" s="143"/>
      <c r="W289" s="143"/>
      <c r="X289" s="143"/>
      <c r="Y289" s="143"/>
      <c r="Z289" s="143"/>
      <c r="AA289" s="143"/>
      <c r="AB289" s="79"/>
      <c r="AC289" s="79"/>
      <c r="AD289" s="79"/>
      <c r="AE289" s="79"/>
      <c r="AF289" s="79"/>
      <c r="AH289" s="79"/>
      <c r="AI289" s="79"/>
      <c r="AJ289" s="79"/>
      <c r="AK289" s="79"/>
      <c r="AL289" s="79"/>
    </row>
    <row r="290" spans="2:38" x14ac:dyDescent="0.6">
      <c r="B290" s="17" t="s">
        <v>90</v>
      </c>
      <c r="C290" s="17"/>
      <c r="D290" s="143"/>
      <c r="E290" s="143"/>
      <c r="F290" s="143"/>
      <c r="G290" s="143"/>
      <c r="H290" s="143"/>
      <c r="I290" s="143"/>
      <c r="J290" s="143"/>
      <c r="K290" s="143"/>
      <c r="L290" s="143"/>
      <c r="M290" s="143"/>
      <c r="N290" s="143"/>
      <c r="O290" s="143"/>
      <c r="P290" s="143"/>
      <c r="Q290" s="143"/>
      <c r="R290" s="143"/>
      <c r="S290" s="143"/>
      <c r="T290" s="143"/>
      <c r="U290" s="143"/>
      <c r="V290" s="143"/>
      <c r="W290" s="143"/>
      <c r="X290" s="143"/>
      <c r="Y290" s="143"/>
      <c r="Z290" s="143"/>
      <c r="AA290" s="143"/>
      <c r="AB290" s="79"/>
      <c r="AC290" s="79"/>
      <c r="AD290" s="79"/>
      <c r="AE290" s="79"/>
      <c r="AF290" s="79"/>
      <c r="AH290" s="79"/>
      <c r="AI290" s="79"/>
      <c r="AJ290" s="79"/>
      <c r="AK290" s="79"/>
      <c r="AL290" s="79"/>
    </row>
    <row r="291" spans="2:38" x14ac:dyDescent="0.6">
      <c r="B291" s="183" t="s">
        <v>305</v>
      </c>
      <c r="C291" s="183"/>
      <c r="D291" s="398"/>
      <c r="E291" s="398"/>
      <c r="F291" s="398"/>
      <c r="G291" s="398">
        <f>-G38/G194</f>
        <v>1.7870771033922921E-2</v>
      </c>
      <c r="H291" s="398">
        <f>-H38/H194</f>
        <v>1.9270270270270271E-2</v>
      </c>
      <c r="I291" s="398">
        <f>-I38/I194</f>
        <v>1.9690476190476192E-2</v>
      </c>
      <c r="J291" s="398">
        <f>-J38/J194</f>
        <v>2.6162910469284331E-2</v>
      </c>
      <c r="K291" s="398">
        <f>-K38/K194</f>
        <v>3.3409814720909883E-2</v>
      </c>
      <c r="L291" s="143"/>
      <c r="M291" s="398">
        <f>-M38/M194</f>
        <v>3.4897101632704722E-2</v>
      </c>
      <c r="N291" s="398">
        <f>-N38/N194</f>
        <v>4.1511134199287099E-2</v>
      </c>
      <c r="O291" s="398">
        <f>-O38/O194</f>
        <v>4.3708262537782039E-2</v>
      </c>
      <c r="P291" s="398">
        <f>-P38/P194</f>
        <v>4.1912578235412896E-2</v>
      </c>
      <c r="Q291" s="398"/>
      <c r="R291" s="398">
        <f>-R38/R194</f>
        <v>4.2404723564143855E-2</v>
      </c>
      <c r="S291" s="398"/>
      <c r="T291" s="398">
        <f>-T38/T194</f>
        <v>4.9076317256023426E-2</v>
      </c>
      <c r="U291" s="398">
        <f>-U38/U194</f>
        <v>4.6782513525666883E-2</v>
      </c>
      <c r="V291" s="143"/>
      <c r="W291" s="398">
        <f>-W38/W194</f>
        <v>4.6290838597280629E-2</v>
      </c>
      <c r="X291" s="398">
        <f>-X38/X194</f>
        <v>4.322735636491111E-2</v>
      </c>
      <c r="Y291" s="398">
        <f>-Y38/Y194</f>
        <v>4.0859543557721645E-2</v>
      </c>
      <c r="Z291" s="398">
        <f>-Z38/Z194</f>
        <v>4.4583582085616434E-2</v>
      </c>
      <c r="AA291" s="143"/>
      <c r="AB291" s="79"/>
      <c r="AC291" s="79"/>
      <c r="AD291" s="79"/>
      <c r="AE291" s="79"/>
      <c r="AF291" s="79"/>
      <c r="AH291" s="79"/>
      <c r="AI291" s="79"/>
      <c r="AJ291" s="79"/>
      <c r="AK291" s="79"/>
      <c r="AL291" s="79"/>
    </row>
    <row r="292" spans="2:38" x14ac:dyDescent="0.6">
      <c r="B292" s="347" t="s">
        <v>578</v>
      </c>
      <c r="C292" s="347"/>
      <c r="G292" s="398">
        <f>-G38/AVERAGE(F194:G194)</f>
        <v>1.7870771033922921E-2</v>
      </c>
      <c r="H292" s="398">
        <f>-H38/AVERAGE(G194:H194)</f>
        <v>2.0936026607239006E-2</v>
      </c>
      <c r="I292" s="398">
        <f>-I38/AVERAGE(H194:I194)</f>
        <v>2.0936708860759493E-2</v>
      </c>
      <c r="J292" s="398">
        <f>-J38/AVERAGE(I194:J194)</f>
        <v>2.805327914117205E-2</v>
      </c>
      <c r="K292" s="398">
        <f>-K38/AVERAGE(J194:K194)</f>
        <v>3.6868519443631342E-2</v>
      </c>
      <c r="M292" s="398">
        <f>-M38/AVERAGE(L194:M194)</f>
        <v>3.4897101632704722E-2</v>
      </c>
      <c r="N292" s="398">
        <f>-N38/AVERAGE(M194:N194)</f>
        <v>4.2165906395953079E-2</v>
      </c>
      <c r="O292" s="398">
        <f>-O38/AVERAGE(N194:O194)</f>
        <v>4.4848407902420853E-2</v>
      </c>
      <c r="P292" s="398">
        <f>-P38/AVERAGE(O194:P194)</f>
        <v>4.4892124167022728E-2</v>
      </c>
      <c r="Q292" s="398"/>
      <c r="R292" s="398">
        <f>-R38/AVERAGE(Q194:R194)</f>
        <v>4.2404723564143855E-2</v>
      </c>
      <c r="S292" s="398"/>
      <c r="T292" s="398">
        <f>-T38/AVERAGE(T194:T194)</f>
        <v>4.9076317256023426E-2</v>
      </c>
      <c r="U292" s="398">
        <f>-U38/AVERAGE(T194:U194)</f>
        <v>4.9912090231932292E-2</v>
      </c>
      <c r="W292" s="398">
        <f>-W38/AVERAGE(V194:W194)</f>
        <v>4.6290838597280629E-2</v>
      </c>
      <c r="X292" s="398">
        <f>-X38/AVERAGE(W194:X194)</f>
        <v>4.5253809592310269E-2</v>
      </c>
      <c r="Y292" s="398">
        <f>-Y38/AVERAGE(X194:Y194)</f>
        <v>4.2913208669046424E-2</v>
      </c>
      <c r="Z292" s="398">
        <f>-Z38/AVERAGE(Y194:Z194)</f>
        <v>4.7040844449776804E-2</v>
      </c>
    </row>
    <row r="293" spans="2:38" x14ac:dyDescent="0.6">
      <c r="B293" t="s">
        <v>800</v>
      </c>
      <c r="G293" s="110">
        <f>G292*4</f>
        <v>7.1483084135691682E-2</v>
      </c>
      <c r="H293" s="110">
        <f>H292*4</f>
        <v>8.3744106428956022E-2</v>
      </c>
      <c r="I293" s="110">
        <f>I292*4</f>
        <v>8.3746835443037973E-2</v>
      </c>
      <c r="J293" s="110">
        <f>J292*4</f>
        <v>0.1122131165646882</v>
      </c>
      <c r="K293" s="110">
        <f>K292*4</f>
        <v>0.14747407777452537</v>
      </c>
      <c r="M293" s="110">
        <f>M292*4</f>
        <v>0.13958840653081889</v>
      </c>
      <c r="N293" s="110">
        <f>N292*4</f>
        <v>0.16866362558381232</v>
      </c>
      <c r="O293" s="110">
        <f>O292*4</f>
        <v>0.17939363160968341</v>
      </c>
      <c r="P293" s="110">
        <f>P292*4</f>
        <v>0.17956849666809091</v>
      </c>
      <c r="Q293" s="110"/>
      <c r="R293" s="110">
        <f>R292*4</f>
        <v>0.16961889425657542</v>
      </c>
      <c r="S293" s="110"/>
      <c r="T293" s="110">
        <f>T292*4</f>
        <v>0.1963052690240937</v>
      </c>
      <c r="U293" s="110">
        <f>U292*4</f>
        <v>0.19964836092772917</v>
      </c>
      <c r="W293" s="110">
        <f>W292*4</f>
        <v>0.18516335438912251</v>
      </c>
      <c r="X293" s="110">
        <f>X292*4</f>
        <v>0.18101523836924108</v>
      </c>
      <c r="Y293" s="110">
        <f>Y292*4</f>
        <v>0.17165283467618569</v>
      </c>
      <c r="Z293" s="110">
        <f>Z292*4</f>
        <v>0.18816337779910722</v>
      </c>
    </row>
    <row r="297" spans="2:38" x14ac:dyDescent="0.6">
      <c r="B297" s="453" t="s">
        <v>65</v>
      </c>
      <c r="C297" s="453"/>
      <c r="D297" s="494">
        <v>0.02</v>
      </c>
      <c r="E297" s="494">
        <v>0.02</v>
      </c>
      <c r="F297" s="494">
        <v>0.02</v>
      </c>
      <c r="G297" s="494">
        <v>0.02</v>
      </c>
      <c r="H297" s="494">
        <v>2.1299999999999999E-2</v>
      </c>
      <c r="I297" s="494">
        <v>3.3799999999999997E-2</v>
      </c>
      <c r="J297" s="494">
        <v>5.2499999999999998E-2</v>
      </c>
      <c r="K297" s="494">
        <v>8.0799999999999997E-2</v>
      </c>
      <c r="L297" s="59"/>
      <c r="M297" s="494">
        <v>0.10916666666666668</v>
      </c>
      <c r="N297" s="494">
        <v>0.124</v>
      </c>
      <c r="O297" s="494">
        <v>0.13583333333333333</v>
      </c>
      <c r="P297" s="494">
        <v>0.13750000000000001</v>
      </c>
      <c r="Q297" s="496"/>
      <c r="R297" s="494">
        <v>0.13750000000000001</v>
      </c>
      <c r="S297" s="494">
        <v>0.13750000000000001</v>
      </c>
      <c r="T297" s="495">
        <v>0.13416666666666668</v>
      </c>
      <c r="U297" s="495">
        <v>0.12625</v>
      </c>
      <c r="V297" s="495">
        <f>AVERAGE(R297:U297)</f>
        <v>0.13385416666666666</v>
      </c>
      <c r="W297" s="495">
        <v>0.11499999999999999</v>
      </c>
      <c r="X297" s="495">
        <v>0.10500000000000001</v>
      </c>
      <c r="Y297" s="495">
        <v>9.7500000000000003E-2</v>
      </c>
      <c r="Z297" s="495">
        <v>9.2499999999999999E-2</v>
      </c>
      <c r="AA297" s="495">
        <f>AVERAGE(W297:Z297)</f>
        <v>0.10250000000000001</v>
      </c>
    </row>
    <row r="300" spans="2:38" x14ac:dyDescent="0.6">
      <c r="O300" s="336"/>
      <c r="Q300" s="110"/>
      <c r="R300" s="110"/>
      <c r="S300" s="110"/>
    </row>
    <row r="301" spans="2:38" x14ac:dyDescent="0.6">
      <c r="B301" s="94" t="s">
        <v>88</v>
      </c>
      <c r="C301" s="94"/>
      <c r="H301" s="43">
        <f>H302+H314+H315+H316+H317</f>
        <v>117.718</v>
      </c>
      <c r="I301" s="43">
        <f>I302+I314+I315+I316+I317</f>
        <v>151.19199999999998</v>
      </c>
      <c r="J301" s="43">
        <f>J302+J314+J315+J316+J317</f>
        <v>185.94899999999998</v>
      </c>
      <c r="K301" s="43">
        <f>K302+K314+K315+K316+K317</f>
        <v>207.59800000000004</v>
      </c>
      <c r="L301" s="43">
        <f>'Revenue and Expenses breakdown'!E26</f>
        <v>651.27700000000004</v>
      </c>
      <c r="M301" s="43">
        <f>M302+M314+M315+M316+M317</f>
        <v>257.82399999999996</v>
      </c>
      <c r="N301" s="43">
        <f>N302+N314+N315+N316+N317</f>
        <v>304.548</v>
      </c>
      <c r="O301" s="43">
        <f>O302+O314+O315+O316+O317</f>
        <v>318.94999999999993</v>
      </c>
      <c r="P301" s="43">
        <f>P302+P314+P315+P316+P317</f>
        <v>353.678</v>
      </c>
      <c r="Q301" s="43">
        <f>Q14</f>
        <v>0</v>
      </c>
      <c r="R301" s="43">
        <f>R302+R314+R315+R316+R317</f>
        <v>363.4</v>
      </c>
      <c r="S301" s="43">
        <f>S302+S314+S315+S316+S317</f>
        <v>271</v>
      </c>
      <c r="T301" s="43">
        <f t="shared" ref="T301:AA301" si="66">T14</f>
        <v>400</v>
      </c>
      <c r="U301" s="43">
        <f t="shared" si="66"/>
        <v>465.06081721816497</v>
      </c>
      <c r="V301" s="43">
        <f t="shared" si="66"/>
        <v>1596.4608172181649</v>
      </c>
      <c r="W301" s="43">
        <f t="shared" si="66"/>
        <v>440</v>
      </c>
      <c r="X301" s="43">
        <f t="shared" si="66"/>
        <v>480</v>
      </c>
      <c r="Y301" s="43">
        <f t="shared" si="66"/>
        <v>520</v>
      </c>
      <c r="Z301" s="43">
        <f t="shared" si="66"/>
        <v>567.50049901966349</v>
      </c>
      <c r="AA301" s="43">
        <f t="shared" si="66"/>
        <v>2007.5004990196635</v>
      </c>
    </row>
    <row r="302" spans="2:38" x14ac:dyDescent="0.6">
      <c r="B302" s="167" t="s">
        <v>162</v>
      </c>
      <c r="C302" s="167"/>
      <c r="H302" s="514">
        <v>83.617000000000004</v>
      </c>
      <c r="I302" s="514">
        <v>107.354</v>
      </c>
      <c r="J302" s="514">
        <v>130.46899999999999</v>
      </c>
      <c r="K302" s="43">
        <f>L302-J302-I302-H302</f>
        <v>150.065</v>
      </c>
      <c r="L302" s="514">
        <f>'Revenue and Expenses breakdown'!E28</f>
        <v>471.505</v>
      </c>
      <c r="M302" s="514">
        <v>189.506</v>
      </c>
      <c r="N302" s="514">
        <v>224.43700000000001</v>
      </c>
      <c r="O302" s="514">
        <v>244</v>
      </c>
      <c r="P302" s="514">
        <f>'Revenue and Expenses breakdown'!F28-M302-N302-O302</f>
        <v>259.05700000000002</v>
      </c>
      <c r="Q302" s="43">
        <f>SUM(M302:P302)</f>
        <v>917</v>
      </c>
      <c r="R302" s="43">
        <f>R15</f>
        <v>265.39999999999998</v>
      </c>
      <c r="S302" s="43">
        <f>S15</f>
        <v>271</v>
      </c>
      <c r="T302" s="43">
        <f>T301-T314-T315-T316-T317-T318</f>
        <v>264</v>
      </c>
      <c r="U302" s="43">
        <f>U301-U314-U315-U316-U317-U318</f>
        <v>317.06081721816497</v>
      </c>
      <c r="V302" s="43">
        <f>SUM(T302:U302)</f>
        <v>581.06081721816497</v>
      </c>
      <c r="W302" s="43">
        <f>W301-W314-W315-W316-W317-W318</f>
        <v>328</v>
      </c>
      <c r="X302" s="43">
        <f>X301-X314-X315-X316-X317-X318</f>
        <v>356</v>
      </c>
      <c r="Y302" s="43">
        <f>Y301-Y314-Y315-Y316-Y317-Y318</f>
        <v>384</v>
      </c>
      <c r="Z302" s="43">
        <f>Z301-Z314-Z315-Z316-Z317-Z318</f>
        <v>419.50049901966349</v>
      </c>
      <c r="AA302" s="43">
        <f>SUM(T302:V302)</f>
        <v>1162.1216344363299</v>
      </c>
    </row>
    <row r="303" spans="2:38" x14ac:dyDescent="0.6">
      <c r="B303" s="200" t="s">
        <v>981</v>
      </c>
      <c r="C303" s="200"/>
      <c r="G303" s="515"/>
      <c r="H303" s="515">
        <f t="shared" ref="H303:P303" si="67">H302/(H286*1000)</f>
        <v>1.1148933333333335E-2</v>
      </c>
      <c r="I303" s="515">
        <f t="shared" si="67"/>
        <v>1.0843838383838384E-2</v>
      </c>
      <c r="J303" s="515">
        <f t="shared" si="67"/>
        <v>1.0782561983471073E-2</v>
      </c>
      <c r="K303" s="515">
        <f t="shared" si="67"/>
        <v>1.0494055944055943E-2</v>
      </c>
      <c r="L303" s="515">
        <f t="shared" si="67"/>
        <v>1.1073111427724915E-2</v>
      </c>
      <c r="M303" s="515">
        <f t="shared" si="67"/>
        <v>1.1918616352201258E-2</v>
      </c>
      <c r="N303" s="515">
        <f t="shared" si="67"/>
        <v>1.122185E-2</v>
      </c>
      <c r="O303" s="515">
        <f t="shared" si="67"/>
        <v>1.1509433962264152E-2</v>
      </c>
      <c r="P303" s="515">
        <f t="shared" si="67"/>
        <v>1.0884747899159665E-2</v>
      </c>
      <c r="T303" s="515">
        <f t="shared" ref="T303:AA303" si="68">T302/(T286*1000)</f>
        <v>8.8000000000000005E-3</v>
      </c>
      <c r="U303" s="515">
        <f t="shared" si="68"/>
        <v>6.5632897418953055E-3</v>
      </c>
      <c r="V303" s="515">
        <f t="shared" si="68"/>
        <v>4.5427951095859277E-3</v>
      </c>
      <c r="W303" s="515">
        <f t="shared" si="68"/>
        <v>9.3714285714285722E-3</v>
      </c>
      <c r="X303" s="515">
        <f t="shared" si="68"/>
        <v>8.8999999999999999E-3</v>
      </c>
      <c r="Y303" s="515">
        <f t="shared" si="68"/>
        <v>9.5999999999999992E-3</v>
      </c>
      <c r="Z303" s="515">
        <f t="shared" si="68"/>
        <v>8.4047147441684185E-3</v>
      </c>
      <c r="AA303" s="515">
        <f t="shared" si="68"/>
        <v>7.0468975259739067E-3</v>
      </c>
      <c r="AG303"/>
    </row>
    <row r="304" spans="2:38" x14ac:dyDescent="0.6">
      <c r="B304" s="200"/>
      <c r="C304" s="200"/>
      <c r="I304" s="515"/>
      <c r="J304" s="515"/>
      <c r="K304" s="515"/>
      <c r="L304" s="515"/>
      <c r="M304" s="515"/>
      <c r="N304" s="515"/>
      <c r="O304" s="515"/>
      <c r="P304" s="515"/>
      <c r="T304" s="515"/>
      <c r="U304" s="515"/>
      <c r="W304" s="515"/>
      <c r="X304" s="515"/>
      <c r="Y304" s="515"/>
      <c r="Z304" s="515"/>
      <c r="AG304"/>
    </row>
    <row r="305" spans="2:33" x14ac:dyDescent="0.6">
      <c r="B305" s="167" t="s">
        <v>289</v>
      </c>
      <c r="C305" s="167"/>
      <c r="I305" s="517">
        <v>0.6</v>
      </c>
      <c r="J305" s="517">
        <v>0.6</v>
      </c>
      <c r="K305" s="517">
        <v>0.6</v>
      </c>
      <c r="L305" s="517">
        <v>0.6</v>
      </c>
      <c r="M305" s="517">
        <v>0.6</v>
      </c>
      <c r="N305" s="517">
        <v>0.6</v>
      </c>
      <c r="O305" s="517">
        <v>0.6</v>
      </c>
      <c r="P305" s="517">
        <v>0.6</v>
      </c>
      <c r="R305" s="517">
        <v>0.6</v>
      </c>
      <c r="S305" s="517"/>
      <c r="T305" s="517">
        <v>0.6</v>
      </c>
      <c r="U305" s="517">
        <v>0.6</v>
      </c>
      <c r="V305" s="517">
        <v>0.6</v>
      </c>
      <c r="W305" s="517">
        <v>0.6</v>
      </c>
      <c r="X305" s="517">
        <v>0.6</v>
      </c>
      <c r="Y305" s="517">
        <v>0.6</v>
      </c>
      <c r="Z305" s="517">
        <v>0.6</v>
      </c>
      <c r="AA305" s="517">
        <v>0.6</v>
      </c>
      <c r="AG305"/>
    </row>
    <row r="306" spans="2:33" x14ac:dyDescent="0.6">
      <c r="B306" s="167" t="s">
        <v>290</v>
      </c>
      <c r="C306" s="167"/>
      <c r="I306" s="516">
        <f t="shared" ref="I306:P306" si="69">1-I305</f>
        <v>0.4</v>
      </c>
      <c r="J306" s="516">
        <f t="shared" si="69"/>
        <v>0.4</v>
      </c>
      <c r="K306" s="516">
        <f t="shared" si="69"/>
        <v>0.4</v>
      </c>
      <c r="L306" s="516">
        <f t="shared" si="69"/>
        <v>0.4</v>
      </c>
      <c r="M306" s="516">
        <f t="shared" si="69"/>
        <v>0.4</v>
      </c>
      <c r="N306" s="516">
        <f t="shared" si="69"/>
        <v>0.4</v>
      </c>
      <c r="O306" s="516">
        <f t="shared" si="69"/>
        <v>0.4</v>
      </c>
      <c r="P306" s="516">
        <f t="shared" si="69"/>
        <v>0.4</v>
      </c>
      <c r="R306" s="516">
        <f>1-R305</f>
        <v>0.4</v>
      </c>
      <c r="S306" s="516"/>
      <c r="T306" s="516">
        <f t="shared" ref="T306:AA306" si="70">1-T305</f>
        <v>0.4</v>
      </c>
      <c r="U306" s="516">
        <f t="shared" si="70"/>
        <v>0.4</v>
      </c>
      <c r="V306" s="516">
        <f t="shared" si="70"/>
        <v>0.4</v>
      </c>
      <c r="W306" s="516">
        <f t="shared" si="70"/>
        <v>0.4</v>
      </c>
      <c r="X306" s="516">
        <f t="shared" si="70"/>
        <v>0.4</v>
      </c>
      <c r="Y306" s="516">
        <f t="shared" si="70"/>
        <v>0.4</v>
      </c>
      <c r="Z306" s="516">
        <f t="shared" si="70"/>
        <v>0.4</v>
      </c>
      <c r="AA306" s="516">
        <f t="shared" si="70"/>
        <v>0.4</v>
      </c>
      <c r="AG306"/>
    </row>
    <row r="307" spans="2:33" x14ac:dyDescent="0.6">
      <c r="B307" s="167"/>
      <c r="C307" s="167"/>
      <c r="I307" s="516"/>
      <c r="J307" s="516"/>
      <c r="K307" s="516"/>
      <c r="L307" s="516"/>
      <c r="M307" s="516"/>
      <c r="N307" s="516"/>
      <c r="O307" s="516"/>
      <c r="P307" s="516"/>
      <c r="T307" s="516"/>
      <c r="U307" s="516"/>
      <c r="W307" s="516"/>
      <c r="X307" s="516"/>
      <c r="Y307" s="516"/>
      <c r="Z307" s="516"/>
      <c r="AG307"/>
    </row>
    <row r="308" spans="2:33" x14ac:dyDescent="0.6">
      <c r="B308" s="167" t="s">
        <v>982</v>
      </c>
      <c r="C308" s="167"/>
      <c r="I308" s="518">
        <f t="shared" ref="I308:M309" si="71">I305*I$286</f>
        <v>5.94</v>
      </c>
      <c r="J308" s="518">
        <f t="shared" si="71"/>
        <v>7.26</v>
      </c>
      <c r="K308" s="518">
        <f t="shared" si="71"/>
        <v>8.58</v>
      </c>
      <c r="L308" s="518">
        <f t="shared" si="71"/>
        <v>25.548645640074206</v>
      </c>
      <c r="M308" s="518">
        <f t="shared" si="71"/>
        <v>9.5399999999999991</v>
      </c>
      <c r="N308" s="518">
        <f t="shared" ref="N308:P309" si="72">N305*N$286</f>
        <v>12</v>
      </c>
      <c r="O308" s="518">
        <f t="shared" si="72"/>
        <v>12.719999999999999</v>
      </c>
      <c r="P308" s="518">
        <f t="shared" si="72"/>
        <v>14.28</v>
      </c>
      <c r="Q308" s="43">
        <f>Drivers!G186</f>
        <v>20.25</v>
      </c>
      <c r="R308" s="518">
        <f>R305*R$286</f>
        <v>13.98</v>
      </c>
      <c r="S308" s="518"/>
      <c r="T308" s="518">
        <f>T305*T$286</f>
        <v>18</v>
      </c>
      <c r="U308" s="518" t="e">
        <f>V308-T308-S308-#REF!</f>
        <v>#REF!</v>
      </c>
      <c r="V308" s="43">
        <f>Drivers!H186</f>
        <v>31.977053950333683</v>
      </c>
      <c r="W308" s="518">
        <f t="shared" ref="W308:Y309" si="73">W305*W$286</f>
        <v>21</v>
      </c>
      <c r="X308" s="518">
        <f t="shared" si="73"/>
        <v>24</v>
      </c>
      <c r="Y308" s="518">
        <f t="shared" si="73"/>
        <v>24</v>
      </c>
      <c r="Z308" s="518">
        <f>AA308-Y308-X308-W308</f>
        <v>-27.771869813882368</v>
      </c>
      <c r="AA308" s="43">
        <f>Drivers!I186</f>
        <v>41.228130186117632</v>
      </c>
      <c r="AG308"/>
    </row>
    <row r="309" spans="2:33" x14ac:dyDescent="0.6">
      <c r="B309" s="167" t="s">
        <v>983</v>
      </c>
      <c r="C309" s="167"/>
      <c r="I309" s="518">
        <f t="shared" si="71"/>
        <v>3.9600000000000004</v>
      </c>
      <c r="J309" s="518">
        <f t="shared" si="71"/>
        <v>4.84</v>
      </c>
      <c r="K309" s="518">
        <f t="shared" si="71"/>
        <v>5.7200000000000006</v>
      </c>
      <c r="L309" s="518">
        <f t="shared" si="71"/>
        <v>17.032430426716139</v>
      </c>
      <c r="M309" s="518">
        <f t="shared" si="71"/>
        <v>6.36</v>
      </c>
      <c r="N309" s="518">
        <f t="shared" si="72"/>
        <v>8</v>
      </c>
      <c r="O309" s="518">
        <f t="shared" si="72"/>
        <v>8.48</v>
      </c>
      <c r="P309" s="518">
        <f t="shared" si="72"/>
        <v>9.5200000000000014</v>
      </c>
      <c r="Q309" s="43">
        <f>Drivers!G187</f>
        <v>32.4</v>
      </c>
      <c r="R309" s="518">
        <f>R306*R$286</f>
        <v>9.32</v>
      </c>
      <c r="S309" s="518"/>
      <c r="T309" s="518">
        <f>T306*T$286</f>
        <v>12</v>
      </c>
      <c r="U309" s="518" t="e">
        <f>V309-T309-S309-#REF!</f>
        <v>#REF!</v>
      </c>
      <c r="V309" s="43">
        <f>Drivers!H187</f>
        <v>51.163286320533899</v>
      </c>
      <c r="W309" s="518">
        <f t="shared" si="73"/>
        <v>14</v>
      </c>
      <c r="X309" s="518">
        <f t="shared" si="73"/>
        <v>16</v>
      </c>
      <c r="Y309" s="518">
        <f t="shared" si="73"/>
        <v>16</v>
      </c>
      <c r="Z309" s="518">
        <f>AA309-Y309-X309-W309</f>
        <v>19.965008297788216</v>
      </c>
      <c r="AA309" s="43">
        <f>Drivers!I187</f>
        <v>65.965008297788216</v>
      </c>
      <c r="AG309"/>
    </row>
    <row r="310" spans="2:33" x14ac:dyDescent="0.6">
      <c r="B310" s="167"/>
      <c r="C310" s="167"/>
      <c r="I310" s="518"/>
      <c r="J310" s="518"/>
      <c r="K310" s="518"/>
      <c r="L310" s="518"/>
      <c r="M310" s="518"/>
      <c r="N310" s="518"/>
      <c r="O310" s="518"/>
      <c r="P310" s="518"/>
      <c r="R310" s="518"/>
      <c r="S310" s="518"/>
      <c r="T310" s="518"/>
      <c r="U310" s="518"/>
      <c r="W310" s="518"/>
      <c r="X310" s="518"/>
      <c r="Y310" s="518"/>
      <c r="Z310" s="518"/>
      <c r="AG310"/>
    </row>
    <row r="311" spans="2:33" x14ac:dyDescent="0.6">
      <c r="B311" s="167" t="s">
        <v>984</v>
      </c>
      <c r="C311" s="167"/>
      <c r="I311" s="520">
        <f t="shared" ref="I311:P311" si="74">(I302-I312*I309*1000)/(I308*1000)</f>
        <v>1.4739730639730639E-2</v>
      </c>
      <c r="J311" s="520">
        <f t="shared" si="74"/>
        <v>1.4637603305785122E-2</v>
      </c>
      <c r="K311" s="520">
        <f t="shared" si="74"/>
        <v>1.4156759906759905E-2</v>
      </c>
      <c r="L311" s="520">
        <f t="shared" si="74"/>
        <v>1.5121852379541525E-2</v>
      </c>
      <c r="M311" s="520">
        <f t="shared" si="74"/>
        <v>1.6531027253668763E-2</v>
      </c>
      <c r="N311" s="520">
        <f t="shared" si="74"/>
        <v>1.5369750000000001E-2</v>
      </c>
      <c r="O311" s="520">
        <f t="shared" si="74"/>
        <v>1.5849056603773587E-2</v>
      </c>
      <c r="P311" s="520">
        <f t="shared" si="74"/>
        <v>1.4807913165266105E-2</v>
      </c>
      <c r="R311" s="520">
        <f>(R302-R312*R309*1000)/(R308*1000)</f>
        <v>1.5650929899856936E-2</v>
      </c>
      <c r="S311" s="520"/>
      <c r="T311" s="520">
        <f t="shared" ref="T311:AA311" si="75">(T302-T312*T309*1000)/(T308*1000)</f>
        <v>1.1333333333333334E-2</v>
      </c>
      <c r="U311" s="520" t="e">
        <f t="shared" si="75"/>
        <v>#REF!</v>
      </c>
      <c r="V311" s="520">
        <f t="shared" si="75"/>
        <v>1.0171180438343712E-2</v>
      </c>
      <c r="W311" s="520">
        <f t="shared" si="75"/>
        <v>1.2285714285714285E-2</v>
      </c>
      <c r="X311" s="520">
        <f t="shared" si="75"/>
        <v>1.15E-2</v>
      </c>
      <c r="Y311" s="520">
        <f t="shared" si="75"/>
        <v>1.2666666666666666E-2</v>
      </c>
      <c r="Z311" s="520">
        <f t="shared" si="75"/>
        <v>-1.1510764657658223E-2</v>
      </c>
      <c r="AA311" s="520">
        <f t="shared" si="75"/>
        <v>2.0187590103895627E-2</v>
      </c>
      <c r="AG311"/>
    </row>
    <row r="312" spans="2:33" x14ac:dyDescent="0.6">
      <c r="B312" s="167" t="s">
        <v>985</v>
      </c>
      <c r="C312" s="167"/>
      <c r="I312" s="519">
        <v>5.0000000000000001E-3</v>
      </c>
      <c r="J312" s="519">
        <v>5.0000000000000001E-3</v>
      </c>
      <c r="K312" s="519">
        <v>5.0000000000000001E-3</v>
      </c>
      <c r="L312" s="519">
        <v>5.0000000000000001E-3</v>
      </c>
      <c r="M312" s="519">
        <v>5.0000000000000001E-3</v>
      </c>
      <c r="N312" s="519">
        <v>5.0000000000000001E-3</v>
      </c>
      <c r="O312" s="519">
        <v>5.0000000000000001E-3</v>
      </c>
      <c r="P312" s="519">
        <v>5.0000000000000001E-3</v>
      </c>
      <c r="R312" s="519">
        <v>5.0000000000000001E-3</v>
      </c>
      <c r="S312" s="519"/>
      <c r="T312" s="519">
        <v>5.0000000000000001E-3</v>
      </c>
      <c r="U312" s="519">
        <v>5.0000000000000001E-3</v>
      </c>
      <c r="V312" s="519">
        <v>5.0000000000000001E-3</v>
      </c>
      <c r="W312" s="519">
        <v>5.0000000000000001E-3</v>
      </c>
      <c r="X312" s="519">
        <v>5.0000000000000001E-3</v>
      </c>
      <c r="Y312" s="519">
        <v>5.0000000000000001E-3</v>
      </c>
      <c r="Z312" s="519">
        <v>5.0000000000000001E-3</v>
      </c>
      <c r="AA312" s="519">
        <v>5.0000000000000001E-3</v>
      </c>
      <c r="AG312"/>
    </row>
    <row r="313" spans="2:33" x14ac:dyDescent="0.6">
      <c r="B313" s="167"/>
      <c r="C313" s="167"/>
      <c r="AG313"/>
    </row>
    <row r="314" spans="2:33" x14ac:dyDescent="0.6">
      <c r="B314" s="167" t="s">
        <v>979</v>
      </c>
      <c r="C314" s="167"/>
      <c r="H314" s="514">
        <v>7.7050000000000001</v>
      </c>
      <c r="I314" s="514">
        <v>10.597</v>
      </c>
      <c r="J314" s="514">
        <v>13.842000000000001</v>
      </c>
      <c r="K314" s="43">
        <f>L314-J314-I314-H314</f>
        <v>16.234000000000002</v>
      </c>
      <c r="L314" s="43">
        <f>'Revenue and Expenses breakdown'!E35</f>
        <v>48.378</v>
      </c>
      <c r="M314" s="514">
        <v>15.945</v>
      </c>
      <c r="N314" s="514">
        <v>19.244</v>
      </c>
      <c r="O314" s="514">
        <v>21</v>
      </c>
      <c r="P314" s="514">
        <f>'Revenue and Expenses breakdown'!F35-M314-N314-O314</f>
        <v>20.811</v>
      </c>
      <c r="R314" s="1152">
        <v>25</v>
      </c>
      <c r="S314" s="1152"/>
      <c r="T314" s="114">
        <v>24</v>
      </c>
      <c r="U314" s="114">
        <v>26</v>
      </c>
      <c r="W314" s="114">
        <v>20</v>
      </c>
      <c r="X314" s="114">
        <v>22</v>
      </c>
      <c r="Y314" s="114">
        <v>24</v>
      </c>
      <c r="Z314" s="114">
        <v>26</v>
      </c>
    </row>
    <row r="315" spans="2:33" x14ac:dyDescent="0.6">
      <c r="B315" s="167" t="s">
        <v>164</v>
      </c>
      <c r="C315" s="167"/>
      <c r="H315" s="514">
        <v>6.6050000000000004</v>
      </c>
      <c r="I315" s="514">
        <v>7.2759999999999998</v>
      </c>
      <c r="J315" s="514">
        <v>7.1219999999999999</v>
      </c>
      <c r="K315" s="43">
        <f>L315-J315-I315-H315</f>
        <v>5.8539999999999992</v>
      </c>
      <c r="L315" s="43">
        <f>'Revenue and Expenses breakdown'!E36</f>
        <v>26.856999999999999</v>
      </c>
      <c r="M315" s="514">
        <v>6.3319999999999999</v>
      </c>
      <c r="N315" s="514">
        <v>6.0220000000000002</v>
      </c>
      <c r="O315" s="514">
        <v>5.4</v>
      </c>
      <c r="P315" s="514">
        <f>'Revenue and Expenses breakdown'!F36-M315-N315-O315</f>
        <v>4.2459999999999987</v>
      </c>
      <c r="R315" s="1152">
        <v>6</v>
      </c>
      <c r="S315" s="1152"/>
      <c r="T315" s="114">
        <v>7</v>
      </c>
      <c r="U315" s="114">
        <v>7</v>
      </c>
      <c r="W315" s="114">
        <v>7</v>
      </c>
      <c r="X315" s="114">
        <v>7</v>
      </c>
      <c r="Y315" s="114">
        <v>7</v>
      </c>
      <c r="Z315" s="114">
        <v>7</v>
      </c>
    </row>
    <row r="316" spans="2:33" x14ac:dyDescent="0.6">
      <c r="B316" s="167" t="s">
        <v>165</v>
      </c>
      <c r="C316" s="167"/>
      <c r="H316" s="514">
        <v>9.6509999999999998</v>
      </c>
      <c r="I316" s="514">
        <v>11.376000000000001</v>
      </c>
      <c r="J316" s="514">
        <v>13.315</v>
      </c>
      <c r="K316" s="43">
        <f>L316-J316-I316-H316</f>
        <v>15.609000000000002</v>
      </c>
      <c r="L316" s="43">
        <f>'Revenue and Expenses breakdown'!E37</f>
        <v>49.951000000000001</v>
      </c>
      <c r="M316" s="514">
        <v>20.701000000000001</v>
      </c>
      <c r="N316" s="514">
        <v>25.515000000000001</v>
      </c>
      <c r="O316" s="514">
        <v>17.899999999999999</v>
      </c>
      <c r="P316" s="514">
        <f>'Revenue and Expenses breakdown'!F37-M316-N316-O316</f>
        <v>39.884000000000007</v>
      </c>
      <c r="R316" s="1152">
        <v>36</v>
      </c>
      <c r="S316" s="1152"/>
      <c r="T316" s="114">
        <v>50</v>
      </c>
      <c r="U316" s="114">
        <v>55</v>
      </c>
      <c r="W316" s="114">
        <v>40</v>
      </c>
      <c r="X316" s="114">
        <v>45</v>
      </c>
      <c r="Y316" s="114">
        <v>50</v>
      </c>
      <c r="Z316" s="114">
        <v>55</v>
      </c>
    </row>
    <row r="317" spans="2:33" x14ac:dyDescent="0.6">
      <c r="B317" s="167" t="s">
        <v>980</v>
      </c>
      <c r="C317" s="167"/>
      <c r="H317" s="514">
        <v>10.14</v>
      </c>
      <c r="I317" s="514">
        <v>14.588999999999999</v>
      </c>
      <c r="J317" s="514">
        <v>21.201000000000001</v>
      </c>
      <c r="K317" s="43">
        <f>L317-J317-I317-H317</f>
        <v>19.836000000000006</v>
      </c>
      <c r="L317" s="43">
        <f>'Revenue and Expenses breakdown'!E38</f>
        <v>65.766000000000005</v>
      </c>
      <c r="M317" s="514">
        <v>25.34</v>
      </c>
      <c r="N317" s="514">
        <v>29.33</v>
      </c>
      <c r="O317" s="514">
        <v>30.65</v>
      </c>
      <c r="P317" s="514">
        <f>'Revenue and Expenses breakdown'!F38-M317-N317-O317</f>
        <v>29.68</v>
      </c>
      <c r="R317" s="1152">
        <v>31</v>
      </c>
      <c r="S317" s="1152"/>
      <c r="T317" s="114">
        <v>55</v>
      </c>
      <c r="U317" s="114">
        <v>60</v>
      </c>
      <c r="W317" s="114">
        <v>45</v>
      </c>
      <c r="X317" s="114">
        <v>50</v>
      </c>
      <c r="Y317" s="114">
        <v>55</v>
      </c>
      <c r="Z317" s="114">
        <v>60</v>
      </c>
    </row>
    <row r="318" spans="2:33" x14ac:dyDescent="0.6">
      <c r="B318" s="167" t="s">
        <v>986</v>
      </c>
      <c r="C318" s="167"/>
      <c r="H318" s="514">
        <v>0</v>
      </c>
      <c r="I318" s="514">
        <v>0</v>
      </c>
      <c r="J318" s="514">
        <v>0</v>
      </c>
      <c r="K318" s="43">
        <v>0</v>
      </c>
      <c r="L318" s="43">
        <f>'Revenue and Expenses breakdown'!E39</f>
        <v>-11.18</v>
      </c>
      <c r="M318" s="514">
        <v>0</v>
      </c>
      <c r="N318" s="514">
        <v>0</v>
      </c>
      <c r="O318" s="514">
        <v>0</v>
      </c>
      <c r="P318" s="514">
        <f>'Revenue and Expenses breakdown'!F39-M318-N318-O318</f>
        <v>0</v>
      </c>
      <c r="R318" s="1152">
        <v>0</v>
      </c>
      <c r="S318" s="1152"/>
      <c r="T318" s="114">
        <v>0</v>
      </c>
      <c r="U318" s="114">
        <v>0</v>
      </c>
      <c r="W318" s="114">
        <v>0</v>
      </c>
      <c r="X318" s="114">
        <v>0</v>
      </c>
      <c r="Y318" s="114">
        <v>0</v>
      </c>
      <c r="Z318" s="114">
        <v>0</v>
      </c>
    </row>
    <row r="321" spans="2:30" x14ac:dyDescent="0.6">
      <c r="B321" s="20" t="s">
        <v>522</v>
      </c>
      <c r="C321" s="20"/>
    </row>
    <row r="323" spans="2:30" x14ac:dyDescent="0.6">
      <c r="B323" t="s">
        <v>987</v>
      </c>
      <c r="C323" s="111">
        <v>4.4999999999999998E-2</v>
      </c>
      <c r="D323" s="110">
        <v>0.05</v>
      </c>
      <c r="E323" s="110">
        <v>6.2E-2</v>
      </c>
      <c r="F323" s="110">
        <v>5.1999999999999998E-2</v>
      </c>
      <c r="G323" s="110">
        <v>3.6999999999999998E-2</v>
      </c>
      <c r="H323" s="110">
        <v>0.03</v>
      </c>
      <c r="I323" s="110">
        <v>0.03</v>
      </c>
      <c r="J323" s="110">
        <v>3.2000000000000001E-2</v>
      </c>
      <c r="K323" s="110">
        <v>3.1E-2</v>
      </c>
      <c r="L323" s="110"/>
      <c r="M323" s="110">
        <v>3.5000000000000003E-2</v>
      </c>
      <c r="N323" s="110">
        <v>4.1000000000000002E-2</v>
      </c>
      <c r="O323" s="110">
        <v>4.7E-2</v>
      </c>
      <c r="P323" s="110">
        <v>5.1999999999999998E-2</v>
      </c>
      <c r="Q323" s="110"/>
      <c r="R323" s="110">
        <v>5.5E-2</v>
      </c>
      <c r="S323" s="110">
        <v>5.8999999999999997E-2</v>
      </c>
      <c r="T323" s="110"/>
      <c r="U323" s="110"/>
      <c r="V323" s="110"/>
      <c r="W323" s="110"/>
      <c r="X323" s="110"/>
      <c r="Y323" s="110"/>
      <c r="Z323" s="110"/>
      <c r="AA323" s="110"/>
      <c r="AB323" s="111"/>
      <c r="AC323" s="117"/>
      <c r="AD323" s="117"/>
    </row>
    <row r="324" spans="2:30" x14ac:dyDescent="0.6">
      <c r="B324" s="167" t="s">
        <v>990</v>
      </c>
      <c r="C324" s="111">
        <v>4.4999999999999998E-2</v>
      </c>
      <c r="D324" s="110">
        <v>0.05</v>
      </c>
      <c r="E324" s="110">
        <v>6.2E-2</v>
      </c>
      <c r="F324" s="110">
        <v>5.2999999999999999E-2</v>
      </c>
      <c r="G324" s="110">
        <v>3.9E-2</v>
      </c>
      <c r="H324" s="110">
        <v>3.1E-2</v>
      </c>
      <c r="I324" s="110">
        <v>3.2000000000000001E-2</v>
      </c>
      <c r="J324" s="110">
        <v>3.5999999999999997E-2</v>
      </c>
      <c r="K324" s="110">
        <v>3.5999999999999997E-2</v>
      </c>
      <c r="L324" s="110"/>
      <c r="M324" s="110">
        <v>3.9E-2</v>
      </c>
      <c r="N324" s="110">
        <v>4.3999999999999997E-2</v>
      </c>
      <c r="O324" s="110">
        <v>5.0999999999999997E-2</v>
      </c>
      <c r="P324" s="110">
        <v>5.6000000000000001E-2</v>
      </c>
      <c r="Q324" s="110"/>
      <c r="R324" s="110">
        <v>0.06</v>
      </c>
      <c r="S324" s="110"/>
      <c r="T324" s="110"/>
      <c r="U324" s="110"/>
      <c r="V324" s="110"/>
      <c r="W324" s="110"/>
      <c r="X324" s="110"/>
      <c r="Y324" s="110"/>
      <c r="Z324" s="110"/>
      <c r="AA324" s="110"/>
      <c r="AB324" s="111"/>
      <c r="AC324" s="117"/>
      <c r="AD324" s="117"/>
    </row>
    <row r="327" spans="2:30" x14ac:dyDescent="0.6">
      <c r="B327" t="s">
        <v>988</v>
      </c>
      <c r="C327" s="233">
        <f>Master!D155/Master!D152</f>
        <v>1.9838555205910522E-2</v>
      </c>
      <c r="D327" s="522">
        <v>0.04</v>
      </c>
      <c r="E327" s="522">
        <v>0.05</v>
      </c>
      <c r="F327" s="522">
        <v>0.06</v>
      </c>
      <c r="G327" s="516">
        <f>G204/G$206</f>
        <v>6.0542168674698797E-2</v>
      </c>
      <c r="H327" s="516">
        <f>H204/H$206</f>
        <v>9.214913610184905E-2</v>
      </c>
      <c r="I327" s="516">
        <f>I204/I$206</f>
        <v>0.12652276127377646</v>
      </c>
      <c r="J327" s="516">
        <f>J204/J$206</f>
        <v>0.17131474103585656</v>
      </c>
      <c r="K327" s="516">
        <f>K204/K$206</f>
        <v>0.21213387623266464</v>
      </c>
      <c r="L327" s="233"/>
      <c r="M327" s="516">
        <f>M204/M$206</f>
        <v>0.22755845701876998</v>
      </c>
      <c r="N327" s="516">
        <f>N204/N$206</f>
        <v>0.21333926048058127</v>
      </c>
      <c r="O327" s="516">
        <f>O204/O$206</f>
        <v>0.19602075001078009</v>
      </c>
      <c r="P327" s="516">
        <f>P204/P$206</f>
        <v>0.17526872168428534</v>
      </c>
    </row>
    <row r="328" spans="2:30" x14ac:dyDescent="0.6">
      <c r="B328" t="s">
        <v>989</v>
      </c>
      <c r="C328" s="234">
        <f>(1-C327)</f>
        <v>0.98016144479408951</v>
      </c>
      <c r="D328" s="234">
        <f>(1-D327)</f>
        <v>0.96</v>
      </c>
      <c r="E328" s="234">
        <f>(1-E327)</f>
        <v>0.95</v>
      </c>
      <c r="F328" s="234">
        <f>(1-F327)</f>
        <v>0.94</v>
      </c>
      <c r="G328" s="234">
        <f t="shared" ref="G328:M328" si="76">(1-G327)</f>
        <v>0.93945783132530125</v>
      </c>
      <c r="H328" s="234">
        <f t="shared" si="76"/>
        <v>0.90785086389815095</v>
      </c>
      <c r="I328" s="234">
        <f t="shared" si="76"/>
        <v>0.87347723872622351</v>
      </c>
      <c r="J328" s="234">
        <f t="shared" si="76"/>
        <v>0.82868525896414347</v>
      </c>
      <c r="K328" s="234">
        <f t="shared" si="76"/>
        <v>0.78786612376733534</v>
      </c>
      <c r="L328" s="234"/>
      <c r="M328" s="234">
        <f t="shared" si="76"/>
        <v>0.77244154298123002</v>
      </c>
      <c r="N328" s="234">
        <f>(1-N327)</f>
        <v>0.78666073951941873</v>
      </c>
      <c r="O328" s="234">
        <f>(1-O327)</f>
        <v>0.80397924998921988</v>
      </c>
      <c r="P328" s="234">
        <f>(1-P327)</f>
        <v>0.82473127831571469</v>
      </c>
    </row>
    <row r="330" spans="2:30" x14ac:dyDescent="0.6">
      <c r="B330" t="s">
        <v>991</v>
      </c>
      <c r="C330" s="234">
        <f>$C$327</f>
        <v>1.9838555205910522E-2</v>
      </c>
      <c r="D330" s="234">
        <f>$C$327</f>
        <v>1.9838555205910522E-2</v>
      </c>
      <c r="E330" s="234">
        <f>$C$327</f>
        <v>1.9838555205910522E-2</v>
      </c>
      <c r="F330" s="234">
        <f>$C$327</f>
        <v>1.9838555205910522E-2</v>
      </c>
      <c r="G330" s="234">
        <f t="shared" ref="G330:P330" si="77">$C$327</f>
        <v>1.9838555205910522E-2</v>
      </c>
      <c r="H330" s="234">
        <f t="shared" si="77"/>
        <v>1.9838555205910522E-2</v>
      </c>
      <c r="I330" s="234">
        <f t="shared" si="77"/>
        <v>1.9838555205910522E-2</v>
      </c>
      <c r="J330" s="234">
        <f t="shared" si="77"/>
        <v>1.9838555205910522E-2</v>
      </c>
      <c r="K330" s="234">
        <f t="shared" si="77"/>
        <v>1.9838555205910522E-2</v>
      </c>
      <c r="L330" s="234"/>
      <c r="M330" s="234">
        <f t="shared" si="77"/>
        <v>1.9838555205910522E-2</v>
      </c>
      <c r="N330" s="234">
        <f t="shared" si="77"/>
        <v>1.9838555205910522E-2</v>
      </c>
      <c r="O330" s="234">
        <f t="shared" si="77"/>
        <v>1.9838555205910522E-2</v>
      </c>
      <c r="P330" s="234">
        <f t="shared" si="77"/>
        <v>1.9838555205910522E-2</v>
      </c>
    </row>
    <row r="331" spans="2:30" x14ac:dyDescent="0.6">
      <c r="B331" t="s">
        <v>994</v>
      </c>
      <c r="C331" s="234">
        <f>1-C330</f>
        <v>0.98016144479408951</v>
      </c>
      <c r="D331" s="234">
        <f>1-D330</f>
        <v>0.98016144479408951</v>
      </c>
      <c r="E331" s="234">
        <f>1-E330</f>
        <v>0.98016144479408951</v>
      </c>
      <c r="F331" s="234">
        <f>1-F330</f>
        <v>0.98016144479408951</v>
      </c>
      <c r="G331" s="234">
        <f t="shared" ref="G331:M331" si="78">1-G330</f>
        <v>0.98016144479408951</v>
      </c>
      <c r="H331" s="234">
        <f t="shared" si="78"/>
        <v>0.98016144479408951</v>
      </c>
      <c r="I331" s="234">
        <f t="shared" si="78"/>
        <v>0.98016144479408951</v>
      </c>
      <c r="J331" s="234">
        <f t="shared" si="78"/>
        <v>0.98016144479408951</v>
      </c>
      <c r="K331" s="234">
        <f t="shared" si="78"/>
        <v>0.98016144479408951</v>
      </c>
      <c r="L331" s="234"/>
      <c r="M331" s="234">
        <f t="shared" si="78"/>
        <v>0.98016144479408951</v>
      </c>
      <c r="N331" s="234">
        <f>1-N330</f>
        <v>0.98016144479408951</v>
      </c>
      <c r="O331" s="234">
        <f>1-O330</f>
        <v>0.98016144479408951</v>
      </c>
      <c r="P331" s="234">
        <f>1-P330</f>
        <v>0.98016144479408951</v>
      </c>
    </row>
    <row r="333" spans="2:30" x14ac:dyDescent="0.6">
      <c r="B333" t="s">
        <v>992</v>
      </c>
      <c r="C333" s="521">
        <f>C323</f>
        <v>4.4999999999999998E-2</v>
      </c>
      <c r="D333" s="521">
        <f t="shared" ref="D333:K333" si="79">D338/D340</f>
        <v>0.05</v>
      </c>
      <c r="E333" s="521">
        <f t="shared" si="79"/>
        <v>6.1999999999999986E-2</v>
      </c>
      <c r="F333" s="521">
        <f t="shared" si="79"/>
        <v>5.349397015738911E-2</v>
      </c>
      <c r="G333" s="521">
        <f t="shared" si="79"/>
        <v>3.9974781033685014E-2</v>
      </c>
      <c r="H333" s="521">
        <f t="shared" si="79"/>
        <v>3.1274352037559489E-2</v>
      </c>
      <c r="I333" s="521">
        <f t="shared" si="79"/>
        <v>3.2371911755959271E-2</v>
      </c>
      <c r="J333" s="521">
        <f t="shared" si="79"/>
        <v>3.6523872583593624E-2</v>
      </c>
      <c r="K333" s="521">
        <f t="shared" si="79"/>
        <v>3.6515835619399965E-2</v>
      </c>
      <c r="L333" s="521"/>
      <c r="M333" s="521">
        <f>M338/M340</f>
        <v>3.9382025121960311E-2</v>
      </c>
      <c r="N333" s="521">
        <f>N338/N340</f>
        <v>4.4307573378263666E-2</v>
      </c>
      <c r="O333" s="521">
        <f>O338/O340</f>
        <v>5.1450409991268015E-2</v>
      </c>
      <c r="P333" s="521">
        <f>P338/P340</f>
        <v>5.6510545813734825E-2</v>
      </c>
    </row>
    <row r="334" spans="2:30" x14ac:dyDescent="0.6">
      <c r="B334" t="s">
        <v>993</v>
      </c>
      <c r="C334" s="521">
        <f t="shared" ref="C334:K334" si="80">(C324-C331*C333)/C330</f>
        <v>4.4999999999999998E-2</v>
      </c>
      <c r="D334" s="521">
        <f t="shared" si="80"/>
        <v>4.999999999999992E-2</v>
      </c>
      <c r="E334" s="521">
        <f t="shared" si="80"/>
        <v>6.2000000000000437E-2</v>
      </c>
      <c r="F334" s="521">
        <f t="shared" si="80"/>
        <v>2.8594467534237313E-2</v>
      </c>
      <c r="G334" s="521">
        <f t="shared" si="80"/>
        <v>-9.1609056918582274E-3</v>
      </c>
      <c r="H334" s="521">
        <f t="shared" si="80"/>
        <v>1.7445117261543554E-2</v>
      </c>
      <c r="I334" s="521">
        <f t="shared" si="80"/>
        <v>1.362499434695036E-2</v>
      </c>
      <c r="J334" s="521">
        <f t="shared" si="80"/>
        <v>1.0117081456105258E-2</v>
      </c>
      <c r="K334" s="521">
        <f t="shared" si="80"/>
        <v>1.0514162914611182E-2</v>
      </c>
      <c r="L334" s="521"/>
      <c r="M334" s="521">
        <f>(M324-M331*M333)/M330</f>
        <v>2.0125324319147073E-2</v>
      </c>
      <c r="N334" s="521">
        <f>(N324-N331*N333)/N330</f>
        <v>2.8803753918062593E-2</v>
      </c>
      <c r="O334" s="521">
        <f>(O324-O331*O333)/O330</f>
        <v>2.8746640155558039E-2</v>
      </c>
      <c r="P334" s="521">
        <f>(P324-P331*P333)/P330</f>
        <v>3.0775515795887713E-2</v>
      </c>
    </row>
    <row r="336" spans="2:30" x14ac:dyDescent="0.6">
      <c r="B336" s="1241" t="s">
        <v>995</v>
      </c>
      <c r="C336" s="43">
        <f t="shared" ref="C336:K336" si="81">C327/C330</f>
        <v>1</v>
      </c>
      <c r="D336" s="43">
        <f t="shared" si="81"/>
        <v>2.0162758620689654</v>
      </c>
      <c r="E336" s="43">
        <f t="shared" si="81"/>
        <v>2.5203448275862068</v>
      </c>
      <c r="F336" s="43">
        <f t="shared" si="81"/>
        <v>3.0244137931034483</v>
      </c>
      <c r="G336" s="43">
        <f t="shared" si="81"/>
        <v>3.0517428334025758</v>
      </c>
      <c r="H336" s="43">
        <f t="shared" si="81"/>
        <v>4.6449519708166527</v>
      </c>
      <c r="I336" s="43">
        <f t="shared" si="81"/>
        <v>6.3776197389657385</v>
      </c>
      <c r="J336" s="43">
        <f t="shared" si="81"/>
        <v>8.6354444291798309</v>
      </c>
      <c r="K336" s="43">
        <f t="shared" si="81"/>
        <v>10.693010354376177</v>
      </c>
      <c r="M336" s="43">
        <f>M327/M330</f>
        <v>11.470515602415102</v>
      </c>
      <c r="N336" s="43">
        <f>N327/N330</f>
        <v>10.753770033465988</v>
      </c>
      <c r="O336" s="43">
        <f>O327/O330</f>
        <v>9.8807976677847691</v>
      </c>
      <c r="P336" s="43">
        <f>P327/P330</f>
        <v>8.8347523226926992</v>
      </c>
    </row>
    <row r="337" spans="2:27" x14ac:dyDescent="0.6">
      <c r="B337" s="1241"/>
    </row>
    <row r="338" spans="2:27" x14ac:dyDescent="0.6">
      <c r="B338" s="1241"/>
      <c r="C338" s="110">
        <f t="shared" ref="C338:K338" si="82">C323-(C336*C324)</f>
        <v>0</v>
      </c>
      <c r="D338" s="110">
        <f t="shared" si="82"/>
        <v>-5.0813793103448274E-2</v>
      </c>
      <c r="E338" s="110">
        <f t="shared" si="82"/>
        <v>-9.4261379310344812E-2</v>
      </c>
      <c r="F338" s="110">
        <f t="shared" si="82"/>
        <v>-0.10829393103448276</v>
      </c>
      <c r="G338" s="110">
        <f t="shared" si="82"/>
        <v>-8.201797050270046E-2</v>
      </c>
      <c r="H338" s="110">
        <f t="shared" si="82"/>
        <v>-0.11399351109531625</v>
      </c>
      <c r="I338" s="110">
        <f t="shared" si="82"/>
        <v>-0.17408383164690364</v>
      </c>
      <c r="J338" s="110">
        <f t="shared" si="82"/>
        <v>-0.27887599945047392</v>
      </c>
      <c r="K338" s="110">
        <f t="shared" si="82"/>
        <v>-0.35394837275754232</v>
      </c>
      <c r="L338" s="110"/>
      <c r="M338" s="110">
        <f>M323-(M336*M324)</f>
        <v>-0.41235010849418896</v>
      </c>
      <c r="N338" s="110">
        <f>N323-(N336*N324)</f>
        <v>-0.43216588147250351</v>
      </c>
      <c r="O338" s="110">
        <f>O323-(O336*O324)</f>
        <v>-0.45692068105702316</v>
      </c>
      <c r="P338" s="110">
        <f>P323-(P336*P324)</f>
        <v>-0.44274613007079117</v>
      </c>
    </row>
    <row r="339" spans="2:27" x14ac:dyDescent="0.6">
      <c r="B339" s="1241"/>
      <c r="C339" s="110">
        <f t="shared" ref="C339:K339" si="83">C327-(C336*C330)</f>
        <v>0</v>
      </c>
      <c r="D339" s="110">
        <f t="shared" si="83"/>
        <v>0</v>
      </c>
      <c r="E339" s="110">
        <f t="shared" si="83"/>
        <v>0</v>
      </c>
      <c r="F339" s="110">
        <f t="shared" si="83"/>
        <v>0</v>
      </c>
      <c r="G339" s="110">
        <f t="shared" si="83"/>
        <v>0</v>
      </c>
      <c r="H339" s="110">
        <f t="shared" si="83"/>
        <v>0</v>
      </c>
      <c r="I339" s="110">
        <f t="shared" si="83"/>
        <v>0</v>
      </c>
      <c r="J339" s="110">
        <f t="shared" si="83"/>
        <v>0</v>
      </c>
      <c r="K339" s="110">
        <f t="shared" si="83"/>
        <v>0</v>
      </c>
      <c r="L339" s="110"/>
      <c r="M339" s="110">
        <f>M327-(M336*M330)</f>
        <v>0</v>
      </c>
      <c r="N339" s="110">
        <f>N327-(N336*N330)</f>
        <v>0</v>
      </c>
      <c r="O339" s="110">
        <f>O327-(O336*O330)</f>
        <v>0</v>
      </c>
      <c r="P339" s="110">
        <f>P327-(P336*P330)</f>
        <v>0</v>
      </c>
    </row>
    <row r="340" spans="2:27" x14ac:dyDescent="0.6">
      <c r="B340" s="1241"/>
      <c r="C340" s="110">
        <f t="shared" ref="C340:K340" si="84">C328-(C336*C331)</f>
        <v>0</v>
      </c>
      <c r="D340" s="110">
        <f t="shared" si="84"/>
        <v>-1.0162758620689654</v>
      </c>
      <c r="E340" s="110">
        <f t="shared" si="84"/>
        <v>-1.520344827586207</v>
      </c>
      <c r="F340" s="110">
        <f t="shared" si="84"/>
        <v>-2.0244137931034483</v>
      </c>
      <c r="G340" s="110">
        <f t="shared" si="84"/>
        <v>-2.0517428334025762</v>
      </c>
      <c r="H340" s="110">
        <f t="shared" si="84"/>
        <v>-3.6449519708166527</v>
      </c>
      <c r="I340" s="110">
        <f t="shared" si="84"/>
        <v>-5.3776197389657394</v>
      </c>
      <c r="J340" s="110">
        <f t="shared" si="84"/>
        <v>-7.6354444291798318</v>
      </c>
      <c r="K340" s="110">
        <f t="shared" si="84"/>
        <v>-9.6930103543761774</v>
      </c>
      <c r="L340" s="110"/>
      <c r="M340" s="110">
        <f>M328-(M336*M331)</f>
        <v>-10.470515602415102</v>
      </c>
      <c r="N340" s="110">
        <f>N328-(N336*N331)</f>
        <v>-9.7537700334659885</v>
      </c>
      <c r="O340" s="110">
        <f>O328-(O336*O331)</f>
        <v>-8.8807976677847691</v>
      </c>
      <c r="P340" s="110">
        <f>P328-(P336*P331)</f>
        <v>-7.8347523226927001</v>
      </c>
    </row>
    <row r="342" spans="2:27" x14ac:dyDescent="0.6">
      <c r="B342" s="20" t="s">
        <v>1336</v>
      </c>
    </row>
    <row r="343" spans="2:27" ht="15.9" thickBot="1" x14ac:dyDescent="0.65"/>
    <row r="344" spans="2:27" ht="15.9" thickBot="1" x14ac:dyDescent="0.65">
      <c r="B344" t="s">
        <v>1041</v>
      </c>
      <c r="D344" s="857">
        <v>6.1</v>
      </c>
    </row>
    <row r="345" spans="2:27" x14ac:dyDescent="0.6">
      <c r="G345" s="1017"/>
      <c r="H345" s="1017"/>
      <c r="I345" s="1017"/>
      <c r="J345" s="1017"/>
      <c r="K345" s="1017"/>
      <c r="L345" s="1017"/>
      <c r="M345" s="1017"/>
      <c r="N345" s="1017"/>
      <c r="O345" s="1017"/>
      <c r="P345" s="1017"/>
      <c r="Q345" s="1017"/>
      <c r="R345" s="1017"/>
      <c r="S345" s="1017"/>
      <c r="T345" s="1017"/>
      <c r="U345" s="1017"/>
      <c r="W345" s="1017"/>
      <c r="X345" s="1017"/>
      <c r="Y345" s="1017"/>
      <c r="Z345" s="1017"/>
    </row>
    <row r="346" spans="2:27" x14ac:dyDescent="0.6">
      <c r="B346" t="s">
        <v>996</v>
      </c>
      <c r="D346"/>
      <c r="E346"/>
      <c r="F346"/>
      <c r="G346" s="1017">
        <f>G347+G348</f>
        <v>3320</v>
      </c>
      <c r="H346" s="1017">
        <f t="shared" ref="H346:M346" si="85">H347+H348</f>
        <v>3299</v>
      </c>
      <c r="I346" s="1017">
        <f t="shared" si="85"/>
        <v>4679</v>
      </c>
      <c r="J346" s="1017">
        <f t="shared" si="85"/>
        <v>5271</v>
      </c>
      <c r="K346" s="1017">
        <f t="shared" si="85"/>
        <v>6563.5249999999996</v>
      </c>
      <c r="L346" s="1017"/>
      <c r="M346" s="1017">
        <f t="shared" si="85"/>
        <v>8821.9089999999997</v>
      </c>
      <c r="N346" s="1017">
        <f>N347+N348</f>
        <v>9121.8700000000008</v>
      </c>
      <c r="O346" s="1017">
        <f>O347+O348</f>
        <v>9717.0069999999996</v>
      </c>
      <c r="P346" s="1017">
        <f>P347+P348</f>
        <v>11257</v>
      </c>
      <c r="Q346" s="1017"/>
      <c r="R346" s="1017"/>
      <c r="S346" s="1017"/>
      <c r="T346" s="1017" t="e">
        <f>T347+T348</f>
        <v>#REF!</v>
      </c>
      <c r="U346" s="1017" t="e">
        <f>U347+U348</f>
        <v>#REF!</v>
      </c>
      <c r="V346" s="83"/>
      <c r="W346" s="1017" t="e">
        <f>W347+W348</f>
        <v>#REF!</v>
      </c>
      <c r="X346" s="1017" t="e">
        <f>X347+X348</f>
        <v>#REF!</v>
      </c>
      <c r="Y346" s="1017" t="e">
        <f>Y347+Y348</f>
        <v>#REF!</v>
      </c>
      <c r="Z346" s="1017" t="e">
        <f>Z347+Z348</f>
        <v>#REF!</v>
      </c>
      <c r="AA346" s="83"/>
    </row>
    <row r="347" spans="2:27" x14ac:dyDescent="0.6">
      <c r="B347" s="167" t="s">
        <v>180</v>
      </c>
      <c r="D347"/>
      <c r="E347"/>
      <c r="F347"/>
      <c r="G347" s="1016">
        <f t="shared" ref="G347:K348" si="86">G203</f>
        <v>3119</v>
      </c>
      <c r="H347" s="1016">
        <f t="shared" si="86"/>
        <v>2995</v>
      </c>
      <c r="I347" s="1016">
        <f t="shared" si="86"/>
        <v>4087</v>
      </c>
      <c r="J347" s="1016">
        <f t="shared" si="86"/>
        <v>4368</v>
      </c>
      <c r="K347" s="1017">
        <f t="shared" si="86"/>
        <v>5171.1790000000001</v>
      </c>
      <c r="L347" s="1017"/>
      <c r="M347" s="1017">
        <f t="shared" ref="M347:P348" si="87">M203</f>
        <v>6814.4089999999997</v>
      </c>
      <c r="N347" s="1017">
        <f t="shared" si="87"/>
        <v>7175.817</v>
      </c>
      <c r="O347" s="1017">
        <f t="shared" si="87"/>
        <v>7812.2719999999999</v>
      </c>
      <c r="P347" s="1017">
        <f t="shared" si="87"/>
        <v>9284</v>
      </c>
      <c r="Q347" s="1017"/>
      <c r="R347" s="1017"/>
      <c r="S347" s="1017"/>
      <c r="T347" s="1017" t="e">
        <f>#REF!-T352+T357</f>
        <v>#REF!</v>
      </c>
      <c r="U347" s="1017" t="e">
        <f>T347-U352+U357</f>
        <v>#REF!</v>
      </c>
      <c r="W347" s="1017" t="e">
        <f>U347-W352+W357</f>
        <v>#REF!</v>
      </c>
      <c r="X347" s="1017" t="e">
        <f t="shared" ref="X347:Z349" si="88">W347-X352+X357</f>
        <v>#REF!</v>
      </c>
      <c r="Y347" s="1017" t="e">
        <f t="shared" si="88"/>
        <v>#REF!</v>
      </c>
      <c r="Z347" s="1017" t="e">
        <f t="shared" si="88"/>
        <v>#REF!</v>
      </c>
    </row>
    <row r="348" spans="2:27" x14ac:dyDescent="0.6">
      <c r="B348" s="167" t="s">
        <v>218</v>
      </c>
      <c r="D348"/>
      <c r="E348"/>
      <c r="F348"/>
      <c r="G348" s="1016">
        <f t="shared" si="86"/>
        <v>201</v>
      </c>
      <c r="H348" s="1016">
        <f t="shared" si="86"/>
        <v>304</v>
      </c>
      <c r="I348" s="1016">
        <f t="shared" si="86"/>
        <v>592</v>
      </c>
      <c r="J348" s="1016">
        <f t="shared" si="86"/>
        <v>903</v>
      </c>
      <c r="K348" s="1017">
        <f t="shared" si="86"/>
        <v>1392.346</v>
      </c>
      <c r="L348" s="1017"/>
      <c r="M348" s="1017">
        <f t="shared" si="87"/>
        <v>2007.5</v>
      </c>
      <c r="N348" s="1017">
        <f t="shared" si="87"/>
        <v>1946.0530000000001</v>
      </c>
      <c r="O348" s="1017">
        <f t="shared" si="87"/>
        <v>1904.7350000000001</v>
      </c>
      <c r="P348" s="1017">
        <f t="shared" si="87"/>
        <v>1973</v>
      </c>
      <c r="Q348" s="1017"/>
      <c r="R348" s="1017"/>
      <c r="S348" s="1017"/>
      <c r="T348" s="1017" t="e">
        <f>#REF!-T353+T358</f>
        <v>#REF!</v>
      </c>
      <c r="U348" s="1017" t="e">
        <f>T348-U353+U358</f>
        <v>#REF!</v>
      </c>
      <c r="W348" s="1017" t="e">
        <f>U348-W353+W358</f>
        <v>#REF!</v>
      </c>
      <c r="X348" s="1017" t="e">
        <f t="shared" si="88"/>
        <v>#REF!</v>
      </c>
      <c r="Y348" s="1017" t="e">
        <f t="shared" si="88"/>
        <v>#REF!</v>
      </c>
      <c r="Z348" s="1017" t="e">
        <f t="shared" si="88"/>
        <v>#REF!</v>
      </c>
    </row>
    <row r="349" spans="2:27" x14ac:dyDescent="0.6">
      <c r="B349" s="167" t="s">
        <v>420</v>
      </c>
      <c r="D349"/>
      <c r="E349"/>
      <c r="F349"/>
      <c r="G349" s="1016"/>
      <c r="H349" s="1016"/>
      <c r="I349" s="1016"/>
      <c r="J349" s="1016"/>
      <c r="K349" s="1017"/>
      <c r="L349" s="1017"/>
      <c r="M349" s="1017"/>
      <c r="N349" s="1017"/>
      <c r="O349" s="1017"/>
      <c r="P349" s="1017"/>
      <c r="Q349" s="1017"/>
      <c r="R349" s="1017"/>
      <c r="S349" s="1017"/>
      <c r="T349" s="1017" t="e">
        <f>#REF!-T354+T359</f>
        <v>#REF!</v>
      </c>
      <c r="U349" s="1017" t="e">
        <f>T349-U354+U359</f>
        <v>#REF!</v>
      </c>
      <c r="W349" s="1017" t="e">
        <f>U349-W354+W359</f>
        <v>#REF!</v>
      </c>
      <c r="X349" s="1017" t="e">
        <f t="shared" si="88"/>
        <v>#REF!</v>
      </c>
      <c r="Y349" s="1017" t="e">
        <f t="shared" si="88"/>
        <v>#REF!</v>
      </c>
      <c r="Z349" s="1017" t="e">
        <f t="shared" si="88"/>
        <v>#REF!</v>
      </c>
    </row>
    <row r="350" spans="2:27" x14ac:dyDescent="0.6">
      <c r="G350" s="1017"/>
      <c r="H350" s="1017"/>
      <c r="I350" s="1017"/>
      <c r="J350" s="1017"/>
      <c r="K350" s="1017"/>
      <c r="L350" s="1017"/>
      <c r="M350" s="1017"/>
      <c r="N350" s="1017"/>
      <c r="O350" s="1017"/>
      <c r="P350" s="1017"/>
      <c r="Q350" s="1017"/>
      <c r="R350" s="1017"/>
      <c r="S350" s="1017"/>
      <c r="T350" s="1017"/>
      <c r="U350" s="1017"/>
      <c r="W350" s="1017"/>
      <c r="X350" s="1017"/>
      <c r="Y350" s="1017"/>
      <c r="Z350" s="1017"/>
    </row>
    <row r="351" spans="2:27" x14ac:dyDescent="0.6">
      <c r="B351" t="s">
        <v>1035</v>
      </c>
      <c r="G351" s="1017"/>
      <c r="H351" s="1017">
        <f>3/$D$344*G346</f>
        <v>1632.7868852459019</v>
      </c>
      <c r="I351" s="1017">
        <f>3/$D$344*H346</f>
        <v>1622.4590163934429</v>
      </c>
      <c r="J351" s="1017">
        <f>3/$D$344*I346</f>
        <v>2301.1475409836066</v>
      </c>
      <c r="K351" s="1017">
        <f>3/$D$344*J346</f>
        <v>2592.2950819672133</v>
      </c>
      <c r="L351" s="1017"/>
      <c r="M351" s="1017">
        <f>3/$D$344*K346</f>
        <v>3227.9631147540986</v>
      </c>
      <c r="N351" s="1017">
        <f>3/$D$344*M346</f>
        <v>4338.6437704918035</v>
      </c>
      <c r="O351" s="1017">
        <f>3/$D$344*N346</f>
        <v>4486.1655737704923</v>
      </c>
      <c r="P351" s="1017">
        <f>3/$D$344*O346</f>
        <v>4778.8559016393447</v>
      </c>
      <c r="Q351" s="1017"/>
      <c r="R351" s="1017"/>
      <c r="S351" s="1017"/>
      <c r="T351" s="1017" t="e">
        <f>3/$D$344*#REF!</f>
        <v>#REF!</v>
      </c>
      <c r="U351" s="1017" t="e">
        <f>3/$D$344*T346</f>
        <v>#REF!</v>
      </c>
      <c r="W351" s="1017" t="e">
        <f>3/$D$344*U346</f>
        <v>#REF!</v>
      </c>
      <c r="X351" s="1017" t="e">
        <f>3/$D$344*W346</f>
        <v>#REF!</v>
      </c>
      <c r="Y351" s="1017" t="e">
        <f>3/$D$344*X346</f>
        <v>#REF!</v>
      </c>
      <c r="Z351" s="1017" t="e">
        <f>3/$D$344*Y346</f>
        <v>#REF!</v>
      </c>
    </row>
    <row r="352" spans="2:27" x14ac:dyDescent="0.6">
      <c r="B352" s="167" t="s">
        <v>1038</v>
      </c>
      <c r="G352" s="1017"/>
      <c r="H352" s="1017">
        <f t="shared" ref="H352:K353" si="89">H$351*G370</f>
        <v>1469.5081967213118</v>
      </c>
      <c r="I352" s="1017">
        <f t="shared" si="89"/>
        <v>1472.9508196721313</v>
      </c>
      <c r="J352" s="1017">
        <f t="shared" si="89"/>
        <v>2010</v>
      </c>
      <c r="K352" s="1017">
        <f t="shared" si="89"/>
        <v>2148.1967213114758</v>
      </c>
      <c r="L352" s="1017"/>
      <c r="M352" s="1017">
        <f>M$351*K370</f>
        <v>2543.202786885246</v>
      </c>
      <c r="N352" s="1017">
        <f>N$351*M370</f>
        <v>3351.3486885245902</v>
      </c>
      <c r="O352" s="1017">
        <f>O$351*N370</f>
        <v>3529.0903278688529</v>
      </c>
      <c r="P352" s="1017">
        <f>P$351*O370</f>
        <v>3842.1009836065573</v>
      </c>
      <c r="Q352" s="1017"/>
      <c r="R352" s="1017"/>
      <c r="S352" s="1017"/>
      <c r="T352" s="1017" t="e">
        <f>T$351*#REF!</f>
        <v>#REF!</v>
      </c>
      <c r="U352" s="1017" t="e">
        <f>U$351*T370</f>
        <v>#REF!</v>
      </c>
      <c r="W352" s="1017" t="e">
        <f>W$351*U370</f>
        <v>#REF!</v>
      </c>
      <c r="X352" s="1017" t="e">
        <f t="shared" ref="X352:Z354" si="90">X$351*W370</f>
        <v>#REF!</v>
      </c>
      <c r="Y352" s="1017" t="e">
        <f t="shared" si="90"/>
        <v>#REF!</v>
      </c>
      <c r="Z352" s="1017" t="e">
        <f t="shared" si="90"/>
        <v>#REF!</v>
      </c>
    </row>
    <row r="353" spans="2:26" x14ac:dyDescent="0.6">
      <c r="B353" s="167" t="s">
        <v>1037</v>
      </c>
      <c r="G353" s="1017"/>
      <c r="H353" s="1017">
        <f t="shared" si="89"/>
        <v>163.27868852459019</v>
      </c>
      <c r="I353" s="1017">
        <f t="shared" si="89"/>
        <v>149.50819672131149</v>
      </c>
      <c r="J353" s="1017">
        <f t="shared" si="89"/>
        <v>291.14754098360658</v>
      </c>
      <c r="K353" s="1017">
        <f t="shared" si="89"/>
        <v>444.09836065573768</v>
      </c>
      <c r="L353" s="1017"/>
      <c r="M353" s="1017">
        <f>M$351*K371</f>
        <v>684.76032786885253</v>
      </c>
      <c r="N353" s="1017">
        <f>N$351*N371</f>
        <v>925.60305348540214</v>
      </c>
      <c r="O353" s="1017">
        <f>O$351*O371</f>
        <v>879.38154044303349</v>
      </c>
      <c r="P353" s="1017">
        <f>P$351*P371</f>
        <v>837.58396499373077</v>
      </c>
      <c r="Q353" s="1017"/>
      <c r="R353" s="1017"/>
      <c r="S353" s="1017"/>
      <c r="T353" s="1017" t="e">
        <f>T$351*#REF!</f>
        <v>#REF!</v>
      </c>
      <c r="U353" s="1017" t="e">
        <f>U$351*T371</f>
        <v>#REF!</v>
      </c>
      <c r="W353" s="1017" t="e">
        <f>W$351*U371</f>
        <v>#REF!</v>
      </c>
      <c r="X353" s="1017" t="e">
        <f t="shared" si="90"/>
        <v>#REF!</v>
      </c>
      <c r="Y353" s="1017" t="e">
        <f t="shared" si="90"/>
        <v>#REF!</v>
      </c>
      <c r="Z353" s="1017" t="e">
        <f t="shared" si="90"/>
        <v>#REF!</v>
      </c>
    </row>
    <row r="354" spans="2:26" x14ac:dyDescent="0.6">
      <c r="B354" s="167" t="s">
        <v>1333</v>
      </c>
      <c r="G354" s="1017"/>
      <c r="H354" s="1017"/>
      <c r="I354" s="1017"/>
      <c r="J354" s="1017"/>
      <c r="K354" s="1017"/>
      <c r="L354" s="1017"/>
      <c r="M354" s="1017"/>
      <c r="N354" s="1017"/>
      <c r="O354" s="1017"/>
      <c r="P354" s="1017"/>
      <c r="Q354" s="1017"/>
      <c r="R354" s="1017"/>
      <c r="S354" s="1017"/>
      <c r="T354" s="1017" t="e">
        <f>T$351*#REF!</f>
        <v>#REF!</v>
      </c>
      <c r="U354" s="1017" t="e">
        <f>U$351*T372</f>
        <v>#REF!</v>
      </c>
      <c r="W354" s="1017" t="e">
        <f>W$351*U372</f>
        <v>#REF!</v>
      </c>
      <c r="X354" s="1017" t="e">
        <f t="shared" si="90"/>
        <v>#REF!</v>
      </c>
      <c r="Y354" s="1017" t="e">
        <f t="shared" si="90"/>
        <v>#REF!</v>
      </c>
      <c r="Z354" s="1017" t="e">
        <f t="shared" si="90"/>
        <v>#REF!</v>
      </c>
    </row>
    <row r="355" spans="2:26" x14ac:dyDescent="0.6">
      <c r="G355" s="1017"/>
      <c r="H355" s="1017"/>
      <c r="I355" s="1017"/>
      <c r="J355" s="1017"/>
      <c r="K355" s="1017"/>
      <c r="L355" s="1017"/>
      <c r="M355" s="1017"/>
      <c r="N355" s="1017"/>
      <c r="O355" s="1017"/>
      <c r="P355" s="1017"/>
      <c r="Q355" s="1017"/>
      <c r="R355" s="1017"/>
      <c r="S355" s="1017"/>
      <c r="T355" s="1017"/>
      <c r="U355" s="1017"/>
      <c r="W355" s="1017"/>
      <c r="X355" s="1017"/>
      <c r="Y355" s="1017"/>
      <c r="Z355" s="1017"/>
    </row>
    <row r="356" spans="2:26" x14ac:dyDescent="0.6">
      <c r="B356" s="20" t="s">
        <v>1036</v>
      </c>
      <c r="C356" s="20"/>
      <c r="D356" s="23"/>
      <c r="E356" s="23"/>
      <c r="F356" s="23"/>
      <c r="G356" s="23">
        <f>(G346)-(F346-G351)</f>
        <v>3320</v>
      </c>
      <c r="H356" s="23">
        <f>(H346)-(G346-H351)</f>
        <v>1611.7868852459019</v>
      </c>
      <c r="I356" s="23">
        <f>(I346)-(H346-I351)</f>
        <v>3002.4590163934427</v>
      </c>
      <c r="J356" s="23">
        <f>(J346)-(I346-J351)</f>
        <v>2893.1475409836066</v>
      </c>
      <c r="K356" s="23">
        <f>(K346)-(J346-K351)</f>
        <v>3884.8200819672129</v>
      </c>
      <c r="L356" s="23"/>
      <c r="M356" s="23">
        <f>(M346)-(K346-M351)</f>
        <v>5486.3471147540986</v>
      </c>
      <c r="N356" s="23">
        <f>(N346)-(M346-N351)</f>
        <v>4638.6047704918046</v>
      </c>
      <c r="O356" s="23">
        <f>(O346)-(N346-O351)</f>
        <v>5081.3025737704911</v>
      </c>
      <c r="P356" s="23">
        <f>(P346)-(O346-P351)</f>
        <v>6318.8489016393451</v>
      </c>
      <c r="Q356" s="23"/>
      <c r="R356" s="23"/>
      <c r="S356" s="23"/>
      <c r="T356" s="23">
        <f>T357+T358</f>
        <v>7700</v>
      </c>
      <c r="U356" s="23">
        <f>U357+U358</f>
        <v>8300</v>
      </c>
      <c r="W356" s="23">
        <f>W357+W358</f>
        <v>9000</v>
      </c>
      <c r="X356" s="23">
        <f>X357+X358</f>
        <v>9700</v>
      </c>
      <c r="Y356" s="23">
        <f>Y357+Y358</f>
        <v>10400</v>
      </c>
      <c r="Z356" s="23">
        <f>Z357+Z358</f>
        <v>11100</v>
      </c>
    </row>
    <row r="357" spans="2:26" x14ac:dyDescent="0.6">
      <c r="B357" s="167" t="s">
        <v>1038</v>
      </c>
      <c r="G357" s="1017">
        <f t="shared" ref="G357:K358" si="91">G$356*G370</f>
        <v>2988</v>
      </c>
      <c r="H357" s="1017">
        <f t="shared" si="91"/>
        <v>1463.2621161902018</v>
      </c>
      <c r="I357" s="1017">
        <f t="shared" si="91"/>
        <v>2622.5796110279975</v>
      </c>
      <c r="J357" s="1017">
        <f t="shared" si="91"/>
        <v>2397.5087192214751</v>
      </c>
      <c r="K357" s="1017">
        <f t="shared" si="91"/>
        <v>3060.7181395130101</v>
      </c>
      <c r="L357" s="1017"/>
      <c r="M357" s="1017">
        <f>M$356*M370</f>
        <v>4237.8824306512752</v>
      </c>
      <c r="N357" s="1017">
        <f>N$356*N370</f>
        <v>3649.0082590933866</v>
      </c>
      <c r="O357" s="1017">
        <f>O$356*O370</f>
        <v>4085.261832228292</v>
      </c>
      <c r="P357" s="1017">
        <f>P$356*P370</f>
        <v>5211.3523321328666</v>
      </c>
      <c r="Q357" s="97"/>
      <c r="R357" s="97"/>
      <c r="S357" s="97"/>
      <c r="T357" s="496">
        <v>6000</v>
      </c>
      <c r="U357" s="496">
        <v>6500</v>
      </c>
      <c r="W357" s="496">
        <f>U357+500</f>
        <v>7000</v>
      </c>
      <c r="X357" s="496">
        <f>W357+500</f>
        <v>7500</v>
      </c>
      <c r="Y357" s="496">
        <f>X357+500</f>
        <v>8000</v>
      </c>
      <c r="Z357" s="496">
        <f>Y357+500</f>
        <v>8500</v>
      </c>
    </row>
    <row r="358" spans="2:26" x14ac:dyDescent="0.6">
      <c r="B358" s="167" t="s">
        <v>1037</v>
      </c>
      <c r="G358" s="1017">
        <f t="shared" si="91"/>
        <v>332</v>
      </c>
      <c r="H358" s="1017">
        <f t="shared" si="91"/>
        <v>148.52476905569998</v>
      </c>
      <c r="I358" s="1017">
        <f t="shared" si="91"/>
        <v>379.87940536544522</v>
      </c>
      <c r="J358" s="1017">
        <f t="shared" si="91"/>
        <v>495.63882176213178</v>
      </c>
      <c r="K358" s="1017">
        <f t="shared" si="91"/>
        <v>824.1019424542028</v>
      </c>
      <c r="L358" s="1017"/>
      <c r="M358" s="1017">
        <f>M$356*M371</f>
        <v>1248.4646841028232</v>
      </c>
      <c r="N358" s="1179">
        <v>4800</v>
      </c>
      <c r="O358" s="1179">
        <v>4600</v>
      </c>
      <c r="P358" s="1179">
        <v>5000</v>
      </c>
      <c r="Q358" s="97"/>
      <c r="R358" s="1180">
        <v>6300</v>
      </c>
      <c r="S358" s="1180">
        <v>7300</v>
      </c>
      <c r="T358" s="496">
        <v>1700</v>
      </c>
      <c r="U358" s="496">
        <v>1800</v>
      </c>
      <c r="W358" s="496">
        <v>2000</v>
      </c>
      <c r="X358" s="496">
        <f>W358+200</f>
        <v>2200</v>
      </c>
      <c r="Y358" s="496">
        <f>X358+200</f>
        <v>2400</v>
      </c>
      <c r="Z358" s="496">
        <f>Y358+200</f>
        <v>2600</v>
      </c>
    </row>
    <row r="359" spans="2:26" x14ac:dyDescent="0.6">
      <c r="B359" s="167" t="s">
        <v>1333</v>
      </c>
      <c r="G359" s="1017"/>
      <c r="H359" s="1017"/>
      <c r="I359" s="1017"/>
      <c r="J359" s="1017"/>
      <c r="K359" s="1017"/>
      <c r="L359" s="1017"/>
      <c r="M359" s="1017"/>
      <c r="N359" s="1017"/>
      <c r="O359" s="1017"/>
      <c r="P359" s="1017"/>
      <c r="Q359" s="97"/>
      <c r="R359" s="97"/>
      <c r="S359" s="97"/>
      <c r="T359" s="1106">
        <f>T233</f>
        <v>618.75</v>
      </c>
      <c r="U359" s="1106">
        <f>U233</f>
        <v>854.41886489850663</v>
      </c>
      <c r="W359" s="1106">
        <f>W233</f>
        <v>700</v>
      </c>
      <c r="X359" s="1106">
        <f>X233</f>
        <v>1000</v>
      </c>
      <c r="Y359" s="1106">
        <f>Y233</f>
        <v>1500</v>
      </c>
      <c r="Z359" s="1106">
        <f>Z233</f>
        <v>1612.287152299602</v>
      </c>
    </row>
    <row r="360" spans="2:26" x14ac:dyDescent="0.6">
      <c r="B360" s="167"/>
      <c r="G360" s="1017"/>
      <c r="H360" s="1017"/>
      <c r="I360" s="1017"/>
      <c r="J360" s="1017"/>
      <c r="K360" s="1017"/>
      <c r="L360" s="1017"/>
      <c r="M360" s="1017"/>
      <c r="N360" s="1017"/>
      <c r="O360" s="1017"/>
      <c r="P360" s="1017"/>
      <c r="Q360" s="97"/>
      <c r="R360" s="97"/>
      <c r="S360" s="97"/>
      <c r="T360" s="496"/>
      <c r="U360" s="496"/>
      <c r="W360" s="496"/>
      <c r="X360" s="496"/>
      <c r="Y360" s="496"/>
      <c r="Z360" s="496"/>
    </row>
    <row r="361" spans="2:26" x14ac:dyDescent="0.6">
      <c r="B361" s="167" t="s">
        <v>1640</v>
      </c>
      <c r="G361" s="1017"/>
      <c r="H361" s="1017"/>
      <c r="I361" s="1017"/>
      <c r="J361" s="1017"/>
      <c r="K361" s="1017"/>
      <c r="L361" s="1017"/>
      <c r="M361" s="1017"/>
      <c r="N361" s="1179">
        <v>4800</v>
      </c>
      <c r="O361" s="1179">
        <v>4600</v>
      </c>
      <c r="P361" s="1179">
        <v>5000</v>
      </c>
      <c r="Q361" s="97"/>
      <c r="R361" s="1180">
        <v>6300</v>
      </c>
      <c r="S361" s="1180">
        <v>7300</v>
      </c>
      <c r="T361" s="496"/>
      <c r="U361" s="496"/>
      <c r="W361" s="496"/>
      <c r="X361" s="496"/>
      <c r="Y361" s="496"/>
      <c r="Z361" s="496"/>
    </row>
    <row r="362" spans="2:26" x14ac:dyDescent="0.6">
      <c r="B362" s="167" t="s">
        <v>1641</v>
      </c>
      <c r="G362" s="1017"/>
      <c r="H362" s="1017"/>
      <c r="I362" s="1017"/>
      <c r="J362" s="1017"/>
      <c r="K362" s="1017"/>
      <c r="L362" s="1017"/>
      <c r="M362" s="1017"/>
      <c r="N362" s="1017">
        <f>N361/N50</f>
        <v>975.39747447084653</v>
      </c>
      <c r="O362" s="1017">
        <f>O361/O50</f>
        <v>876.78512122218524</v>
      </c>
      <c r="P362" s="1017">
        <f>P361/P50</f>
        <v>950.57034220532319</v>
      </c>
      <c r="Q362" s="97"/>
      <c r="R362" s="1017">
        <f>R361/R50</f>
        <v>1213.8728323699422</v>
      </c>
      <c r="S362" s="1017">
        <f>S361/S50</f>
        <v>1474.7474747474746</v>
      </c>
      <c r="T362" s="496"/>
      <c r="U362" s="496"/>
      <c r="W362" s="496"/>
      <c r="X362" s="496"/>
      <c r="Y362" s="496"/>
      <c r="Z362" s="496"/>
    </row>
    <row r="363" spans="2:26" x14ac:dyDescent="0.6">
      <c r="B363" s="167"/>
      <c r="G363" s="1017"/>
      <c r="H363" s="1017"/>
      <c r="I363" s="1017"/>
      <c r="J363" s="1017"/>
      <c r="K363" s="1017"/>
      <c r="L363" s="1017"/>
      <c r="M363" s="1017"/>
      <c r="N363" s="1017"/>
      <c r="O363" s="1017"/>
      <c r="P363" s="1017"/>
      <c r="Q363" s="97"/>
      <c r="R363" s="97"/>
      <c r="S363" s="97"/>
      <c r="T363" s="496"/>
      <c r="U363" s="496"/>
      <c r="W363" s="496"/>
      <c r="X363" s="496"/>
      <c r="Y363" s="496"/>
      <c r="Z363" s="496"/>
    </row>
    <row r="364" spans="2:26" x14ac:dyDescent="0.6">
      <c r="B364" t="s">
        <v>1054</v>
      </c>
      <c r="G364" s="1017"/>
      <c r="H364" s="1017"/>
      <c r="I364" s="1017"/>
      <c r="J364" s="1017"/>
      <c r="K364" s="1035">
        <f>K356/G356-1</f>
        <v>0.17012653071301598</v>
      </c>
      <c r="L364" s="1017"/>
      <c r="M364" s="1035">
        <f t="shared" ref="M364:P366" si="92">M356/H356-1</f>
        <v>2.4038911502354576</v>
      </c>
      <c r="N364" s="1035">
        <f t="shared" si="92"/>
        <v>0.54493524979525021</v>
      </c>
      <c r="O364" s="1035">
        <f t="shared" si="92"/>
        <v>0.75632334742353291</v>
      </c>
      <c r="P364" s="1035">
        <f t="shared" si="92"/>
        <v>0.62654866076566851</v>
      </c>
      <c r="Q364" s="97"/>
      <c r="R364" s="97"/>
      <c r="S364" s="97"/>
      <c r="T364" s="1035">
        <f t="shared" ref="T364:U366" si="93">T356/O356-1</f>
        <v>0.51535947490061607</v>
      </c>
      <c r="U364" s="1035">
        <f t="shared" si="93"/>
        <v>0.3135303801688738</v>
      </c>
      <c r="W364" s="1035" t="e">
        <f>W356/#REF!-1</f>
        <v>#REF!</v>
      </c>
      <c r="X364" s="1035" t="e">
        <f>X356/#REF!-1</f>
        <v>#REF!</v>
      </c>
      <c r="Y364" s="1035">
        <f t="shared" ref="Y364:Z366" si="94">Y356/T356-1</f>
        <v>0.35064935064935066</v>
      </c>
      <c r="Z364" s="1035">
        <f t="shared" si="94"/>
        <v>0.33734939759036142</v>
      </c>
    </row>
    <row r="365" spans="2:26" x14ac:dyDescent="0.6">
      <c r="B365" s="167" t="s">
        <v>1038</v>
      </c>
      <c r="G365" s="1017"/>
      <c r="H365" s="1017"/>
      <c r="I365" s="1017"/>
      <c r="J365" s="1017"/>
      <c r="K365" s="1035">
        <f>K357/G357-1</f>
        <v>2.4336726744648596E-2</v>
      </c>
      <c r="L365" s="1017"/>
      <c r="M365" s="1035">
        <f t="shared" si="92"/>
        <v>1.8961881700902414</v>
      </c>
      <c r="N365" s="1035">
        <f t="shared" si="92"/>
        <v>0.39138131164798096</v>
      </c>
      <c r="O365" s="1035">
        <f t="shared" si="92"/>
        <v>0.70396119917130817</v>
      </c>
      <c r="P365" s="1035">
        <f t="shared" si="92"/>
        <v>0.7026567277972362</v>
      </c>
      <c r="Q365" s="97"/>
      <c r="R365" s="97"/>
      <c r="S365" s="97"/>
      <c r="T365" s="1035">
        <f t="shared" si="93"/>
        <v>0.46869411225163038</v>
      </c>
      <c r="U365" s="1035">
        <f t="shared" si="93"/>
        <v>0.2472770186581732</v>
      </c>
      <c r="W365" s="1035" t="e">
        <f>W357/#REF!-1</f>
        <v>#REF!</v>
      </c>
      <c r="X365" s="1035" t="e">
        <f>X357/#REF!-1</f>
        <v>#REF!</v>
      </c>
      <c r="Y365" s="1035">
        <f t="shared" si="94"/>
        <v>0.33333333333333326</v>
      </c>
      <c r="Z365" s="1035">
        <f t="shared" si="94"/>
        <v>0.30769230769230771</v>
      </c>
    </row>
    <row r="366" spans="2:26" x14ac:dyDescent="0.6">
      <c r="B366" s="167" t="s">
        <v>1037</v>
      </c>
      <c r="G366" s="1017"/>
      <c r="H366" s="1017"/>
      <c r="I366" s="1017"/>
      <c r="J366" s="1017"/>
      <c r="K366" s="1035">
        <f>K358/G358-1</f>
        <v>1.4822347664283217</v>
      </c>
      <c r="L366" s="1017"/>
      <c r="M366" s="1035">
        <f t="shared" si="92"/>
        <v>7.405767550021384</v>
      </c>
      <c r="N366" s="1035">
        <f t="shared" si="92"/>
        <v>11.635588905859175</v>
      </c>
      <c r="O366" s="1035">
        <f t="shared" si="92"/>
        <v>8.2809517697700521</v>
      </c>
      <c r="P366" s="1035">
        <f t="shared" si="92"/>
        <v>5.0672105505659104</v>
      </c>
      <c r="Q366" s="97"/>
      <c r="R366" s="97"/>
      <c r="S366" s="97"/>
      <c r="T366" s="1035">
        <f t="shared" si="93"/>
        <v>-0.63043478260869568</v>
      </c>
      <c r="U366" s="1035">
        <f t="shared" si="93"/>
        <v>-0.64</v>
      </c>
      <c r="W366" s="1035" t="e">
        <f>W358/#REF!-1</f>
        <v>#REF!</v>
      </c>
      <c r="X366" s="1035" t="e">
        <f>X358/#REF!-1</f>
        <v>#REF!</v>
      </c>
      <c r="Y366" s="1035">
        <f t="shared" si="94"/>
        <v>0.41176470588235303</v>
      </c>
      <c r="Z366" s="1035">
        <f t="shared" si="94"/>
        <v>0.44444444444444442</v>
      </c>
    </row>
    <row r="367" spans="2:26" x14ac:dyDescent="0.6">
      <c r="B367" s="167"/>
      <c r="P367" s="496"/>
      <c r="Q367" s="97"/>
      <c r="R367" s="97"/>
      <c r="S367" s="97"/>
      <c r="T367" s="496"/>
      <c r="U367" s="496"/>
      <c r="W367" s="496"/>
      <c r="X367" s="496"/>
      <c r="Y367" s="496"/>
      <c r="Z367" s="496"/>
    </row>
    <row r="368" spans="2:26" x14ac:dyDescent="0.6">
      <c r="B368" s="167"/>
      <c r="P368" s="496"/>
      <c r="Q368" s="97"/>
      <c r="R368" s="97"/>
      <c r="S368" s="97"/>
      <c r="T368" s="496"/>
      <c r="U368" s="496"/>
      <c r="W368" s="496"/>
      <c r="X368" s="496"/>
      <c r="Y368" s="496"/>
      <c r="Z368" s="496"/>
    </row>
    <row r="370" spans="2:28" x14ac:dyDescent="0.6">
      <c r="B370" s="167" t="s">
        <v>1039</v>
      </c>
      <c r="G370" s="281">
        <f>(1-G371)</f>
        <v>0.9</v>
      </c>
      <c r="H370" s="281">
        <f>H328</f>
        <v>0.90785086389815095</v>
      </c>
      <c r="I370" s="281">
        <f>I328</f>
        <v>0.87347723872622351</v>
      </c>
      <c r="J370" s="281">
        <f>J328</f>
        <v>0.82868525896414347</v>
      </c>
      <c r="K370" s="281">
        <f>K328</f>
        <v>0.78786612376733534</v>
      </c>
      <c r="L370" s="281"/>
      <c r="M370" s="281">
        <f>M328</f>
        <v>0.77244154298123002</v>
      </c>
      <c r="N370" s="281">
        <f>N328</f>
        <v>0.78666073951941873</v>
      </c>
      <c r="O370" s="281">
        <f>O328</f>
        <v>0.80397924998921988</v>
      </c>
      <c r="P370" s="281">
        <f>P328</f>
        <v>0.82473127831571469</v>
      </c>
      <c r="T370" s="281" t="e">
        <f>(1-T371-T372)</f>
        <v>#REF!</v>
      </c>
      <c r="U370" s="281" t="e">
        <f>(1-U371-U372)</f>
        <v>#REF!</v>
      </c>
      <c r="W370" s="281" t="e">
        <f>(1-W371)</f>
        <v>#REF!</v>
      </c>
      <c r="X370" s="281" t="e">
        <f>(1-X371)</f>
        <v>#REF!</v>
      </c>
      <c r="Y370" s="281" t="e">
        <f>(1-Y371)</f>
        <v>#REF!</v>
      </c>
      <c r="Z370" s="281" t="e">
        <f>(1-Z371)</f>
        <v>#REF!</v>
      </c>
    </row>
    <row r="371" spans="2:28" x14ac:dyDescent="0.6">
      <c r="B371" s="167" t="s">
        <v>1040</v>
      </c>
      <c r="G371" s="535">
        <v>0.1</v>
      </c>
      <c r="H371" s="281">
        <f>H327</f>
        <v>9.214913610184905E-2</v>
      </c>
      <c r="I371" s="281">
        <f>I327</f>
        <v>0.12652276127377646</v>
      </c>
      <c r="J371" s="281">
        <f>J327</f>
        <v>0.17131474103585656</v>
      </c>
      <c r="K371" s="281">
        <f>K327</f>
        <v>0.21213387623266464</v>
      </c>
      <c r="L371" s="281"/>
      <c r="M371" s="281">
        <f>M327</f>
        <v>0.22755845701876998</v>
      </c>
      <c r="N371" s="281">
        <f>N327</f>
        <v>0.21333926048058127</v>
      </c>
      <c r="O371" s="281">
        <f>O327</f>
        <v>0.19602075001078009</v>
      </c>
      <c r="P371" s="281">
        <f>P327</f>
        <v>0.17526872168428534</v>
      </c>
      <c r="T371" s="535" t="e">
        <f>#REF!+1%</f>
        <v>#REF!</v>
      </c>
      <c r="U371" s="535" t="e">
        <f>T371+1%</f>
        <v>#REF!</v>
      </c>
      <c r="W371" s="535" t="e">
        <f>U371+1%</f>
        <v>#REF!</v>
      </c>
      <c r="X371" s="535" t="e">
        <f>W371+1%</f>
        <v>#REF!</v>
      </c>
      <c r="Y371" s="535" t="e">
        <f>X371+1%</f>
        <v>#REF!</v>
      </c>
      <c r="Z371" s="535" t="e">
        <f>Y371+1%</f>
        <v>#REF!</v>
      </c>
    </row>
    <row r="372" spans="2:28" x14ac:dyDescent="0.6">
      <c r="T372" s="535"/>
      <c r="U372" s="535"/>
      <c r="W372" s="1017"/>
    </row>
    <row r="374" spans="2:28" x14ac:dyDescent="0.6">
      <c r="B374" t="s">
        <v>1047</v>
      </c>
      <c r="H374" s="43">
        <f>SUM(H375:H376)</f>
        <v>123.27540983606561</v>
      </c>
      <c r="I374" s="43">
        <f>SUM(I375:I376)</f>
        <v>121.1581967213115</v>
      </c>
      <c r="J374" s="43">
        <f>SUM(J375:J376)</f>
        <v>180.14508196721312</v>
      </c>
      <c r="K374" s="43">
        <f>SUM(K375:K376)</f>
        <v>215.12950819672136</v>
      </c>
      <c r="M374" s="43">
        <f>SUM(M375:M376)</f>
        <v>281.71743688524595</v>
      </c>
      <c r="N374" s="43">
        <f>SUM(N375:N376)</f>
        <v>375.19018384661672</v>
      </c>
      <c r="O374" s="43">
        <f>SUM(O375:O376)</f>
        <v>378.88573318679119</v>
      </c>
      <c r="P374" s="43">
        <f>SUM(P375:P376)</f>
        <v>392.1258379833605</v>
      </c>
      <c r="AB374" s="425"/>
    </row>
    <row r="375" spans="2:28" x14ac:dyDescent="0.6">
      <c r="B375" s="167" t="s">
        <v>1038</v>
      </c>
      <c r="H375" s="43">
        <f t="shared" ref="H375:K376" si="95">H379*H352</f>
        <v>95.518032786885271</v>
      </c>
      <c r="I375" s="43">
        <f t="shared" si="95"/>
        <v>95.741803278688536</v>
      </c>
      <c r="J375" s="43">
        <f t="shared" si="95"/>
        <v>130.65</v>
      </c>
      <c r="K375" s="43">
        <f t="shared" si="95"/>
        <v>139.63278688524593</v>
      </c>
      <c r="M375" s="43">
        <f t="shared" ref="M375:O376" si="96">M379*M352</f>
        <v>165.30818114754101</v>
      </c>
      <c r="N375" s="43">
        <f t="shared" si="96"/>
        <v>217.83766475409837</v>
      </c>
      <c r="O375" s="43">
        <f t="shared" si="96"/>
        <v>229.39087131147545</v>
      </c>
      <c r="P375" s="43">
        <f>P379*P352</f>
        <v>249.73656393442624</v>
      </c>
      <c r="AB375" s="425"/>
    </row>
    <row r="376" spans="2:28" x14ac:dyDescent="0.6">
      <c r="B376" s="167" t="s">
        <v>1037</v>
      </c>
      <c r="H376" s="43">
        <f t="shared" si="95"/>
        <v>27.757377049180334</v>
      </c>
      <c r="I376" s="43">
        <f t="shared" si="95"/>
        <v>25.416393442622955</v>
      </c>
      <c r="J376" s="43">
        <f t="shared" si="95"/>
        <v>49.495081967213125</v>
      </c>
      <c r="K376" s="43">
        <f t="shared" si="95"/>
        <v>75.496721311475412</v>
      </c>
      <c r="M376" s="43">
        <f t="shared" si="96"/>
        <v>116.40925573770494</v>
      </c>
      <c r="N376" s="43">
        <f t="shared" si="96"/>
        <v>157.35251909251838</v>
      </c>
      <c r="O376" s="43">
        <f t="shared" si="96"/>
        <v>149.49486187531571</v>
      </c>
      <c r="P376" s="43">
        <f>P380*P353</f>
        <v>142.38927404893425</v>
      </c>
    </row>
    <row r="377" spans="2:28" x14ac:dyDescent="0.6">
      <c r="B377" s="167"/>
    </row>
    <row r="378" spans="2:28" x14ac:dyDescent="0.6">
      <c r="B378" t="s">
        <v>924</v>
      </c>
    </row>
    <row r="379" spans="2:28" x14ac:dyDescent="0.6">
      <c r="B379" s="167" t="s">
        <v>180</v>
      </c>
      <c r="G379" s="110"/>
      <c r="H379" s="110">
        <v>6.5000000000000002E-2</v>
      </c>
      <c r="I379" s="110">
        <v>6.5000000000000002E-2</v>
      </c>
      <c r="J379" s="110">
        <v>6.5000000000000002E-2</v>
      </c>
      <c r="K379" s="110">
        <v>6.5000000000000002E-2</v>
      </c>
      <c r="M379" s="110">
        <v>6.5000000000000002E-2</v>
      </c>
      <c r="N379" s="110">
        <v>6.5000000000000002E-2</v>
      </c>
      <c r="O379" s="110">
        <v>6.5000000000000002E-2</v>
      </c>
      <c r="P379" s="110">
        <v>6.5000000000000002E-2</v>
      </c>
    </row>
    <row r="380" spans="2:28" x14ac:dyDescent="0.6">
      <c r="B380" s="167" t="s">
        <v>218</v>
      </c>
      <c r="G380" s="110"/>
      <c r="H380" s="110">
        <v>0.17</v>
      </c>
      <c r="I380" s="110">
        <v>0.17</v>
      </c>
      <c r="J380" s="110">
        <v>0.17</v>
      </c>
      <c r="K380" s="110">
        <v>0.17</v>
      </c>
      <c r="M380" s="110">
        <v>0.17</v>
      </c>
      <c r="N380" s="110">
        <v>0.17</v>
      </c>
      <c r="O380" s="110">
        <v>0.17</v>
      </c>
      <c r="P380" s="110">
        <v>0.17</v>
      </c>
    </row>
    <row r="382" spans="2:28" x14ac:dyDescent="0.6">
      <c r="B382" s="167" t="s">
        <v>1048</v>
      </c>
      <c r="H382" s="43">
        <f>H38</f>
        <v>-71.3</v>
      </c>
      <c r="I382" s="43">
        <f t="shared" ref="I382:U382" si="97">I38</f>
        <v>-82.7</v>
      </c>
      <c r="J382" s="43">
        <f t="shared" si="97"/>
        <v>-127</v>
      </c>
      <c r="K382" s="43">
        <f t="shared" si="97"/>
        <v>-199.63400000000001</v>
      </c>
      <c r="M382" s="43">
        <f t="shared" si="97"/>
        <v>-275.72199999999998</v>
      </c>
      <c r="N382" s="43">
        <f>N38</f>
        <v>-338.49200000000002</v>
      </c>
      <c r="O382" s="43">
        <f>O38</f>
        <v>-375.5</v>
      </c>
      <c r="P382" s="43">
        <f>P38</f>
        <v>-415.18600000000015</v>
      </c>
      <c r="T382" s="43">
        <f t="shared" si="97"/>
        <v>-669.12822379153624</v>
      </c>
      <c r="U382" s="43">
        <f t="shared" si="97"/>
        <v>-729.31177620846381</v>
      </c>
      <c r="W382" s="43">
        <f>W38</f>
        <v>-750.92853909556925</v>
      </c>
      <c r="X382" s="43">
        <f>X38</f>
        <v>-770.21264991279384</v>
      </c>
      <c r="Y382" s="43">
        <f>Y38</f>
        <v>-805.07983892209495</v>
      </c>
      <c r="Z382" s="43">
        <f>Z38</f>
        <v>-980.93897206954171</v>
      </c>
    </row>
    <row r="383" spans="2:28" x14ac:dyDescent="0.6">
      <c r="B383" s="200" t="s">
        <v>10</v>
      </c>
      <c r="H383" s="281">
        <f>H382/H$6</f>
        <v>-0.2910204081632653</v>
      </c>
      <c r="I383" s="281">
        <f>I382/I$6</f>
        <v>-0.24605772091639391</v>
      </c>
      <c r="J383" s="281">
        <f>J382/J$6</f>
        <v>-0.26408816801829904</v>
      </c>
      <c r="K383" s="281">
        <f>K382/K$6</f>
        <v>-0.31391955215900869</v>
      </c>
      <c r="M383" s="281">
        <f>M382/M$6</f>
        <v>-0.31429655965629616</v>
      </c>
      <c r="N383" s="281">
        <f>N382/N$6</f>
        <v>-0.29241828292418282</v>
      </c>
      <c r="O383" s="281">
        <f>O382/O$6</f>
        <v>-0.28732114163287165</v>
      </c>
      <c r="P383" s="281">
        <f>P382/P$6</f>
        <v>-0.28628146995873888</v>
      </c>
      <c r="T383" s="281">
        <f>T382/T$6</f>
        <v>-0.33</v>
      </c>
      <c r="U383" s="281">
        <f>U382/U$6</f>
        <v>-0.32880141660144363</v>
      </c>
      <c r="W383" s="281">
        <f>W382/W$6</f>
        <v>-0.33</v>
      </c>
      <c r="X383" s="281">
        <f>X382/X$6</f>
        <v>-0.32500000000000001</v>
      </c>
      <c r="Y383" s="281">
        <f>Y382/Y$6</f>
        <v>-0.32</v>
      </c>
      <c r="Z383" s="281">
        <f>Z382/Z$6</f>
        <v>-0.34274592307016122</v>
      </c>
    </row>
  </sheetData>
  <mergeCells count="1">
    <mergeCell ref="B336:B340"/>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385EC-0970-4333-86CF-688611E12722}">
  <dimension ref="B1:AL390"/>
  <sheetViews>
    <sheetView showGridLines="0" zoomScale="73" zoomScaleNormal="80" workbookViewId="0">
      <selection activeCell="B3" sqref="B3"/>
    </sheetView>
  </sheetViews>
  <sheetFormatPr defaultColWidth="8.69921875" defaultRowHeight="12.9" outlineLevelCol="1" x14ac:dyDescent="0.5"/>
  <cols>
    <col min="1" max="1" width="8.69921875" style="79"/>
    <col min="2" max="2" width="32.44921875" style="79" customWidth="1"/>
    <col min="3" max="9" width="8.94921875" style="79" customWidth="1"/>
    <col min="10" max="10" width="8.94921875" style="79" hidden="1" customWidth="1" outlineLevel="1"/>
    <col min="11" max="11" width="8.94921875" style="79" customWidth="1" collapsed="1"/>
    <col min="12" max="19" width="8.94921875" style="79" customWidth="1"/>
    <col min="20" max="20" width="18" style="79" bestFit="1" customWidth="1"/>
    <col min="21" max="38" width="7.296875" style="79" customWidth="1"/>
    <col min="39" max="16384" width="8.69921875" style="79"/>
  </cols>
  <sheetData>
    <row r="1" spans="2:38" ht="13.2" thickBot="1" x14ac:dyDescent="0.55000000000000004"/>
    <row r="2" spans="2:38" ht="14.1" x14ac:dyDescent="0.5">
      <c r="B2" s="557"/>
      <c r="C2" s="557"/>
      <c r="D2" s="557"/>
      <c r="E2" s="557"/>
      <c r="F2" s="935"/>
      <c r="I2" s="1128" t="s">
        <v>554</v>
      </c>
      <c r="J2" s="935"/>
      <c r="K2" s="1128" t="s">
        <v>671</v>
      </c>
      <c r="M2" s="935" t="s">
        <v>1017</v>
      </c>
      <c r="N2" s="935" t="s">
        <v>1018</v>
      </c>
      <c r="O2" s="935" t="s">
        <v>1019</v>
      </c>
    </row>
    <row r="3" spans="2:38" ht="14.1" x14ac:dyDescent="0.5">
      <c r="B3" s="936" t="s">
        <v>699</v>
      </c>
      <c r="C3" s="937" t="s">
        <v>870</v>
      </c>
      <c r="D3" s="937" t="s">
        <v>1010</v>
      </c>
      <c r="E3" s="937" t="s">
        <v>1011</v>
      </c>
      <c r="F3" s="937" t="s">
        <v>1012</v>
      </c>
      <c r="G3" s="937" t="s">
        <v>1017</v>
      </c>
      <c r="H3" s="937" t="s">
        <v>1018</v>
      </c>
      <c r="I3" s="1129" t="s">
        <v>1775</v>
      </c>
      <c r="J3" s="937" t="s">
        <v>673</v>
      </c>
      <c r="K3" s="1129" t="s">
        <v>1033</v>
      </c>
      <c r="L3" s="937" t="s">
        <v>673</v>
      </c>
      <c r="M3" s="937" t="s">
        <v>675</v>
      </c>
      <c r="N3" s="937" t="s">
        <v>675</v>
      </c>
      <c r="O3" s="937" t="s">
        <v>675</v>
      </c>
    </row>
    <row r="4" spans="2:38" ht="14.1" x14ac:dyDescent="0.5">
      <c r="B4" s="938" t="s">
        <v>133</v>
      </c>
      <c r="C4" s="939">
        <f>Quarts!M6</f>
        <v>877.26700000000005</v>
      </c>
      <c r="D4" s="939">
        <f>Quarts!N6</f>
        <v>1157.5610000000001</v>
      </c>
      <c r="E4" s="939">
        <f>Quarts!O6</f>
        <v>1306.9000000000001</v>
      </c>
      <c r="F4" s="939">
        <f>Quarts!P6</f>
        <v>1450.2719999999999</v>
      </c>
      <c r="G4" s="939">
        <f>Quarts!R6</f>
        <v>1618.454</v>
      </c>
      <c r="H4" s="939">
        <f>Quarts!S6</f>
        <v>1868.6</v>
      </c>
      <c r="I4" s="1130">
        <f>Quarts!T6</f>
        <v>2027.6612842167765</v>
      </c>
      <c r="J4" s="1117">
        <f>H4/I4-1</f>
        <v>-7.8445687874450387E-2</v>
      </c>
      <c r="K4" s="1130">
        <v>2053.5</v>
      </c>
      <c r="L4" s="1117">
        <f>I4/K4-1</f>
        <v>-1.2582768825528889E-2</v>
      </c>
      <c r="M4" s="1117">
        <f>G4/C4-1</f>
        <v>0.84488188886621729</v>
      </c>
      <c r="N4" s="1117">
        <f>H4/D4-1</f>
        <v>0.61425618174765706</v>
      </c>
      <c r="O4" s="1117">
        <f>I4/E4-1</f>
        <v>0.55150454068159482</v>
      </c>
    </row>
    <row r="5" spans="2:38" ht="14.1" x14ac:dyDescent="0.5">
      <c r="B5" s="940" t="s">
        <v>706</v>
      </c>
      <c r="C5" s="941"/>
      <c r="D5" s="941"/>
      <c r="E5" s="941"/>
      <c r="F5" s="941"/>
      <c r="G5" s="941"/>
      <c r="H5" s="941"/>
      <c r="I5" s="1131"/>
      <c r="J5" s="1118"/>
      <c r="K5" s="1131"/>
      <c r="L5" s="1118"/>
      <c r="M5" s="1118"/>
      <c r="N5" s="1118"/>
      <c r="O5" s="1118"/>
    </row>
    <row r="6" spans="2:38" ht="14.1" x14ac:dyDescent="0.5">
      <c r="B6" s="942" t="s">
        <v>415</v>
      </c>
      <c r="C6" s="943">
        <f>Quarts!M7</f>
        <v>619.44299999999998</v>
      </c>
      <c r="D6" s="943">
        <f>Quarts!N7</f>
        <v>853.01300000000003</v>
      </c>
      <c r="E6" s="943">
        <f>Quarts!O7</f>
        <v>987.3</v>
      </c>
      <c r="F6" s="943">
        <f>Quarts!P7</f>
        <v>1095.2439999999999</v>
      </c>
      <c r="G6" s="943">
        <f>Quarts!R7</f>
        <v>1255.454</v>
      </c>
      <c r="H6" s="943">
        <f>Quarts!S7</f>
        <v>1500.2</v>
      </c>
      <c r="I6" s="1132">
        <f>Quarts!T7</f>
        <v>1627.6612842167765</v>
      </c>
      <c r="J6" s="1119">
        <f>H6/I6-1</f>
        <v>-7.830946490695101E-2</v>
      </c>
      <c r="K6" s="1132">
        <v>1644.1</v>
      </c>
      <c r="L6" s="1119">
        <f>I6/K6-1</f>
        <v>-9.9986106582466983E-3</v>
      </c>
      <c r="M6" s="1119">
        <f t="shared" ref="M6:O7" si="0">G6/C6-1</f>
        <v>1.0267466094539772</v>
      </c>
      <c r="N6" s="1119">
        <f t="shared" si="0"/>
        <v>0.75870707714888286</v>
      </c>
      <c r="O6" s="1119">
        <f t="shared" si="0"/>
        <v>0.64859848497597139</v>
      </c>
    </row>
    <row r="7" spans="2:38" ht="14.1" x14ac:dyDescent="0.5">
      <c r="B7" s="944" t="s">
        <v>416</v>
      </c>
      <c r="C7" s="945">
        <f>Quarts!M14</f>
        <v>257.82400000000001</v>
      </c>
      <c r="D7" s="945">
        <f>Quarts!N14</f>
        <v>304.548</v>
      </c>
      <c r="E7" s="945">
        <f>Quarts!O14</f>
        <v>319.60000000000002</v>
      </c>
      <c r="F7" s="945">
        <f>Quarts!P14</f>
        <v>355.02799999999991</v>
      </c>
      <c r="G7" s="945">
        <f>Quarts!R14</f>
        <v>363</v>
      </c>
      <c r="H7" s="945">
        <f>Quarts!S14</f>
        <v>368.4</v>
      </c>
      <c r="I7" s="1133">
        <f>Quarts!T14</f>
        <v>400</v>
      </c>
      <c r="J7" s="1120">
        <f>H7/I7-1</f>
        <v>-7.900000000000007E-2</v>
      </c>
      <c r="K7" s="1133">
        <v>409</v>
      </c>
      <c r="L7" s="1120">
        <f>I7/K7-1</f>
        <v>-2.2004889975550168E-2</v>
      </c>
      <c r="M7" s="1120">
        <f t="shared" si="0"/>
        <v>0.40793719746804014</v>
      </c>
      <c r="N7" s="1120">
        <f t="shared" si="0"/>
        <v>0.20966153118720188</v>
      </c>
      <c r="O7" s="1120">
        <f t="shared" si="0"/>
        <v>0.25156445556946183</v>
      </c>
      <c r="T7" s="871" t="s">
        <v>689</v>
      </c>
      <c r="U7" s="873" t="s">
        <v>690</v>
      </c>
      <c r="V7" s="873" t="s">
        <v>691</v>
      </c>
      <c r="W7" s="873" t="s">
        <v>692</v>
      </c>
      <c r="X7" s="873" t="s">
        <v>693</v>
      </c>
      <c r="Y7" s="873" t="s">
        <v>694</v>
      </c>
      <c r="Z7" s="873" t="s">
        <v>695</v>
      </c>
      <c r="AA7" s="873" t="s">
        <v>561</v>
      </c>
      <c r="AB7" s="873" t="s">
        <v>674</v>
      </c>
      <c r="AC7" s="873" t="s">
        <v>375</v>
      </c>
      <c r="AD7" s="873" t="s">
        <v>376</v>
      </c>
      <c r="AE7" s="873" t="s">
        <v>377</v>
      </c>
      <c r="AF7" s="873" t="s">
        <v>672</v>
      </c>
      <c r="AG7" s="873" t="s">
        <v>870</v>
      </c>
      <c r="AH7" s="873" t="s">
        <v>1010</v>
      </c>
      <c r="AI7" s="1176" t="s">
        <v>1011</v>
      </c>
      <c r="AJ7" s="1176" t="s">
        <v>1012</v>
      </c>
      <c r="AK7" s="1176" t="s">
        <v>1017</v>
      </c>
      <c r="AL7" s="1176" t="s">
        <v>1018</v>
      </c>
    </row>
    <row r="8" spans="2:38" ht="14.1" x14ac:dyDescent="0.5">
      <c r="B8" s="942"/>
      <c r="C8" s="946"/>
      <c r="D8" s="946"/>
      <c r="E8" s="946"/>
      <c r="F8" s="946"/>
      <c r="G8" s="946"/>
      <c r="H8" s="946"/>
      <c r="I8" s="1134"/>
      <c r="J8" s="1121"/>
      <c r="K8" s="1134"/>
      <c r="L8" s="1121"/>
      <c r="M8" s="1121"/>
      <c r="N8" s="1121"/>
      <c r="O8" s="1121"/>
      <c r="T8" s="875" t="s">
        <v>315</v>
      </c>
      <c r="U8" s="876">
        <v>4.3201090150533139E-2</v>
      </c>
      <c r="V8" s="876">
        <v>4.3577729255219425E-2</v>
      </c>
      <c r="W8" s="876">
        <v>4.3211265637336592E-2</v>
      </c>
      <c r="X8" s="876">
        <v>4.3525548931304676E-2</v>
      </c>
      <c r="Y8" s="876">
        <v>4.6234808150470326E-2</v>
      </c>
      <c r="Z8" s="876">
        <v>4.2217449893564331E-2</v>
      </c>
      <c r="AA8" s="876">
        <v>3.4746255460900988E-2</v>
      </c>
      <c r="AB8" s="876">
        <v>2.847545112132031E-2</v>
      </c>
      <c r="AC8" s="876">
        <v>2.5874554431976494E-2</v>
      </c>
      <c r="AD8" s="876">
        <v>2.8190000725692634E-2</v>
      </c>
      <c r="AE8" s="876">
        <v>2.842553172693282E-2</v>
      </c>
      <c r="AF8" s="876">
        <v>2.842553172693282E-2</v>
      </c>
      <c r="AG8" s="876">
        <v>3.3000000000000002E-2</v>
      </c>
      <c r="AH8" s="876">
        <v>3.8745027931325456E-2</v>
      </c>
      <c r="AI8" s="1175">
        <v>3.9935733007072323E-2</v>
      </c>
      <c r="AJ8" s="876">
        <v>4.4035058258035567E-2</v>
      </c>
      <c r="AK8" s="876">
        <v>4.6662962679196812E-2</v>
      </c>
      <c r="AL8" s="876">
        <v>4.9425852547570676E-2</v>
      </c>
    </row>
    <row r="9" spans="2:38" ht="14.1" x14ac:dyDescent="0.5">
      <c r="B9" s="947" t="str">
        <f>Quarts!B25</f>
        <v>Interest and other financial expenses</v>
      </c>
      <c r="C9" s="948">
        <f>Quarts!M25</f>
        <v>-273.00299999999999</v>
      </c>
      <c r="D9" s="948">
        <f>Quarts!N25</f>
        <v>-407.5</v>
      </c>
      <c r="E9" s="948">
        <f>Quarts!O25</f>
        <v>-459.9</v>
      </c>
      <c r="F9" s="948">
        <f>Quarts!P25</f>
        <v>-406.59700000000009</v>
      </c>
      <c r="G9" s="948">
        <f>Quarts!R25</f>
        <v>-440.12099999999998</v>
      </c>
      <c r="H9" s="948">
        <f>Quarts!S25</f>
        <v>-453.4</v>
      </c>
      <c r="I9" s="1135">
        <f>Quarts!T25</f>
        <v>-492.5575</v>
      </c>
      <c r="J9" s="1122">
        <f>H9/I9-1</f>
        <v>-7.9498332681971151E-2</v>
      </c>
      <c r="K9" s="1135">
        <v>-487</v>
      </c>
      <c r="L9" s="1122">
        <f>I9/K9-1</f>
        <v>1.1411704312114912E-2</v>
      </c>
      <c r="M9" s="1122">
        <f t="shared" ref="M9:O10" si="1">G9/C9-1</f>
        <v>0.61214711926242571</v>
      </c>
      <c r="N9" s="1122">
        <f t="shared" si="1"/>
        <v>0.11263803680981588</v>
      </c>
      <c r="O9" s="1122">
        <f t="shared" si="1"/>
        <v>7.10100021743858E-2</v>
      </c>
      <c r="T9" s="872" t="s">
        <v>132</v>
      </c>
      <c r="U9" s="877"/>
      <c r="V9" s="877"/>
      <c r="W9" s="877"/>
      <c r="X9" s="877"/>
      <c r="Y9" s="877"/>
      <c r="Z9" s="877"/>
      <c r="AA9" s="877"/>
      <c r="AB9" s="877"/>
      <c r="AC9" s="877"/>
      <c r="AD9" s="877"/>
      <c r="AE9" s="877">
        <v>3.2000000000000001E-2</v>
      </c>
      <c r="AF9" s="877">
        <v>3.1E-2</v>
      </c>
      <c r="AG9" s="877">
        <v>3.5000000000000003E-2</v>
      </c>
      <c r="AH9" s="877">
        <v>4.1000000000000002E-2</v>
      </c>
      <c r="AI9" s="877">
        <v>4.7E-2</v>
      </c>
      <c r="AJ9" s="877">
        <f>J85</f>
        <v>5.1999999999999998E-2</v>
      </c>
      <c r="AK9" s="877">
        <f>K85</f>
        <v>5.5E-2</v>
      </c>
      <c r="AL9" s="877">
        <f>L85</f>
        <v>5.8999999999999997E-2</v>
      </c>
    </row>
    <row r="10" spans="2:38" ht="14.1" x14ac:dyDescent="0.5">
      <c r="B10" s="949" t="s">
        <v>1249</v>
      </c>
      <c r="C10" s="950">
        <f>Quarts!M63</f>
        <v>346.44</v>
      </c>
      <c r="D10" s="950">
        <f>Quarts!N63</f>
        <v>445.51300000000003</v>
      </c>
      <c r="E10" s="950">
        <f>Quarts!O63</f>
        <v>527.4</v>
      </c>
      <c r="F10" s="950">
        <f>Quarts!P63</f>
        <v>688.64699999999982</v>
      </c>
      <c r="G10" s="950">
        <f>Quarts!R63</f>
        <v>815.33299999999997</v>
      </c>
      <c r="H10" s="950">
        <f>Quarts!S63</f>
        <v>1046.8000000000002</v>
      </c>
      <c r="I10" s="1136">
        <f>Quarts!T63</f>
        <v>1135.1037842167766</v>
      </c>
      <c r="J10" s="1123">
        <f>H10/I10-1</f>
        <v>-7.7793577507722089E-2</v>
      </c>
      <c r="K10" s="1136">
        <f>K6+K9</f>
        <v>1157.0999999999999</v>
      </c>
      <c r="L10" s="1123">
        <f>I10/K10-1</f>
        <v>-1.9009779434122631E-2</v>
      </c>
      <c r="M10" s="1123">
        <f t="shared" si="1"/>
        <v>1.3534609167532619</v>
      </c>
      <c r="N10" s="1123">
        <f t="shared" si="1"/>
        <v>1.3496508519392254</v>
      </c>
      <c r="O10" s="1123">
        <f t="shared" si="1"/>
        <v>1.1522635271459549</v>
      </c>
      <c r="T10" s="874" t="s">
        <v>696</v>
      </c>
      <c r="U10" s="878"/>
      <c r="V10" s="878"/>
      <c r="W10" s="878"/>
      <c r="X10" s="878">
        <v>5.8999999999999997E-2</v>
      </c>
      <c r="Y10" s="878">
        <v>5.7000000000000002E-2</v>
      </c>
      <c r="Z10" s="878">
        <v>7.0000000000000007E-2</v>
      </c>
      <c r="AA10" s="878">
        <v>6.7000000000000004E-2</v>
      </c>
      <c r="AB10" s="878">
        <v>5.5E-2</v>
      </c>
      <c r="AC10" s="878">
        <v>0.05</v>
      </c>
      <c r="AD10" s="878">
        <v>5.3999999999999999E-2</v>
      </c>
      <c r="AE10" s="878">
        <v>5.8000000000000003E-2</v>
      </c>
      <c r="AF10" s="878">
        <v>6.3E-2</v>
      </c>
      <c r="AG10" s="878">
        <v>6.8000000000000005E-2</v>
      </c>
      <c r="AH10" s="878">
        <v>6.7000000000000004E-2</v>
      </c>
      <c r="AI10" s="878">
        <v>6.8378363248561586E-2</v>
      </c>
      <c r="AJ10" s="878">
        <v>7.0999999999999994E-2</v>
      </c>
      <c r="AK10" s="878">
        <v>7.1999999999999995E-2</v>
      </c>
      <c r="AL10" s="878">
        <v>0.08</v>
      </c>
    </row>
    <row r="11" spans="2:38" ht="14.1" x14ac:dyDescent="0.5">
      <c r="B11" s="936"/>
      <c r="C11" s="951"/>
      <c r="D11" s="951"/>
      <c r="E11" s="951"/>
      <c r="F11" s="951"/>
      <c r="G11" s="951"/>
      <c r="H11" s="951"/>
      <c r="I11" s="1137"/>
      <c r="J11" s="1124"/>
      <c r="K11" s="1137"/>
      <c r="L11" s="1124"/>
      <c r="M11" s="1124"/>
      <c r="N11" s="1124"/>
      <c r="O11" s="1124"/>
      <c r="T11" s="872" t="s">
        <v>488</v>
      </c>
      <c r="U11" s="877">
        <v>3.6799999999999999E-2</v>
      </c>
      <c r="V11" s="877">
        <v>3.4500000000000003E-2</v>
      </c>
      <c r="W11" s="877">
        <v>3.4299999999999997E-2</v>
      </c>
      <c r="X11" s="877">
        <v>3.3500000000000002E-2</v>
      </c>
      <c r="Y11" s="877">
        <v>3.5200000000000002E-2</v>
      </c>
      <c r="Z11" s="877">
        <v>3.2099999999999997E-2</v>
      </c>
      <c r="AA11" s="877">
        <v>2.6200000000000001E-2</v>
      </c>
      <c r="AB11" s="877">
        <v>2.69E-2</v>
      </c>
      <c r="AC11" s="877">
        <v>2.69E-2</v>
      </c>
      <c r="AD11" s="877">
        <v>2.6700000000000002E-2</v>
      </c>
      <c r="AE11" s="877">
        <v>2.81E-2</v>
      </c>
      <c r="AF11" s="877">
        <v>2.75E-2</v>
      </c>
      <c r="AG11" s="877">
        <v>2.93E-2</v>
      </c>
      <c r="AH11" s="877">
        <v>3.04E-2</v>
      </c>
      <c r="AI11" s="879">
        <v>3.2399999999999998E-2</v>
      </c>
      <c r="AJ11" s="877">
        <v>3.4200000000000001E-2</v>
      </c>
      <c r="AK11" s="877">
        <v>3.39E-2</v>
      </c>
      <c r="AL11" s="877">
        <v>3.5000000000000003E-2</v>
      </c>
    </row>
    <row r="12" spans="2:38" ht="14.1" x14ac:dyDescent="0.5">
      <c r="B12" s="942" t="str">
        <f>Quarts!B36</f>
        <v xml:space="preserve">Transactional expenses </v>
      </c>
      <c r="C12" s="946">
        <f>Quarts!M36</f>
        <v>-34.448</v>
      </c>
      <c r="D12" s="946">
        <f>Quarts!N36</f>
        <v>-48.036000000000001</v>
      </c>
      <c r="E12" s="946">
        <f>Quarts!O36</f>
        <v>-44.5</v>
      </c>
      <c r="F12" s="946">
        <f>Quarts!P36</f>
        <v>-49.015999999999991</v>
      </c>
      <c r="G12" s="946">
        <f>Quarts!R36</f>
        <v>-52</v>
      </c>
      <c r="H12" s="946">
        <f>Quarts!S36</f>
        <v>-42.8</v>
      </c>
      <c r="I12" s="1134">
        <f>Quarts!T36</f>
        <v>-55</v>
      </c>
      <c r="J12" s="1121">
        <f>H12/I12-1</f>
        <v>-0.22181818181818191</v>
      </c>
      <c r="K12" s="1134">
        <v>-56</v>
      </c>
      <c r="L12" s="1121">
        <f>I12/K12-1</f>
        <v>-1.7857142857142905E-2</v>
      </c>
      <c r="M12" s="1121">
        <f t="shared" ref="M12:O14" si="2">G12/C12-1</f>
        <v>0.50952159777055273</v>
      </c>
      <c r="N12" s="1121">
        <f t="shared" si="2"/>
        <v>-0.1090015821467234</v>
      </c>
      <c r="O12" s="1121">
        <f t="shared" si="2"/>
        <v>0.23595505617977519</v>
      </c>
      <c r="T12" s="1165" t="s">
        <v>697</v>
      </c>
      <c r="U12" s="1166">
        <v>3.3000000000000002E-2</v>
      </c>
      <c r="V12" s="1166">
        <v>3.2000000000000001E-2</v>
      </c>
      <c r="W12" s="1166">
        <v>3.6000000000000004E-2</v>
      </c>
      <c r="X12" s="1166">
        <v>3.3000000000000002E-2</v>
      </c>
      <c r="Y12" s="1166">
        <v>3.7000000000000005E-2</v>
      </c>
      <c r="Z12" s="1166">
        <v>3.0101457066860279E-2</v>
      </c>
      <c r="AA12" s="1166">
        <v>2.3E-2</v>
      </c>
      <c r="AB12" s="1166">
        <v>2.2000000000000002E-2</v>
      </c>
      <c r="AC12" s="1166">
        <v>2.5000000000000001E-2</v>
      </c>
      <c r="AD12" s="1166">
        <v>2.5000000000000001E-2</v>
      </c>
      <c r="AE12" s="1166">
        <v>2.6000000000000002E-2</v>
      </c>
      <c r="AF12" s="1166">
        <v>2.7999999999999997E-2</v>
      </c>
      <c r="AG12" s="1166">
        <v>3.2099999999999997E-2</v>
      </c>
      <c r="AH12" s="1166">
        <v>3.5000000000000003E-2</v>
      </c>
      <c r="AI12" s="1167">
        <v>3.9E-2</v>
      </c>
      <c r="AJ12" s="1167">
        <v>4.2999999999999997E-2</v>
      </c>
      <c r="AK12" s="1167">
        <v>5.0999999999999997E-2</v>
      </c>
      <c r="AL12" s="1167">
        <v>5.8999999999999997E-2</v>
      </c>
    </row>
    <row r="13" spans="2:38" ht="14.1" x14ac:dyDescent="0.5">
      <c r="B13" s="947" t="str">
        <f>Quarts!B38</f>
        <v>Credit loss allowance expenses</v>
      </c>
      <c r="C13" s="948">
        <f>Quarts!M38</f>
        <v>-275.72199999999998</v>
      </c>
      <c r="D13" s="948">
        <f>Quarts!N38</f>
        <v>-338.49200000000002</v>
      </c>
      <c r="E13" s="948">
        <f>Quarts!O38</f>
        <v>-375.5</v>
      </c>
      <c r="F13" s="948">
        <f>Quarts!P38</f>
        <v>-415.18600000000015</v>
      </c>
      <c r="G13" s="948">
        <f>Quarts!R38</f>
        <v>-474</v>
      </c>
      <c r="H13" s="948">
        <f>Quarts!S38</f>
        <v>-590.4</v>
      </c>
      <c r="I13" s="1135">
        <f>Quarts!T38</f>
        <v>-669.12822379153624</v>
      </c>
      <c r="J13" s="1122">
        <f>H13/I13-1</f>
        <v>-0.1176579032123799</v>
      </c>
      <c r="K13" s="1135">
        <v>-654</v>
      </c>
      <c r="L13" s="1122">
        <f>I13/K13-1</f>
        <v>2.3131840659841307E-2</v>
      </c>
      <c r="M13" s="1122">
        <f t="shared" si="2"/>
        <v>0.71912288464467844</v>
      </c>
      <c r="N13" s="1122">
        <f t="shared" si="2"/>
        <v>0.74420665776443751</v>
      </c>
      <c r="O13" s="1122">
        <f t="shared" si="2"/>
        <v>0.78196597547679425</v>
      </c>
      <c r="T13" s="1163" t="s">
        <v>698</v>
      </c>
      <c r="U13" s="1164">
        <v>0.03</v>
      </c>
      <c r="V13" s="1164">
        <v>0.03</v>
      </c>
      <c r="W13" s="1164">
        <v>2.9000000000000001E-2</v>
      </c>
      <c r="X13" s="1164">
        <v>2.9000000000000001E-2</v>
      </c>
      <c r="Y13" s="1164">
        <v>3.2000000000000001E-2</v>
      </c>
      <c r="Z13" s="1164">
        <v>3.2000000000000001E-2</v>
      </c>
      <c r="AA13" s="1164">
        <v>2.9000000000000001E-2</v>
      </c>
      <c r="AB13" s="1164">
        <v>2.4E-2</v>
      </c>
      <c r="AC13" s="1164">
        <v>2.1000000000000001E-2</v>
      </c>
      <c r="AD13" s="1164">
        <v>2.3E-2</v>
      </c>
      <c r="AE13" s="1164">
        <v>2.3E-2</v>
      </c>
      <c r="AF13" s="1164">
        <v>2.3E-2</v>
      </c>
      <c r="AG13" s="1164">
        <v>2.5999999999999999E-2</v>
      </c>
      <c r="AH13" s="1164">
        <v>2.7E-2</v>
      </c>
      <c r="AI13" s="1164">
        <v>2.8000000000000001E-2</v>
      </c>
      <c r="AJ13" s="1164">
        <v>0.03</v>
      </c>
      <c r="AK13" s="1164">
        <v>3.3000000000000002E-2</v>
      </c>
      <c r="AL13" s="1164">
        <v>3.5999999999999997E-2</v>
      </c>
    </row>
    <row r="14" spans="2:38" ht="14.1" x14ac:dyDescent="0.5">
      <c r="B14" s="949" t="s">
        <v>1250</v>
      </c>
      <c r="C14" s="952">
        <f>Quarts!M59</f>
        <v>294.09400000000005</v>
      </c>
      <c r="D14" s="952">
        <f>Quarts!N59</f>
        <v>363.53300000000013</v>
      </c>
      <c r="E14" s="952">
        <f>Quarts!O59</f>
        <v>427.00000000000011</v>
      </c>
      <c r="F14" s="952">
        <f>Quarts!P59</f>
        <v>579.47299999999973</v>
      </c>
      <c r="G14" s="952">
        <f>Quarts!R59</f>
        <v>652.33299999999997</v>
      </c>
      <c r="H14" s="952">
        <f>Quarts!S59</f>
        <v>782</v>
      </c>
      <c r="I14" s="1138">
        <f>Quarts!T59</f>
        <v>810.97556042524025</v>
      </c>
      <c r="J14" s="1125">
        <f>H14/I14-1</f>
        <v>-3.5729264652620052E-2</v>
      </c>
      <c r="K14" s="1138">
        <f>K4+K9+K12+K13</f>
        <v>856.5</v>
      </c>
      <c r="L14" s="1125">
        <f>I14/K14-1</f>
        <v>-5.3151709953017767E-2</v>
      </c>
      <c r="M14" s="1125">
        <f t="shared" si="2"/>
        <v>1.2181105360871007</v>
      </c>
      <c r="N14" s="1125">
        <f t="shared" si="2"/>
        <v>1.1511114534306368</v>
      </c>
      <c r="O14" s="1125">
        <f t="shared" si="2"/>
        <v>0.89924018834950825</v>
      </c>
    </row>
    <row r="15" spans="2:38" ht="14.1" x14ac:dyDescent="0.5">
      <c r="B15" s="944" t="s">
        <v>372</v>
      </c>
      <c r="C15" s="953">
        <f t="shared" ref="C15:H15" si="3">C14/C4</f>
        <v>0.33523887254393481</v>
      </c>
      <c r="D15" s="953">
        <f t="shared" si="3"/>
        <v>0.31405083619783325</v>
      </c>
      <c r="E15" s="953">
        <f t="shared" si="3"/>
        <v>0.32672737011247999</v>
      </c>
      <c r="F15" s="953">
        <f t="shared" si="3"/>
        <v>0.39956159947926995</v>
      </c>
      <c r="G15" s="953">
        <f t="shared" si="3"/>
        <v>0.40305933934483157</v>
      </c>
      <c r="H15" s="953">
        <f t="shared" si="3"/>
        <v>0.41849513004388317</v>
      </c>
      <c r="I15" s="1139">
        <f t="shared" ref="I15" si="4">I14/I4</f>
        <v>0.39995613011790343</v>
      </c>
      <c r="J15" s="953">
        <f>H15/I15-1</f>
        <v>4.6352583520884227E-2</v>
      </c>
      <c r="K15" s="1139">
        <f>K14/K4</f>
        <v>0.4170927684441198</v>
      </c>
      <c r="L15" s="953">
        <f>I15/K15-1</f>
        <v>-4.108591570681297E-2</v>
      </c>
      <c r="M15" s="953"/>
      <c r="N15" s="953"/>
      <c r="O15" s="953"/>
    </row>
    <row r="16" spans="2:38" ht="14.1" x14ac:dyDescent="0.5">
      <c r="B16" s="954"/>
      <c r="C16" s="955"/>
      <c r="D16" s="955"/>
      <c r="E16" s="955"/>
      <c r="F16" s="955"/>
      <c r="G16" s="955"/>
      <c r="H16" s="955"/>
      <c r="I16" s="1143"/>
      <c r="J16" s="1126"/>
      <c r="K16" s="1140"/>
      <c r="L16" s="1126"/>
      <c r="M16" s="1126"/>
      <c r="N16" s="1126"/>
      <c r="O16" s="1126"/>
    </row>
    <row r="17" spans="2:15" ht="14.1" x14ac:dyDescent="0.5">
      <c r="B17" s="944" t="s">
        <v>704</v>
      </c>
      <c r="C17" s="945">
        <f>Quarts!M97</f>
        <v>-45.003999999999976</v>
      </c>
      <c r="D17" s="945">
        <f>Quarts!N97</f>
        <v>-29.849999999999852</v>
      </c>
      <c r="E17" s="945">
        <f>Quarts!O97</f>
        <v>7.8260000000000787</v>
      </c>
      <c r="F17" s="945">
        <f>Quarts!P97</f>
        <v>-296.87200000000013</v>
      </c>
      <c r="G17" s="945">
        <f>Quarts!R97</f>
        <v>143.33299999999997</v>
      </c>
      <c r="H17" s="945">
        <f>Quarts!S97</f>
        <v>224</v>
      </c>
      <c r="I17" s="1133">
        <f>Quarts!T97</f>
        <v>230.97556042524025</v>
      </c>
      <c r="J17" s="1120">
        <f>H17/I17-1</f>
        <v>-3.0200426453767748E-2</v>
      </c>
      <c r="K17" s="1133">
        <v>243</v>
      </c>
      <c r="L17" s="1120">
        <f>I17/K17-1</f>
        <v>-4.9483290431110105E-2</v>
      </c>
      <c r="M17" s="1120"/>
      <c r="N17" s="1120"/>
      <c r="O17" s="1120"/>
    </row>
    <row r="18" spans="2:15" ht="14.1" x14ac:dyDescent="0.5">
      <c r="B18" s="954" t="s">
        <v>372</v>
      </c>
      <c r="C18" s="956">
        <f>Quarts!M98</f>
        <v>-5.1300231286484019E-2</v>
      </c>
      <c r="D18" s="956">
        <f>Quarts!N98</f>
        <v>-2.5786977964876018E-2</v>
      </c>
      <c r="E18" s="956">
        <f>Quarts!O98</f>
        <v>5.9882163899304293E-3</v>
      </c>
      <c r="F18" s="956">
        <f>Quarts!P98</f>
        <v>-0.20470091127733289</v>
      </c>
      <c r="G18" s="956">
        <f>Quarts!R98</f>
        <v>8.8561676760661706E-2</v>
      </c>
      <c r="H18" s="956">
        <f>Quarts!S98</f>
        <v>0.11987584287702023</v>
      </c>
      <c r="I18" s="1145">
        <f>Quarts!T98</f>
        <v>0.11391229996012822</v>
      </c>
      <c r="J18" s="956"/>
      <c r="K18" s="1232">
        <f>K17/K4</f>
        <v>0.1183345507669832</v>
      </c>
      <c r="L18" s="956"/>
      <c r="M18" s="956"/>
      <c r="N18" s="956"/>
      <c r="O18" s="956"/>
    </row>
    <row r="19" spans="2:15" ht="14.1" x14ac:dyDescent="0.5">
      <c r="B19" s="944" t="s">
        <v>1257</v>
      </c>
      <c r="C19" s="945">
        <f t="shared" ref="C19:H19" si="5">C20-C17</f>
        <v>55.103999999999978</v>
      </c>
      <c r="D19" s="945">
        <f t="shared" si="5"/>
        <v>46.849999999999852</v>
      </c>
      <c r="E19" s="945">
        <f t="shared" si="5"/>
        <v>65.173999999999921</v>
      </c>
      <c r="F19" s="945">
        <f t="shared" si="5"/>
        <v>410.87200000000013</v>
      </c>
      <c r="G19" s="945">
        <f t="shared" si="5"/>
        <v>38.66700000000003</v>
      </c>
      <c r="H19" s="945">
        <f t="shared" si="5"/>
        <v>38.699999999999989</v>
      </c>
      <c r="I19" s="1133">
        <f t="shared" ref="I19" si="6">I20-I17</f>
        <v>50</v>
      </c>
      <c r="J19" s="1120">
        <f>H19/I19-1</f>
        <v>-0.2260000000000002</v>
      </c>
      <c r="K19" s="1133">
        <v>57</v>
      </c>
      <c r="L19" s="1120">
        <f>I19/K19-1</f>
        <v>-0.1228070175438597</v>
      </c>
      <c r="M19" s="1120">
        <f t="shared" ref="M19:O20" si="7">G19/C19-1</f>
        <v>-0.29829050522648004</v>
      </c>
      <c r="N19" s="1120">
        <f t="shared" si="7"/>
        <v>-0.17395944503735095</v>
      </c>
      <c r="O19" s="1120">
        <f t="shared" si="7"/>
        <v>-0.2328229048393522</v>
      </c>
    </row>
    <row r="20" spans="2:15" ht="14.1" x14ac:dyDescent="0.5">
      <c r="B20" s="949" t="s">
        <v>1163</v>
      </c>
      <c r="C20" s="950">
        <f>Quarts!M102</f>
        <v>10.1</v>
      </c>
      <c r="D20" s="950">
        <f>Quarts!N102</f>
        <v>17</v>
      </c>
      <c r="E20" s="950">
        <f>Quarts!O102</f>
        <v>73</v>
      </c>
      <c r="F20" s="950">
        <f>Quarts!P102</f>
        <v>114</v>
      </c>
      <c r="G20" s="950">
        <f>Quarts!R102</f>
        <v>182</v>
      </c>
      <c r="H20" s="950">
        <f>Quarts!S102</f>
        <v>262.7</v>
      </c>
      <c r="I20" s="1136">
        <f>Quarts!T102</f>
        <v>280.97556042524025</v>
      </c>
      <c r="J20" s="1123">
        <f>H20/I20-1</f>
        <v>-6.5043238627520705E-2</v>
      </c>
      <c r="K20" s="1136">
        <v>299</v>
      </c>
      <c r="L20" s="1123">
        <f>I20/K20-1</f>
        <v>-6.0282406604547645E-2</v>
      </c>
      <c r="M20" s="1123">
        <f t="shared" si="7"/>
        <v>17.019801980198022</v>
      </c>
      <c r="N20" s="1123">
        <f t="shared" si="7"/>
        <v>14.452941176470588</v>
      </c>
      <c r="O20" s="1123">
        <f t="shared" si="7"/>
        <v>2.8489802797978117</v>
      </c>
    </row>
    <row r="21" spans="2:15" ht="14.1" x14ac:dyDescent="0.5">
      <c r="B21" s="944" t="s">
        <v>1452</v>
      </c>
      <c r="C21" s="994">
        <f t="shared" ref="C21:H21" si="8">C20/C4</f>
        <v>1.1513028530652582E-2</v>
      </c>
      <c r="D21" s="994">
        <f t="shared" si="8"/>
        <v>1.4686051102274522E-2</v>
      </c>
      <c r="E21" s="994">
        <f t="shared" si="8"/>
        <v>5.5857372407988368E-2</v>
      </c>
      <c r="F21" s="994">
        <f t="shared" si="8"/>
        <v>7.860594426424837E-2</v>
      </c>
      <c r="G21" s="994">
        <f t="shared" si="8"/>
        <v>0.11245299526585248</v>
      </c>
      <c r="H21" s="994">
        <f t="shared" si="8"/>
        <v>0.14058653537407684</v>
      </c>
      <c r="I21" s="1141">
        <f t="shared" ref="I21" si="9">I20/I4</f>
        <v>0.13857125083579849</v>
      </c>
      <c r="J21" s="1120">
        <f>H21/I21-1</f>
        <v>1.4543309136080262E-2</v>
      </c>
      <c r="K21" s="1141">
        <f>K20/K4</f>
        <v>0.14560506452398345</v>
      </c>
      <c r="L21" s="1120">
        <f>I21/K21-1</f>
        <v>-4.8307479627718419E-2</v>
      </c>
      <c r="M21" s="1120">
        <f>G21-C21</f>
        <v>0.10093996673519989</v>
      </c>
      <c r="N21" s="1120">
        <f>H21-D21</f>
        <v>0.12590048427180231</v>
      </c>
      <c r="O21" s="1120">
        <f>I21-E21</f>
        <v>8.2713878427810125E-2</v>
      </c>
    </row>
    <row r="22" spans="2:15" ht="14.1" x14ac:dyDescent="0.5">
      <c r="B22" s="954"/>
      <c r="C22" s="995"/>
      <c r="D22" s="995"/>
      <c r="E22" s="995"/>
      <c r="F22" s="995"/>
      <c r="G22" s="995"/>
      <c r="H22" s="995"/>
      <c r="I22" s="1142"/>
      <c r="J22" s="995"/>
      <c r="K22" s="1142"/>
      <c r="L22" s="995"/>
      <c r="M22" s="995"/>
      <c r="N22" s="995"/>
      <c r="O22" s="995"/>
    </row>
    <row r="23" spans="2:15" ht="14.1" x14ac:dyDescent="0.5">
      <c r="B23" s="944" t="s">
        <v>1252</v>
      </c>
      <c r="C23" s="945">
        <f>Quarts!M182</f>
        <v>12596</v>
      </c>
      <c r="D23" s="945">
        <f>Quarts!N182</f>
        <v>13293</v>
      </c>
      <c r="E23" s="945">
        <f>Quarts!O182</f>
        <v>14040</v>
      </c>
      <c r="F23" s="945">
        <f>Quarts!P182</f>
        <v>15808</v>
      </c>
      <c r="G23" s="945">
        <f>Quarts!R182</f>
        <v>15757</v>
      </c>
      <c r="H23" s="945">
        <f>Quarts!S182</f>
        <v>18034</v>
      </c>
      <c r="I23" s="1133">
        <f>Quarts!T182</f>
        <v>19234</v>
      </c>
      <c r="J23" s="1120">
        <f>H23/I23-1</f>
        <v>-6.2389518560881818E-2</v>
      </c>
      <c r="K23" s="1133">
        <v>19299</v>
      </c>
      <c r="L23" s="1120">
        <f>I23/K23-1</f>
        <v>-3.3680501580393152E-3</v>
      </c>
      <c r="M23" s="1120">
        <f t="shared" ref="M23:O25" si="10">G23/C23-1</f>
        <v>0.25095268339155297</v>
      </c>
      <c r="N23" s="1120">
        <f t="shared" si="10"/>
        <v>0.3566538779808921</v>
      </c>
      <c r="O23" s="1120">
        <f t="shared" si="10"/>
        <v>0.36994301994302004</v>
      </c>
    </row>
    <row r="24" spans="2:15" ht="14.1" x14ac:dyDescent="0.5">
      <c r="B24" s="954" t="s">
        <v>1253</v>
      </c>
      <c r="C24" s="955">
        <f>Quarts!M176</f>
        <v>7901</v>
      </c>
      <c r="D24" s="955">
        <f>Quarts!N176</f>
        <v>8154</v>
      </c>
      <c r="E24" s="955">
        <f>Quarts!O176</f>
        <v>8591.0529999999999</v>
      </c>
      <c r="F24" s="955">
        <f>Quarts!P176</f>
        <v>9906</v>
      </c>
      <c r="G24" s="955">
        <f>Quarts!R176</f>
        <v>11178</v>
      </c>
      <c r="H24" s="955">
        <f>Quarts!S176</f>
        <v>12821</v>
      </c>
      <c r="I24" s="1143">
        <f>Quarts!T176</f>
        <v>13634.442460317459</v>
      </c>
      <c r="J24" s="1126">
        <f>H24/I24-1</f>
        <v>-5.966085248333064E-2</v>
      </c>
      <c r="K24" s="1143">
        <v>14409</v>
      </c>
      <c r="L24" s="1126">
        <f>I24/K24-1</f>
        <v>-5.375512108283298E-2</v>
      </c>
      <c r="M24" s="1126">
        <f t="shared" si="10"/>
        <v>0.41475762561701046</v>
      </c>
      <c r="N24" s="1126">
        <f t="shared" si="10"/>
        <v>0.57235712533725769</v>
      </c>
      <c r="O24" s="1126">
        <f t="shared" si="10"/>
        <v>0.58705137313405698</v>
      </c>
    </row>
    <row r="25" spans="2:15" ht="14.1" x14ac:dyDescent="0.5">
      <c r="B25" s="944" t="s">
        <v>1254</v>
      </c>
      <c r="C25" s="945">
        <f>Quarts!M228</f>
        <v>37450.740000000005</v>
      </c>
      <c r="D25" s="945">
        <f>Quarts!N228</f>
        <v>42891.333959999996</v>
      </c>
      <c r="E25" s="945">
        <f>Quarts!O228</f>
        <v>46524.8475215</v>
      </c>
      <c r="F25" s="945">
        <f>Quarts!P228</f>
        <v>52303.68</v>
      </c>
      <c r="G25" s="945">
        <f>Quarts!R228</f>
        <v>56560.679999999993</v>
      </c>
      <c r="H25" s="945">
        <f>Quarts!S228</f>
        <v>61412.590000000004</v>
      </c>
      <c r="I25" s="1133">
        <f>Quarts!T228</f>
        <v>68706.34</v>
      </c>
      <c r="J25" s="1120">
        <f>H25/I25-1</f>
        <v>-0.10615832541800352</v>
      </c>
      <c r="K25" s="1133">
        <f>K24*K28</f>
        <v>72621.36</v>
      </c>
      <c r="L25" s="1120">
        <f>I25/K25-1</f>
        <v>-5.3910034182780397E-2</v>
      </c>
      <c r="M25" s="1120">
        <f t="shared" si="10"/>
        <v>0.51026868894980404</v>
      </c>
      <c r="N25" s="1120">
        <f t="shared" si="10"/>
        <v>0.43181813970329608</v>
      </c>
      <c r="O25" s="1120">
        <f t="shared" si="10"/>
        <v>0.47676658087379042</v>
      </c>
    </row>
    <row r="26" spans="2:15" ht="14.4" thickBot="1" x14ac:dyDescent="0.55000000000000004">
      <c r="B26" s="996" t="s">
        <v>1256</v>
      </c>
      <c r="C26" s="997">
        <f>Quarts!M234</f>
        <v>4133.6065020000096</v>
      </c>
      <c r="D26" s="997">
        <f>Quarts!N234</f>
        <v>5440.5939599999911</v>
      </c>
      <c r="E26" s="997">
        <f>Quarts!O234</f>
        <v>3633.5135615000036</v>
      </c>
      <c r="F26" s="997">
        <f>Quarts!P234</f>
        <v>5778.8324785000004</v>
      </c>
      <c r="G26" s="997">
        <f>Quarts!R234</f>
        <v>4256.9999999999927</v>
      </c>
      <c r="H26" s="997">
        <f>Quarts!S234</f>
        <v>4851.9100000000108</v>
      </c>
      <c r="I26" s="1144">
        <f>Quarts!T234</f>
        <v>7293.75</v>
      </c>
      <c r="J26" s="1127">
        <f>H26/I26-1</f>
        <v>-0.33478526135389741</v>
      </c>
      <c r="K26" s="1144">
        <f>K25-H25</f>
        <v>11208.769999999997</v>
      </c>
      <c r="L26" s="1127"/>
      <c r="M26" s="1127"/>
      <c r="N26" s="1127"/>
      <c r="O26" s="1127"/>
    </row>
    <row r="28" spans="2:15" x14ac:dyDescent="0.5">
      <c r="B28" s="79" t="s">
        <v>1255</v>
      </c>
      <c r="C28" s="934">
        <f>Quarts!M221</f>
        <v>4.74</v>
      </c>
      <c r="D28" s="934">
        <f>Quarts!N221</f>
        <v>5.26</v>
      </c>
      <c r="E28" s="934">
        <f>Quarts!O221</f>
        <v>5.4154999999999998</v>
      </c>
      <c r="F28" s="934">
        <f>Quarts!P221</f>
        <v>5.28</v>
      </c>
      <c r="G28" s="934">
        <f>Quarts!R221</f>
        <v>5.0599999999999996</v>
      </c>
      <c r="H28" s="934">
        <f>Quarts!S221</f>
        <v>4.79</v>
      </c>
      <c r="I28" s="934">
        <f>Quarts!T221</f>
        <v>5.04</v>
      </c>
      <c r="K28" s="811">
        <f>I28</f>
        <v>5.04</v>
      </c>
    </row>
    <row r="30" spans="2:15" x14ac:dyDescent="0.5">
      <c r="B30" s="405"/>
      <c r="C30" s="406"/>
      <c r="D30" s="406"/>
      <c r="E30" s="499"/>
      <c r="F30" s="406"/>
      <c r="G30" s="499"/>
      <c r="H30" s="406"/>
      <c r="I30" s="406"/>
      <c r="J30" s="406"/>
      <c r="K30" s="500"/>
    </row>
    <row r="31" spans="2:15" x14ac:dyDescent="0.5">
      <c r="B31" s="79" t="s">
        <v>871</v>
      </c>
      <c r="C31" s="129" t="s">
        <v>672</v>
      </c>
      <c r="D31" s="129" t="s">
        <v>870</v>
      </c>
      <c r="E31" s="129" t="s">
        <v>1010</v>
      </c>
      <c r="F31" s="129" t="s">
        <v>1011</v>
      </c>
      <c r="G31" s="129" t="s">
        <v>1012</v>
      </c>
      <c r="H31" s="129" t="s">
        <v>1017</v>
      </c>
      <c r="I31" s="129" t="s">
        <v>1018</v>
      </c>
    </row>
    <row r="32" spans="2:15" x14ac:dyDescent="0.5">
      <c r="B32" s="79" t="s">
        <v>340</v>
      </c>
      <c r="C32" s="501">
        <v>2.2400000000000002</v>
      </c>
      <c r="D32" s="501">
        <v>2.2599999999999998</v>
      </c>
      <c r="E32" s="501">
        <v>2.2999999999999998</v>
      </c>
      <c r="F32" s="501">
        <v>1.72</v>
      </c>
      <c r="G32" s="501">
        <v>1.1200000000000001</v>
      </c>
      <c r="H32" s="501">
        <v>0.87</v>
      </c>
      <c r="I32" s="501">
        <v>0.6</v>
      </c>
    </row>
    <row r="33" spans="2:17" x14ac:dyDescent="0.5">
      <c r="B33" s="79" t="s">
        <v>872</v>
      </c>
      <c r="C33" s="501">
        <v>3.46</v>
      </c>
      <c r="D33" s="501">
        <v>3.43</v>
      </c>
      <c r="E33" s="501">
        <v>2.2000000000000002</v>
      </c>
      <c r="F33" s="501">
        <v>1.4</v>
      </c>
      <c r="G33" s="501">
        <v>0.82</v>
      </c>
      <c r="H33" s="501">
        <v>0.79</v>
      </c>
      <c r="I33" s="501">
        <v>0.8</v>
      </c>
    </row>
    <row r="35" spans="2:17" x14ac:dyDescent="0.5">
      <c r="C35" s="129" t="str">
        <f t="shared" ref="C35:I35" si="11">C31</f>
        <v>Q4 21</v>
      </c>
      <c r="D35" s="129" t="str">
        <f t="shared" si="11"/>
        <v>Q1 22</v>
      </c>
      <c r="E35" s="129" t="str">
        <f t="shared" si="11"/>
        <v>Q2 22</v>
      </c>
      <c r="F35" s="129" t="str">
        <f t="shared" si="11"/>
        <v>Q3 22</v>
      </c>
      <c r="G35" s="129" t="str">
        <f t="shared" si="11"/>
        <v>Q4 22</v>
      </c>
      <c r="H35" s="129" t="str">
        <f t="shared" si="11"/>
        <v>Q1 23</v>
      </c>
      <c r="I35" s="129" t="str">
        <f t="shared" si="11"/>
        <v>Q2 23</v>
      </c>
      <c r="J35" s="232"/>
      <c r="K35" s="232"/>
      <c r="L35" s="232"/>
      <c r="M35" s="232"/>
      <c r="N35" s="232"/>
    </row>
    <row r="36" spans="2:17" x14ac:dyDescent="0.5">
      <c r="B36" s="79" t="s">
        <v>872</v>
      </c>
      <c r="C36" s="80">
        <f>Quarts!K180</f>
        <v>11151.6</v>
      </c>
      <c r="D36" s="80">
        <f>Quarts!M180</f>
        <v>14694</v>
      </c>
      <c r="E36" s="80">
        <f>Quarts!N180</f>
        <v>16832</v>
      </c>
      <c r="F36" s="80">
        <f>Quarts!O180</f>
        <v>18954.25</v>
      </c>
      <c r="G36" s="80">
        <f>Quarts!P180</f>
        <v>21120</v>
      </c>
      <c r="H36" s="80">
        <f>Quarts!R180</f>
        <v>26311.999999999996</v>
      </c>
      <c r="I36" s="80">
        <f>Quarts!S180</f>
        <v>30177</v>
      </c>
    </row>
    <row r="45" spans="2:17" x14ac:dyDescent="0.5">
      <c r="C45" s="807" t="s">
        <v>375</v>
      </c>
      <c r="D45" s="807" t="s">
        <v>376</v>
      </c>
      <c r="E45" s="807" t="s">
        <v>377</v>
      </c>
      <c r="F45" s="807" t="s">
        <v>672</v>
      </c>
      <c r="G45" s="807" t="s">
        <v>870</v>
      </c>
      <c r="H45" s="807" t="s">
        <v>1010</v>
      </c>
      <c r="I45" s="807" t="s">
        <v>1011</v>
      </c>
      <c r="J45" s="807" t="s">
        <v>1012</v>
      </c>
      <c r="K45" s="807" t="s">
        <v>1017</v>
      </c>
      <c r="L45" s="807" t="s">
        <v>1018</v>
      </c>
      <c r="N45" s="808" t="s">
        <v>1031</v>
      </c>
      <c r="O45" s="808" t="s">
        <v>1032</v>
      </c>
      <c r="P45" s="808" t="s">
        <v>1033</v>
      </c>
      <c r="Q45" s="808" t="s">
        <v>1034</v>
      </c>
    </row>
    <row r="46" spans="2:17" ht="14.4" x14ac:dyDescent="0.55000000000000004">
      <c r="B46" s="426" t="s">
        <v>1164</v>
      </c>
      <c r="C46" s="373">
        <f>Quarts!H18</f>
        <v>0.15386009971294756</v>
      </c>
      <c r="D46" s="373">
        <f>Quarts!I18</f>
        <v>0.18540987716219604</v>
      </c>
      <c r="E46" s="373">
        <f>Quarts!J18</f>
        <v>0.2371859296482412</v>
      </c>
      <c r="F46" s="373">
        <f>Quarts!K18</f>
        <v>0.29712388118661293</v>
      </c>
      <c r="G46" s="373">
        <f>Quarts!M18</f>
        <v>0.28086574005694231</v>
      </c>
      <c r="H46" s="373">
        <f>Quarts!N18</f>
        <v>0.38030472845212815</v>
      </c>
      <c r="I46" s="373">
        <f>Quarts!O18</f>
        <v>0.41926065975164017</v>
      </c>
      <c r="J46" s="373">
        <f>Quarts!P18</f>
        <v>0.41775288813434647</v>
      </c>
      <c r="K46" s="373">
        <f>Quarts!R18</f>
        <v>0.41731964931233639</v>
      </c>
      <c r="L46" s="373">
        <f>Quarts!S18</f>
        <v>0.43383458646616541</v>
      </c>
      <c r="N46" s="373" t="e">
        <f>Quarts!#REF!</f>
        <v>#REF!</v>
      </c>
      <c r="O46" s="373" t="e">
        <f>Quarts!#REF!</f>
        <v>#REF!</v>
      </c>
      <c r="P46" s="373">
        <f>Quarts!T18</f>
        <v>0.42480620564062987</v>
      </c>
      <c r="Q46" s="373">
        <f>Quarts!U18</f>
        <v>0.41245109781060257</v>
      </c>
    </row>
    <row r="47" spans="2:17" ht="14.4" x14ac:dyDescent="0.55000000000000004">
      <c r="B47" s="426"/>
      <c r="C47" s="373"/>
      <c r="D47" s="373"/>
      <c r="E47" s="373"/>
      <c r="F47" s="373"/>
      <c r="G47" s="373"/>
      <c r="H47" s="373"/>
      <c r="I47" s="373"/>
    </row>
    <row r="48" spans="2:17" ht="14.4" x14ac:dyDescent="0.55000000000000004">
      <c r="B48" s="426"/>
      <c r="C48" s="373"/>
      <c r="D48" s="373"/>
      <c r="E48" s="373"/>
      <c r="F48" s="373"/>
      <c r="G48" s="373"/>
      <c r="H48" s="373"/>
      <c r="I48" s="373"/>
    </row>
    <row r="49" spans="2:18" ht="14.4" x14ac:dyDescent="0.55000000000000004">
      <c r="B49" s="426"/>
      <c r="C49" s="373"/>
      <c r="D49" s="373"/>
      <c r="E49" s="807" t="s">
        <v>377</v>
      </c>
      <c r="F49" s="807" t="s">
        <v>672</v>
      </c>
      <c r="G49" s="807" t="s">
        <v>870</v>
      </c>
      <c r="H49" s="807" t="s">
        <v>1010</v>
      </c>
      <c r="I49" s="807" t="s">
        <v>1011</v>
      </c>
      <c r="J49" s="807" t="s">
        <v>1012</v>
      </c>
      <c r="K49" s="807" t="s">
        <v>1017</v>
      </c>
      <c r="L49" s="807" t="s">
        <v>1017</v>
      </c>
      <c r="N49" s="808" t="s">
        <v>1031</v>
      </c>
      <c r="O49" s="808" t="s">
        <v>1032</v>
      </c>
      <c r="P49" s="808" t="s">
        <v>1033</v>
      </c>
      <c r="Q49" s="808" t="s">
        <v>1034</v>
      </c>
    </row>
    <row r="50" spans="2:18" ht="14.4" x14ac:dyDescent="0.55000000000000004">
      <c r="B50" s="426" t="s">
        <v>1165</v>
      </c>
      <c r="C50" s="373"/>
      <c r="D50" s="373"/>
      <c r="E50" s="373">
        <f>Quarts!J19</f>
        <v>0.98333333333333328</v>
      </c>
      <c r="F50" s="373">
        <f>Quarts!K19</f>
        <v>1.0342117647058824</v>
      </c>
      <c r="G50" s="373">
        <f>Quarts!M19</f>
        <v>0.97167529411764708</v>
      </c>
      <c r="H50" s="373">
        <f>Quarts!N19</f>
        <v>1.0831911111111112</v>
      </c>
      <c r="I50" s="373">
        <f>Quarts!O19</f>
        <v>1.1788656716417909</v>
      </c>
      <c r="J50" s="373">
        <f>Quarts!P19</f>
        <v>1.1682602666666666</v>
      </c>
      <c r="K50" s="373">
        <f>Quarts!R19</f>
        <v>1.0916991304347825</v>
      </c>
      <c r="L50" s="373">
        <f>Quarts!S19</f>
        <v>1.0436173913043478</v>
      </c>
    </row>
    <row r="61" spans="2:18" x14ac:dyDescent="0.5">
      <c r="C61" s="807" t="s">
        <v>674</v>
      </c>
      <c r="D61" s="807" t="s">
        <v>375</v>
      </c>
      <c r="E61" s="807" t="s">
        <v>376</v>
      </c>
      <c r="F61" s="807" t="s">
        <v>377</v>
      </c>
      <c r="G61" s="807" t="s">
        <v>672</v>
      </c>
      <c r="H61" s="807" t="s">
        <v>870</v>
      </c>
      <c r="I61" s="807" t="s">
        <v>1010</v>
      </c>
      <c r="J61" s="807" t="s">
        <v>1011</v>
      </c>
      <c r="K61" s="807" t="s">
        <v>1012</v>
      </c>
      <c r="L61" s="807" t="s">
        <v>1017</v>
      </c>
      <c r="M61" s="807" t="s">
        <v>1018</v>
      </c>
      <c r="N61" s="808" t="s">
        <v>1030</v>
      </c>
      <c r="O61" s="808" t="s">
        <v>1031</v>
      </c>
      <c r="P61" s="808" t="s">
        <v>1032</v>
      </c>
      <c r="Q61" s="808" t="s">
        <v>1033</v>
      </c>
      <c r="R61" s="808" t="s">
        <v>1034</v>
      </c>
    </row>
    <row r="62" spans="2:18" x14ac:dyDescent="0.5">
      <c r="B62" s="79" t="s">
        <v>708</v>
      </c>
      <c r="C62" s="395">
        <f>Quarts!G60</f>
        <v>0.37759131293188558</v>
      </c>
      <c r="D62" s="395">
        <f>Quarts!H60</f>
        <v>0.47224489795918362</v>
      </c>
      <c r="E62" s="395">
        <f>Quarts!I60</f>
        <v>0.49509074680154724</v>
      </c>
      <c r="F62" s="395">
        <f>Quarts!J60</f>
        <v>0.4655853607818673</v>
      </c>
      <c r="G62" s="395">
        <f>Quarts!K60</f>
        <v>0.3567742239833947</v>
      </c>
      <c r="H62" s="395">
        <f>Quarts!M60</f>
        <v>0.33523887254393481</v>
      </c>
      <c r="I62" s="395">
        <f>Quarts!N60</f>
        <v>0.31405083619783325</v>
      </c>
      <c r="J62" s="395">
        <f>Quarts!O60</f>
        <v>0.32672737011247999</v>
      </c>
      <c r="K62" s="395">
        <f>Quarts!P60</f>
        <v>0.39956159947926995</v>
      </c>
      <c r="L62" s="395">
        <f>Quarts!R60</f>
        <v>0.40305933934483157</v>
      </c>
      <c r="M62" s="395">
        <f>Quarts!S60</f>
        <v>0.41849513004388317</v>
      </c>
      <c r="N62" s="395" t="e">
        <f>Quarts!#REF!</f>
        <v>#REF!</v>
      </c>
      <c r="O62" s="395" t="e">
        <f>Quarts!#REF!</f>
        <v>#REF!</v>
      </c>
      <c r="P62" s="395" t="e">
        <f>Quarts!#REF!</f>
        <v>#REF!</v>
      </c>
      <c r="Q62" s="395">
        <f>Quarts!T60</f>
        <v>0.39995613011790343</v>
      </c>
      <c r="R62" s="395">
        <f>Quarts!U60</f>
        <v>0.42269980051740069</v>
      </c>
    </row>
    <row r="63" spans="2:18" x14ac:dyDescent="0.5">
      <c r="B63" s="79" t="s">
        <v>1050</v>
      </c>
      <c r="C63" s="395">
        <f>Quarts!G41</f>
        <v>6.6987951807228913E-2</v>
      </c>
      <c r="D63" s="395">
        <f>Quarts!H41</f>
        <v>8.6176159540716113E-2</v>
      </c>
      <c r="E63" s="395">
        <f>Quarts!I41</f>
        <v>8.292805214339434E-2</v>
      </c>
      <c r="F63" s="395">
        <f>Quarts!J41</f>
        <v>0.1021105527638191</v>
      </c>
      <c r="G63" s="395">
        <f>Quarts!K41</f>
        <v>0.13495024092644192</v>
      </c>
      <c r="H63" s="395">
        <f>Quarts!M41</f>
        <v>0.12501693227622274</v>
      </c>
      <c r="I63" s="395">
        <f>Quarts!N41</f>
        <v>0.15091224652287569</v>
      </c>
      <c r="J63" s="395">
        <f>Quarts!O41</f>
        <v>0.15945748783220995</v>
      </c>
      <c r="K63" s="395">
        <f>Quarts!P41</f>
        <v>0.15836210982479415</v>
      </c>
      <c r="L63" s="395">
        <f>Quarts!R41</f>
        <v>0.14800936768149883</v>
      </c>
      <c r="M63" s="395">
        <f>Quarts!S41</f>
        <v>0.17073452862926547</v>
      </c>
      <c r="N63" s="395" t="e">
        <f>Quarts!#REF!</f>
        <v>#REF!</v>
      </c>
      <c r="O63" s="395" t="e">
        <f>Quarts!#REF!</f>
        <v>#REF!</v>
      </c>
      <c r="P63" s="395" t="e">
        <f>Quarts!#REF!</f>
        <v>#REF!</v>
      </c>
      <c r="Q63" s="395">
        <f>Quarts!T41</f>
        <v>0.16941770267182188</v>
      </c>
      <c r="R63" s="395">
        <f>Quarts!U41</f>
        <v>0.17159161446171187</v>
      </c>
    </row>
    <row r="65" spans="2:18" ht="13.2" thickBot="1" x14ac:dyDescent="0.55000000000000004">
      <c r="C65" s="807"/>
      <c r="D65" s="807"/>
      <c r="E65" s="807" t="s">
        <v>376</v>
      </c>
      <c r="F65" s="807" t="s">
        <v>377</v>
      </c>
      <c r="G65" s="807" t="s">
        <v>672</v>
      </c>
      <c r="H65" s="807" t="s">
        <v>870</v>
      </c>
      <c r="I65" s="807" t="s">
        <v>1028</v>
      </c>
      <c r="J65" s="807" t="s">
        <v>1011</v>
      </c>
      <c r="K65" s="807" t="s">
        <v>1012</v>
      </c>
      <c r="L65" s="807" t="s">
        <v>1017</v>
      </c>
      <c r="M65" s="807" t="s">
        <v>1017</v>
      </c>
      <c r="N65" s="808" t="s">
        <v>1030</v>
      </c>
      <c r="O65" s="808" t="s">
        <v>1031</v>
      </c>
      <c r="P65" s="808" t="s">
        <v>1032</v>
      </c>
      <c r="Q65" s="808" t="s">
        <v>1033</v>
      </c>
      <c r="R65" s="808" t="s">
        <v>1034</v>
      </c>
    </row>
    <row r="66" spans="2:18" ht="14.7" thickBot="1" x14ac:dyDescent="0.6">
      <c r="B66" s="426" t="s">
        <v>1102</v>
      </c>
      <c r="C66" s="848"/>
      <c r="D66" s="848"/>
      <c r="E66" s="848">
        <f>Quarts!I32</f>
        <v>0.8939462903959946</v>
      </c>
      <c r="F66" s="848">
        <f>Quarts!J32</f>
        <v>0.88888888888888895</v>
      </c>
      <c r="G66" s="848">
        <f>Quarts!K32</f>
        <v>0.84593363934806265</v>
      </c>
      <c r="H66" s="848">
        <f>Quarts!M32</f>
        <v>0.81072732473869413</v>
      </c>
      <c r="I66" s="848">
        <f>Quarts!N32</f>
        <v>0.90660001320775174</v>
      </c>
      <c r="J66" s="848">
        <f>Quarts!O32</f>
        <v>0.92718772494382506</v>
      </c>
      <c r="K66" s="848">
        <f>Quarts!P32</f>
        <v>0.71655174094198448</v>
      </c>
      <c r="L66" s="848">
        <f>Quarts!R32</f>
        <v>0.72807914404619611</v>
      </c>
      <c r="M66" s="848">
        <f>Quarts!S32</f>
        <v>0.69044742951996352</v>
      </c>
      <c r="N66" s="848" t="e">
        <f>Quarts!#REF!</f>
        <v>#REF!</v>
      </c>
      <c r="O66" s="848" t="e">
        <f>Quarts!#REF!</f>
        <v>#REF!</v>
      </c>
      <c r="P66" s="848" t="e">
        <f>Quarts!#REF!</f>
        <v>#REF!</v>
      </c>
      <c r="Q66" s="848">
        <f>Quarts!T31</f>
        <v>0.78807256087683164</v>
      </c>
      <c r="R66" s="848">
        <f>Quarts!U31</f>
        <v>0.76419279485740688</v>
      </c>
    </row>
    <row r="67" spans="2:18" ht="14.4" x14ac:dyDescent="0.55000000000000004">
      <c r="B67" s="426"/>
      <c r="C67" s="110"/>
      <c r="D67" s="110"/>
      <c r="E67" s="110"/>
      <c r="F67" s="848"/>
      <c r="G67" s="848"/>
      <c r="H67" s="848"/>
      <c r="I67" s="848"/>
      <c r="J67" s="848"/>
      <c r="K67" s="848"/>
      <c r="L67" s="848"/>
      <c r="M67" s="848"/>
      <c r="N67" s="848"/>
      <c r="O67" s="848"/>
    </row>
    <row r="68" spans="2:18" ht="14.7" thickBot="1" x14ac:dyDescent="0.6">
      <c r="B68" s="426"/>
      <c r="C68" s="110"/>
      <c r="D68" s="110"/>
      <c r="E68" s="110"/>
      <c r="F68" s="807" t="s">
        <v>377</v>
      </c>
      <c r="G68" s="807" t="s">
        <v>672</v>
      </c>
      <c r="H68" s="807" t="s">
        <v>870</v>
      </c>
      <c r="I68" s="807" t="s">
        <v>1028</v>
      </c>
      <c r="J68" s="807" t="s">
        <v>1011</v>
      </c>
      <c r="K68" s="807" t="s">
        <v>1012</v>
      </c>
      <c r="L68" s="807" t="s">
        <v>1017</v>
      </c>
      <c r="M68" s="807" t="s">
        <v>1018</v>
      </c>
    </row>
    <row r="69" spans="2:18" ht="14.4" x14ac:dyDescent="0.55000000000000004">
      <c r="B69" s="426" t="s">
        <v>1166</v>
      </c>
      <c r="F69" s="881">
        <v>0.98</v>
      </c>
      <c r="G69" s="881">
        <v>0.98</v>
      </c>
      <c r="H69" s="881">
        <v>0.98</v>
      </c>
      <c r="I69" s="881">
        <v>0.98</v>
      </c>
      <c r="J69" s="881">
        <v>0.95</v>
      </c>
      <c r="K69" s="881">
        <v>0.78</v>
      </c>
      <c r="L69" s="881">
        <v>0.81</v>
      </c>
      <c r="M69" s="848">
        <v>0.8</v>
      </c>
      <c r="N69" s="848"/>
      <c r="O69" s="848"/>
    </row>
    <row r="71" spans="2:18" ht="14.1" x14ac:dyDescent="0.5">
      <c r="B71" s="957" t="s">
        <v>677</v>
      </c>
      <c r="C71" s="958" t="s">
        <v>375</v>
      </c>
      <c r="D71" s="958" t="s">
        <v>376</v>
      </c>
      <c r="E71" s="958" t="s">
        <v>377</v>
      </c>
      <c r="F71" s="958" t="s">
        <v>672</v>
      </c>
      <c r="G71" s="958" t="s">
        <v>870</v>
      </c>
      <c r="H71" s="958" t="s">
        <v>1010</v>
      </c>
      <c r="I71" s="958" t="s">
        <v>1011</v>
      </c>
      <c r="J71" s="958" t="s">
        <v>1012</v>
      </c>
      <c r="K71" s="958" t="s">
        <v>1017</v>
      </c>
      <c r="L71" s="958" t="s">
        <v>1018</v>
      </c>
    </row>
    <row r="72" spans="2:18" ht="14.1" x14ac:dyDescent="0.5">
      <c r="B72" s="959" t="s">
        <v>678</v>
      </c>
      <c r="C72" s="960">
        <f>Quarts!H156</f>
        <v>37.1</v>
      </c>
      <c r="D72" s="960">
        <f>Quarts!I156</f>
        <v>41.7</v>
      </c>
      <c r="E72" s="960">
        <f>Quarts!J156</f>
        <v>48.1</v>
      </c>
      <c r="F72" s="960">
        <f>Quarts!K156</f>
        <v>53.9</v>
      </c>
      <c r="G72" s="960">
        <f>Quarts!M156</f>
        <v>59.6</v>
      </c>
      <c r="H72" s="960">
        <f>Quarts!N156</f>
        <v>65.3</v>
      </c>
      <c r="I72" s="960">
        <f>Quarts!O156</f>
        <v>70.400000000000006</v>
      </c>
      <c r="J72" s="960">
        <f>Quarts!P156</f>
        <v>74.599999999999994</v>
      </c>
      <c r="K72" s="960">
        <f>Quarts!R156</f>
        <v>79.099999999999994</v>
      </c>
      <c r="L72" s="960">
        <f>Quarts!S156</f>
        <v>83.7</v>
      </c>
    </row>
    <row r="73" spans="2:18" ht="14.1" x14ac:dyDescent="0.5">
      <c r="B73" s="575" t="s">
        <v>679</v>
      </c>
      <c r="C73" s="961">
        <f>C72-37.1</f>
        <v>0</v>
      </c>
      <c r="D73" s="961">
        <f>D72-37.1</f>
        <v>4.6000000000000014</v>
      </c>
      <c r="E73" s="961">
        <f t="shared" ref="E73:L73" si="12">E72-D72</f>
        <v>6.3999999999999986</v>
      </c>
      <c r="F73" s="961">
        <f t="shared" si="12"/>
        <v>5.7999999999999972</v>
      </c>
      <c r="G73" s="961">
        <f t="shared" si="12"/>
        <v>5.7000000000000028</v>
      </c>
      <c r="H73" s="961">
        <f t="shared" si="12"/>
        <v>5.6999999999999957</v>
      </c>
      <c r="I73" s="961">
        <f t="shared" si="12"/>
        <v>5.1000000000000085</v>
      </c>
      <c r="J73" s="961">
        <f t="shared" si="12"/>
        <v>4.1999999999999886</v>
      </c>
      <c r="K73" s="961">
        <f t="shared" si="12"/>
        <v>4.5</v>
      </c>
      <c r="L73" s="961">
        <f t="shared" si="12"/>
        <v>4.6000000000000085</v>
      </c>
    </row>
    <row r="74" spans="2:18" ht="14.1" x14ac:dyDescent="0.5">
      <c r="B74" s="962" t="s">
        <v>446</v>
      </c>
      <c r="C74" s="963">
        <f>Quarts!H166</f>
        <v>25.549450549450547</v>
      </c>
      <c r="D74" s="963">
        <f>Quarts!I166</f>
        <v>29.885714285714283</v>
      </c>
      <c r="E74" s="963">
        <f>Quarts!J166</f>
        <v>35.200000000000003</v>
      </c>
      <c r="F74" s="963">
        <f>Quarts!K166</f>
        <v>39.9</v>
      </c>
      <c r="G74" s="963">
        <f>Quarts!M166</f>
        <v>46.5</v>
      </c>
      <c r="H74" s="963">
        <f>Quarts!N166</f>
        <v>52.3</v>
      </c>
      <c r="I74" s="963">
        <f>Quarts!O166</f>
        <v>57.4</v>
      </c>
      <c r="J74" s="963">
        <f>Quarts!P166</f>
        <v>61.2</v>
      </c>
      <c r="K74" s="963">
        <f>Quarts!R166</f>
        <v>64.900000000000006</v>
      </c>
      <c r="L74" s="963">
        <f>Quarts!S166</f>
        <v>68.8</v>
      </c>
    </row>
    <row r="75" spans="2:18" ht="14.1" x14ac:dyDescent="0.5">
      <c r="B75" s="575" t="s">
        <v>679</v>
      </c>
      <c r="C75" s="961">
        <f>C74-25.5</f>
        <v>4.9450549450547499E-2</v>
      </c>
      <c r="D75" s="961">
        <f>D74-25.5</f>
        <v>4.3857142857142826</v>
      </c>
      <c r="E75" s="961">
        <f t="shared" ref="E75:L75" si="13">E74-D74</f>
        <v>5.3142857142857203</v>
      </c>
      <c r="F75" s="961">
        <f t="shared" si="13"/>
        <v>4.6999999999999957</v>
      </c>
      <c r="G75" s="961">
        <f t="shared" si="13"/>
        <v>6.6000000000000014</v>
      </c>
      <c r="H75" s="961">
        <f t="shared" si="13"/>
        <v>5.7999999999999972</v>
      </c>
      <c r="I75" s="961">
        <f t="shared" si="13"/>
        <v>5.1000000000000014</v>
      </c>
      <c r="J75" s="961">
        <f t="shared" si="13"/>
        <v>3.8000000000000043</v>
      </c>
      <c r="K75" s="961">
        <f t="shared" si="13"/>
        <v>3.7000000000000028</v>
      </c>
      <c r="L75" s="961">
        <f t="shared" si="13"/>
        <v>3.8999999999999915</v>
      </c>
    </row>
    <row r="76" spans="2:18" ht="14.1" x14ac:dyDescent="0.5">
      <c r="B76" s="964" t="s">
        <v>703</v>
      </c>
      <c r="C76" s="963"/>
      <c r="D76" s="963"/>
      <c r="E76" s="963"/>
      <c r="F76" s="963"/>
      <c r="G76" s="963"/>
      <c r="H76" s="963"/>
      <c r="I76" s="963"/>
      <c r="J76" s="963"/>
      <c r="K76" s="963"/>
      <c r="L76" s="963"/>
    </row>
    <row r="77" spans="2:18" ht="14.1" x14ac:dyDescent="0.5">
      <c r="B77" s="573" t="s">
        <v>390</v>
      </c>
      <c r="C77" s="961">
        <f>Quarts!H170</f>
        <v>3.4495296447580142</v>
      </c>
      <c r="D77" s="961">
        <f>Quarts!I170</f>
        <v>4.0419590585312362</v>
      </c>
      <c r="E77" s="961">
        <f>Quarts!J170</f>
        <v>4.9258121158911319</v>
      </c>
      <c r="F77" s="961">
        <f>Quarts!K170</f>
        <v>5.6</v>
      </c>
      <c r="G77" s="961">
        <f>Quarts!M170</f>
        <v>6.7</v>
      </c>
      <c r="H77" s="961">
        <f>Quarts!N170</f>
        <v>7.8</v>
      </c>
      <c r="I77" s="961">
        <f>Quarts!O170</f>
        <v>7.9</v>
      </c>
      <c r="J77" s="961">
        <f>Quarts!P170</f>
        <v>8.1999999999999993</v>
      </c>
      <c r="K77" s="961">
        <f>Quarts!R170</f>
        <v>8.6</v>
      </c>
      <c r="L77" s="961">
        <f>Quarts!S170</f>
        <v>9.3000000000000007</v>
      </c>
    </row>
    <row r="78" spans="2:18" ht="14.1" x14ac:dyDescent="0.5">
      <c r="B78" s="965"/>
      <c r="C78" s="963"/>
      <c r="D78" s="963"/>
      <c r="E78" s="963"/>
      <c r="F78" s="963"/>
      <c r="G78" s="963"/>
      <c r="H78" s="963"/>
      <c r="I78" s="963"/>
      <c r="J78" s="963"/>
      <c r="K78" s="963"/>
      <c r="L78" s="963"/>
    </row>
    <row r="79" spans="2:18" ht="14.1" x14ac:dyDescent="0.5">
      <c r="B79" s="707" t="s">
        <v>700</v>
      </c>
      <c r="C79" s="966"/>
      <c r="D79" s="966"/>
      <c r="E79" s="966"/>
      <c r="F79" s="966"/>
      <c r="G79" s="966"/>
      <c r="H79" s="966"/>
      <c r="I79" s="966"/>
      <c r="J79" s="966"/>
      <c r="K79" s="966"/>
      <c r="L79" s="966"/>
    </row>
    <row r="80" spans="2:18" ht="14.1" x14ac:dyDescent="0.5">
      <c r="B80" s="967" t="s">
        <v>346</v>
      </c>
      <c r="C80" s="968">
        <f>Quarts!G191</f>
        <v>2908.9</v>
      </c>
      <c r="D80" s="968">
        <f>Quarts!H191</f>
        <v>3300</v>
      </c>
      <c r="E80" s="968">
        <f>Quarts!I191</f>
        <v>3600</v>
      </c>
      <c r="F80" s="968">
        <f>Quarts!J191</f>
        <v>4061.5</v>
      </c>
      <c r="G80" s="968">
        <f>Quarts!M191</f>
        <v>6234</v>
      </c>
      <c r="H80" s="968">
        <f>Quarts!N191</f>
        <v>6478.47</v>
      </c>
      <c r="I80" s="968">
        <f>Quarts!O191</f>
        <v>6987.9480000000003</v>
      </c>
      <c r="J80" s="968">
        <f>Quarts!P191</f>
        <v>8233</v>
      </c>
      <c r="K80" s="968">
        <f>Quarts!R191</f>
        <v>9158</v>
      </c>
      <c r="L80" s="968">
        <f>Quarts!S191</f>
        <v>10388</v>
      </c>
    </row>
    <row r="81" spans="2:13" ht="14.1" x14ac:dyDescent="0.5">
      <c r="B81" s="573" t="s">
        <v>218</v>
      </c>
      <c r="C81" s="969">
        <f>Quarts!G192</f>
        <v>202.32558139534882</v>
      </c>
      <c r="D81" s="969">
        <f>Quarts!H192</f>
        <v>400</v>
      </c>
      <c r="E81" s="969">
        <f>Quarts!I192</f>
        <v>600</v>
      </c>
      <c r="F81" s="969">
        <f>Quarts!J192</f>
        <v>792.7</v>
      </c>
      <c r="G81" s="969">
        <f>Quarts!M192</f>
        <v>1667</v>
      </c>
      <c r="H81" s="969">
        <f>Quarts!N192</f>
        <v>1675.7760000000001</v>
      </c>
      <c r="I81" s="969">
        <f>Quarts!O192</f>
        <v>1603.105</v>
      </c>
      <c r="J81" s="969">
        <f>Quarts!P192</f>
        <v>1673</v>
      </c>
      <c r="K81" s="969">
        <f>Quarts!R192</f>
        <v>2020</v>
      </c>
      <c r="L81" s="969">
        <f>Quarts!S192</f>
        <v>2433</v>
      </c>
    </row>
    <row r="82" spans="2:13" s="82" customFormat="1" ht="14.1" x14ac:dyDescent="0.5">
      <c r="B82" s="970" t="s">
        <v>1106</v>
      </c>
      <c r="C82" s="971">
        <f>Quarts!G194</f>
        <v>3111.2255813953489</v>
      </c>
      <c r="D82" s="971">
        <f>Quarts!H194</f>
        <v>3700</v>
      </c>
      <c r="E82" s="971">
        <f>Quarts!I194</f>
        <v>4200</v>
      </c>
      <c r="F82" s="971">
        <f>Quarts!J194</f>
        <v>4854.2</v>
      </c>
      <c r="G82" s="971">
        <f>Quarts!M194</f>
        <v>7901</v>
      </c>
      <c r="H82" s="971">
        <f>Quarts!N194</f>
        <v>8154.2460000000001</v>
      </c>
      <c r="I82" s="971">
        <f>Quarts!O194</f>
        <v>8591.0529999999999</v>
      </c>
      <c r="J82" s="971">
        <f>Quarts!P194</f>
        <v>9906</v>
      </c>
      <c r="K82" s="971">
        <f>Quarts!R194</f>
        <v>11178</v>
      </c>
      <c r="L82" s="971">
        <f>Quarts!S194</f>
        <v>12821</v>
      </c>
    </row>
    <row r="83" spans="2:13" ht="14.1" x14ac:dyDescent="0.5">
      <c r="B83" s="972"/>
      <c r="C83" s="973"/>
      <c r="D83" s="973"/>
      <c r="E83" s="973"/>
      <c r="F83" s="973"/>
      <c r="G83" s="973"/>
      <c r="H83" s="973"/>
      <c r="I83" s="973"/>
      <c r="J83" s="973"/>
      <c r="K83" s="973"/>
      <c r="L83" s="973"/>
    </row>
    <row r="84" spans="2:13" ht="14.1" x14ac:dyDescent="0.5">
      <c r="B84" s="964" t="s">
        <v>522</v>
      </c>
      <c r="C84" s="974"/>
      <c r="D84" s="974"/>
      <c r="E84" s="974"/>
      <c r="F84" s="974"/>
      <c r="G84" s="974"/>
      <c r="H84" s="974"/>
      <c r="I84" s="974"/>
      <c r="J84" s="974"/>
      <c r="K84" s="974"/>
      <c r="L84" s="974"/>
    </row>
    <row r="85" spans="2:13" ht="14.1" x14ac:dyDescent="0.5">
      <c r="B85" s="557" t="s">
        <v>1108</v>
      </c>
      <c r="C85" s="975">
        <f>Quarts!H323</f>
        <v>0.03</v>
      </c>
      <c r="D85" s="975">
        <f>Quarts!I323</f>
        <v>0.03</v>
      </c>
      <c r="E85" s="975">
        <f>Quarts!J323</f>
        <v>3.2000000000000001E-2</v>
      </c>
      <c r="F85" s="975">
        <f>Quarts!K323</f>
        <v>3.1E-2</v>
      </c>
      <c r="G85" s="975">
        <f>Quarts!M323</f>
        <v>3.5000000000000003E-2</v>
      </c>
      <c r="H85" s="975">
        <f>Quarts!N323</f>
        <v>4.1000000000000002E-2</v>
      </c>
      <c r="I85" s="975">
        <f>Quarts!O323</f>
        <v>4.7E-2</v>
      </c>
      <c r="J85" s="975">
        <f>Quarts!P323</f>
        <v>5.1999999999999998E-2</v>
      </c>
      <c r="K85" s="975">
        <f>Quarts!R323</f>
        <v>5.5E-2</v>
      </c>
      <c r="L85" s="975">
        <f>Quarts!S323</f>
        <v>5.8999999999999997E-2</v>
      </c>
    </row>
    <row r="86" spans="2:13" ht="14.1" x14ac:dyDescent="0.5">
      <c r="B86" s="962" t="s">
        <v>1107</v>
      </c>
      <c r="C86" s="976">
        <v>2.1999999999999999E-2</v>
      </c>
      <c r="D86" s="976">
        <v>2.1999999999999999E-2</v>
      </c>
      <c r="E86" s="976">
        <v>2.3E-2</v>
      </c>
      <c r="F86" s="976">
        <v>2.5999999999999999E-2</v>
      </c>
      <c r="G86" s="976">
        <v>3.6999999999999998E-2</v>
      </c>
      <c r="H86" s="976">
        <v>3.5999999999999997E-2</v>
      </c>
      <c r="I86" s="976">
        <v>4.2000000000000003E-2</v>
      </c>
      <c r="J86" s="976">
        <v>3.6999999999999998E-2</v>
      </c>
      <c r="K86" s="976">
        <v>4.3999999999999997E-2</v>
      </c>
      <c r="L86" s="976">
        <v>4.2999999999999997E-2</v>
      </c>
    </row>
    <row r="87" spans="2:13" ht="14.1" x14ac:dyDescent="0.5">
      <c r="B87" s="977" t="s">
        <v>680</v>
      </c>
      <c r="C87" s="978"/>
      <c r="D87" s="978"/>
      <c r="E87" s="978"/>
      <c r="F87" s="978"/>
      <c r="G87" s="978"/>
      <c r="H87" s="978"/>
      <c r="I87" s="978"/>
      <c r="J87" s="978"/>
      <c r="K87" s="978"/>
      <c r="L87" s="978"/>
      <c r="M87" s="153"/>
    </row>
    <row r="88" spans="2:13" ht="14.1" x14ac:dyDescent="0.5">
      <c r="B88" s="1161" t="s">
        <v>702</v>
      </c>
      <c r="C88" s="1162">
        <f>Quarts!H286</f>
        <v>7.5</v>
      </c>
      <c r="D88" s="1162">
        <f>Quarts!I286</f>
        <v>9.9</v>
      </c>
      <c r="E88" s="1162">
        <f>Quarts!J286</f>
        <v>12.1</v>
      </c>
      <c r="F88" s="1162">
        <f>Quarts!K286</f>
        <v>14.3</v>
      </c>
      <c r="G88" s="1162">
        <f>Quarts!M286</f>
        <v>15.9</v>
      </c>
      <c r="H88" s="1162">
        <f>Quarts!N286</f>
        <v>20</v>
      </c>
      <c r="I88" s="1162">
        <f>Quarts!O286</f>
        <v>21.2</v>
      </c>
      <c r="J88" s="1162">
        <f>Quarts!P286</f>
        <v>23.8</v>
      </c>
      <c r="K88" s="1162">
        <f>Quarts!R286</f>
        <v>23.3</v>
      </c>
      <c r="L88" s="1162">
        <f>Quarts!S286</f>
        <v>26.3</v>
      </c>
    </row>
    <row r="89" spans="2:13" x14ac:dyDescent="0.5">
      <c r="B89" s="440"/>
      <c r="C89" s="440"/>
      <c r="D89" s="440"/>
      <c r="E89" s="154"/>
      <c r="F89" s="154"/>
      <c r="G89" s="138"/>
      <c r="H89" s="138"/>
      <c r="I89" s="138"/>
      <c r="J89" s="866"/>
      <c r="K89" s="866"/>
    </row>
    <row r="90" spans="2:13" x14ac:dyDescent="0.5">
      <c r="B90" s="440"/>
      <c r="C90" s="440"/>
      <c r="D90" s="440"/>
      <c r="E90" s="154"/>
      <c r="F90" s="154"/>
      <c r="G90" s="138"/>
      <c r="H90" s="138"/>
      <c r="I90" s="138"/>
      <c r="J90" s="866"/>
      <c r="K90" s="866"/>
    </row>
    <row r="91" spans="2:13" x14ac:dyDescent="0.5">
      <c r="B91" s="81"/>
      <c r="C91" s="867"/>
      <c r="D91" s="867"/>
      <c r="E91" s="867"/>
      <c r="F91" s="868"/>
      <c r="G91" s="868"/>
      <c r="H91" s="869"/>
      <c r="I91" s="81"/>
      <c r="J91" s="869"/>
      <c r="K91" s="869"/>
    </row>
    <row r="92" spans="2:13" x14ac:dyDescent="0.5">
      <c r="B92" s="809" t="s">
        <v>701</v>
      </c>
      <c r="C92" s="129" t="e">
        <f>#REF!</f>
        <v>#REF!</v>
      </c>
      <c r="D92" s="129" t="str">
        <f>D71</f>
        <v>Q2 21</v>
      </c>
      <c r="E92" s="129" t="str">
        <f>E71</f>
        <v>Q3 21</v>
      </c>
      <c r="F92" s="129" t="str">
        <f>F71</f>
        <v>Q4 21</v>
      </c>
      <c r="G92" s="129" t="str">
        <f>G71</f>
        <v>Q1 22</v>
      </c>
      <c r="H92" s="129" t="str">
        <f>K71</f>
        <v>Q1 23</v>
      </c>
      <c r="I92" s="232"/>
      <c r="J92" s="232"/>
    </row>
    <row r="93" spans="2:13" x14ac:dyDescent="0.5">
      <c r="B93" s="82" t="s">
        <v>317</v>
      </c>
      <c r="C93" s="82"/>
      <c r="D93" s="82"/>
      <c r="E93" s="82"/>
      <c r="F93" s="80"/>
      <c r="G93" s="80"/>
      <c r="H93" s="393"/>
      <c r="I93" s="393"/>
      <c r="J93" s="393"/>
    </row>
    <row r="94" spans="2:13" x14ac:dyDescent="0.5">
      <c r="B94" s="79" t="s">
        <v>684</v>
      </c>
      <c r="C94" s="80"/>
      <c r="D94" s="80"/>
      <c r="E94" s="80"/>
      <c r="F94" s="80"/>
      <c r="G94" s="80"/>
      <c r="H94" s="393"/>
      <c r="I94" s="393"/>
      <c r="J94" s="393"/>
    </row>
    <row r="95" spans="2:13" x14ac:dyDescent="0.5">
      <c r="B95" s="79" t="s">
        <v>326</v>
      </c>
      <c r="C95" s="810"/>
      <c r="D95" s="810"/>
      <c r="E95" s="810"/>
      <c r="F95" s="810"/>
      <c r="G95" s="810"/>
      <c r="H95" s="153"/>
      <c r="I95" s="153"/>
      <c r="J95" s="153"/>
    </row>
    <row r="97" spans="2:29" x14ac:dyDescent="0.5">
      <c r="B97" s="82" t="s">
        <v>685</v>
      </c>
      <c r="C97" s="80"/>
      <c r="D97" s="80"/>
      <c r="E97" s="80"/>
      <c r="F97" s="80"/>
      <c r="G97" s="80"/>
      <c r="H97" s="393"/>
      <c r="I97" s="393"/>
      <c r="J97" s="393"/>
    </row>
    <row r="98" spans="2:29" x14ac:dyDescent="0.5">
      <c r="B98" s="79" t="s">
        <v>340</v>
      </c>
      <c r="C98" s="80"/>
      <c r="D98" s="80"/>
      <c r="E98" s="80"/>
      <c r="F98" s="80"/>
      <c r="G98" s="80"/>
      <c r="H98" s="393"/>
      <c r="I98" s="393"/>
      <c r="J98" s="393"/>
    </row>
    <row r="99" spans="2:29" x14ac:dyDescent="0.5">
      <c r="B99" s="79" t="s">
        <v>686</v>
      </c>
      <c r="C99" s="811"/>
      <c r="D99" s="811"/>
      <c r="E99" s="811"/>
      <c r="F99" s="811"/>
      <c r="G99" s="811"/>
      <c r="H99" s="153"/>
      <c r="I99" s="153"/>
      <c r="J99" s="153"/>
    </row>
    <row r="101" spans="2:29" x14ac:dyDescent="0.5">
      <c r="B101" s="82" t="s">
        <v>687</v>
      </c>
      <c r="C101" s="80"/>
      <c r="D101" s="80"/>
      <c r="E101" s="80"/>
      <c r="F101" s="80"/>
      <c r="G101" s="80"/>
      <c r="H101" s="393"/>
      <c r="I101" s="393"/>
      <c r="J101" s="393"/>
    </row>
    <row r="102" spans="2:29" x14ac:dyDescent="0.5">
      <c r="B102" s="79" t="s">
        <v>688</v>
      </c>
      <c r="C102" s="80"/>
      <c r="D102" s="80"/>
      <c r="E102" s="80"/>
      <c r="F102" s="80"/>
      <c r="G102" s="154"/>
      <c r="H102" s="393"/>
      <c r="I102" s="393"/>
      <c r="J102" s="393"/>
    </row>
    <row r="103" spans="2:29" x14ac:dyDescent="0.5">
      <c r="B103" s="81" t="s">
        <v>686</v>
      </c>
      <c r="C103" s="812"/>
      <c r="D103" s="812"/>
      <c r="E103" s="812"/>
      <c r="F103" s="812"/>
      <c r="G103" s="812"/>
      <c r="H103" s="813"/>
      <c r="I103" s="153"/>
      <c r="J103" s="153"/>
    </row>
    <row r="106" spans="2:29" x14ac:dyDescent="0.5">
      <c r="L106" s="807" t="s">
        <v>674</v>
      </c>
      <c r="M106" s="807" t="s">
        <v>375</v>
      </c>
      <c r="N106" s="807" t="s">
        <v>376</v>
      </c>
      <c r="O106" s="807" t="s">
        <v>377</v>
      </c>
      <c r="P106" s="807" t="s">
        <v>672</v>
      </c>
      <c r="Q106" s="807" t="s">
        <v>870</v>
      </c>
      <c r="R106" s="807" t="s">
        <v>58</v>
      </c>
      <c r="S106" s="807" t="s">
        <v>59</v>
      </c>
      <c r="T106" s="807" t="s">
        <v>60</v>
      </c>
      <c r="U106" s="807" t="s">
        <v>61</v>
      </c>
      <c r="V106" s="807" t="s">
        <v>62</v>
      </c>
      <c r="W106" s="807" t="s">
        <v>63</v>
      </c>
      <c r="X106" s="807" t="s">
        <v>64</v>
      </c>
      <c r="Y106" s="807">
        <v>2023</v>
      </c>
      <c r="Z106" s="807" t="str">
        <f>O61</f>
        <v>Q1 23e</v>
      </c>
      <c r="AA106" s="807" t="str">
        <f>P61</f>
        <v>Q2 23e</v>
      </c>
      <c r="AB106" s="807" t="str">
        <f>Q61</f>
        <v>Q3 23e</v>
      </c>
      <c r="AC106" s="807" t="str">
        <f>R61</f>
        <v>Q4 23e</v>
      </c>
    </row>
    <row r="107" spans="2:29" x14ac:dyDescent="0.5">
      <c r="L107" s="310">
        <f>Quarts!G60</f>
        <v>0.37759131293188558</v>
      </c>
      <c r="M107" s="310">
        <f>Quarts!H60</f>
        <v>0.47224489795918362</v>
      </c>
      <c r="N107" s="310">
        <f>Quarts!I60</f>
        <v>0.49509074680154724</v>
      </c>
      <c r="O107" s="310">
        <f>Quarts!J60</f>
        <v>0.4655853607818673</v>
      </c>
      <c r="P107" s="310">
        <f>Quarts!K60</f>
        <v>0.3567742239833947</v>
      </c>
      <c r="Q107" s="310">
        <f>Quarts!M60</f>
        <v>0.33523887254393481</v>
      </c>
      <c r="R107" s="310" t="e">
        <f>Quarts!#REF!</f>
        <v>#REF!</v>
      </c>
      <c r="S107" s="310" t="e">
        <f>Quarts!#REF!</f>
        <v>#REF!</v>
      </c>
      <c r="T107" s="310" t="e">
        <f>Quarts!#REF!</f>
        <v>#REF!</v>
      </c>
      <c r="U107" s="310" t="e">
        <f>Quarts!#REF!</f>
        <v>#REF!</v>
      </c>
      <c r="V107" s="310" t="e">
        <f>Quarts!#REF!</f>
        <v>#REF!</v>
      </c>
      <c r="W107" s="310">
        <f>Quarts!T60</f>
        <v>0.39995613011790343</v>
      </c>
      <c r="X107" s="310">
        <f>Quarts!U60</f>
        <v>0.42269980051740069</v>
      </c>
      <c r="Y107" s="310">
        <f>Quarts!V60</f>
        <v>0.41160932748533774</v>
      </c>
      <c r="Z107" s="310">
        <f>Quarts!AB60</f>
        <v>0</v>
      </c>
      <c r="AA107" s="310">
        <f>Quarts!AC60</f>
        <v>0</v>
      </c>
      <c r="AB107" s="310">
        <f>Quarts!AD60</f>
        <v>0</v>
      </c>
      <c r="AC107" s="310">
        <f>Quarts!AE60</f>
        <v>0</v>
      </c>
    </row>
    <row r="109" spans="2:29" x14ac:dyDescent="0.5">
      <c r="C109" s="807" t="s">
        <v>695</v>
      </c>
      <c r="D109" s="807"/>
      <c r="E109" s="807"/>
      <c r="F109" s="807"/>
      <c r="G109" s="807"/>
      <c r="H109" s="807"/>
      <c r="I109" s="807"/>
      <c r="J109" s="807"/>
      <c r="K109" s="807" t="s">
        <v>561</v>
      </c>
    </row>
    <row r="110" spans="2:29" x14ac:dyDescent="0.5">
      <c r="B110" s="79" t="s">
        <v>708</v>
      </c>
      <c r="C110" s="310">
        <f>Quarts!E60</f>
        <v>0.58718422674060389</v>
      </c>
      <c r="D110" s="310"/>
      <c r="E110" s="310"/>
      <c r="F110" s="310"/>
      <c r="G110" s="310"/>
      <c r="H110" s="310"/>
      <c r="I110" s="310"/>
      <c r="J110" s="310"/>
      <c r="K110" s="310">
        <f>Quarts!F60</f>
        <v>0.43113388853299178</v>
      </c>
    </row>
    <row r="114" spans="2:13" ht="14.4" x14ac:dyDescent="0.55000000000000004">
      <c r="B114" s="338" t="s">
        <v>1505</v>
      </c>
      <c r="C114" s="397" t="s">
        <v>674</v>
      </c>
      <c r="D114" s="397" t="s">
        <v>375</v>
      </c>
      <c r="E114" s="397" t="s">
        <v>376</v>
      </c>
      <c r="F114" s="397" t="s">
        <v>377</v>
      </c>
      <c r="G114" s="397" t="s">
        <v>672</v>
      </c>
      <c r="H114" s="489" t="s">
        <v>870</v>
      </c>
      <c r="I114" s="847" t="s">
        <v>1010</v>
      </c>
      <c r="J114" s="870" t="s">
        <v>1011</v>
      </c>
      <c r="K114" s="929" t="s">
        <v>1012</v>
      </c>
      <c r="L114" s="1151" t="s">
        <v>1017</v>
      </c>
      <c r="M114" s="1177" t="s">
        <v>1018</v>
      </c>
    </row>
    <row r="115" spans="2:13" x14ac:dyDescent="0.5">
      <c r="B115" s="337" t="s">
        <v>346</v>
      </c>
      <c r="C115" s="80">
        <f>Quarts!G237</f>
        <v>16214.121500000001</v>
      </c>
      <c r="D115" s="80">
        <f>Quarts!H237</f>
        <v>16872.931499999999</v>
      </c>
      <c r="E115" s="80">
        <f>Quarts!I237</f>
        <v>20310.7552</v>
      </c>
      <c r="F115" s="80">
        <f>Quarts!J237</f>
        <v>23774.587199999998</v>
      </c>
      <c r="G115" s="80">
        <f>Quarts!K237</f>
        <v>28833.4598682</v>
      </c>
      <c r="H115" s="80">
        <f>Quarts!M237</f>
        <v>32300.29866</v>
      </c>
      <c r="I115" s="80">
        <f>Quarts!N237</f>
        <v>37744.797419999995</v>
      </c>
      <c r="J115" s="80">
        <f>Quarts!O237</f>
        <v>42307.359015999995</v>
      </c>
      <c r="K115" s="80">
        <f>Quarts!P237</f>
        <v>49019.520000000004</v>
      </c>
      <c r="L115" s="80">
        <f>Quarts!R237</f>
        <v>52998.439999999995</v>
      </c>
      <c r="M115" s="80">
        <f>Quarts!S237</f>
        <v>57776.98</v>
      </c>
    </row>
    <row r="116" spans="2:13" x14ac:dyDescent="0.5">
      <c r="B116" s="343" t="s">
        <v>218</v>
      </c>
      <c r="C116" s="311">
        <f>Quarts!G238</f>
        <v>1044.8985</v>
      </c>
      <c r="D116" s="311">
        <f>Quarts!H238</f>
        <v>1712.6448</v>
      </c>
      <c r="E116" s="311">
        <f>Quarts!I238</f>
        <v>2942.0032000000001</v>
      </c>
      <c r="F116" s="311">
        <f>Quarts!J238</f>
        <v>4914.9386999999997</v>
      </c>
      <c r="G116" s="311">
        <f>Quarts!K238</f>
        <v>7763.4428268000001</v>
      </c>
      <c r="H116" s="311">
        <f>Quarts!M238</f>
        <v>9515.5500000000011</v>
      </c>
      <c r="I116" s="311">
        <f>Quarts!N238</f>
        <v>10236.23878</v>
      </c>
      <c r="J116" s="311">
        <f>Quarts!O238</f>
        <v>10315.092392500001</v>
      </c>
      <c r="K116" s="311">
        <f>Quarts!P238</f>
        <v>10417.44</v>
      </c>
      <c r="L116" s="311">
        <f>Quarts!R238</f>
        <v>11820.16</v>
      </c>
      <c r="M116" s="311">
        <f>Quarts!S238</f>
        <v>13373.68</v>
      </c>
    </row>
    <row r="117" spans="2:13" x14ac:dyDescent="0.5">
      <c r="B117" s="337" t="s">
        <v>450</v>
      </c>
      <c r="C117" s="80">
        <f>Quarts!G240</f>
        <v>17259.02</v>
      </c>
      <c r="D117" s="80">
        <f>Quarts!H240</f>
        <v>18585.576300000001</v>
      </c>
      <c r="E117" s="80">
        <f>Quarts!I240</f>
        <v>23252.758399999999</v>
      </c>
      <c r="F117" s="80">
        <f>Quarts!J240</f>
        <v>28689.525900000001</v>
      </c>
      <c r="G117" s="80">
        <f>Quarts!K240</f>
        <v>36596.902694999997</v>
      </c>
      <c r="H117" s="80">
        <f>Quarts!M240</f>
        <v>41815.848660000003</v>
      </c>
      <c r="I117" s="80">
        <f>Quarts!N240</f>
        <v>47981.036200000002</v>
      </c>
      <c r="J117" s="80">
        <f>Quarts!O240</f>
        <v>52622.451408499997</v>
      </c>
      <c r="K117" s="80">
        <f>Quarts!P240</f>
        <v>59436.960000000006</v>
      </c>
      <c r="L117" s="80">
        <f>Quarts!R240</f>
        <v>64818.6</v>
      </c>
      <c r="M117" s="80">
        <f>Quarts!S240</f>
        <v>71150.66</v>
      </c>
    </row>
    <row r="120" spans="2:13" ht="14.4" x14ac:dyDescent="0.55000000000000004">
      <c r="B120" s="338" t="s">
        <v>1014</v>
      </c>
      <c r="C120" s="397" t="s">
        <v>674</v>
      </c>
      <c r="D120" s="397" t="s">
        <v>375</v>
      </c>
      <c r="E120" s="397" t="s">
        <v>376</v>
      </c>
      <c r="F120" s="397" t="s">
        <v>377</v>
      </c>
      <c r="G120" s="397" t="s">
        <v>672</v>
      </c>
      <c r="H120" s="489" t="s">
        <v>870</v>
      </c>
      <c r="I120" s="847" t="s">
        <v>1010</v>
      </c>
      <c r="J120" s="870" t="s">
        <v>1011</v>
      </c>
      <c r="K120" s="929" t="s">
        <v>1012</v>
      </c>
      <c r="L120" s="1151" t="s">
        <v>1017</v>
      </c>
      <c r="M120" s="1177" t="s">
        <v>1018</v>
      </c>
    </row>
    <row r="121" spans="2:13" x14ac:dyDescent="0.5">
      <c r="B121" s="337" t="s">
        <v>346</v>
      </c>
      <c r="C121" s="80">
        <f>Quarts!G225</f>
        <v>15121.916650000001</v>
      </c>
      <c r="D121" s="80">
        <f>Quarts!H225</f>
        <v>18591.21</v>
      </c>
      <c r="E121" s="80">
        <f>Quarts!I225</f>
        <v>17890.559999999998</v>
      </c>
      <c r="F121" s="80">
        <f>Quarts!J225</f>
        <v>22106.338349999998</v>
      </c>
      <c r="G121" s="80">
        <f>Quarts!K225</f>
        <v>26655.1119</v>
      </c>
      <c r="H121" s="80">
        <f>Quarts!M225</f>
        <v>29549.16</v>
      </c>
      <c r="I121" s="80">
        <f>Quarts!N225</f>
        <v>34076.752200000003</v>
      </c>
      <c r="J121" s="80">
        <f>Quarts!O225</f>
        <v>37843.232393999999</v>
      </c>
      <c r="K121" s="80">
        <f>Quarts!P225</f>
        <v>43470.240000000005</v>
      </c>
      <c r="L121" s="80">
        <f>Quarts!R225</f>
        <v>46339.479999999996</v>
      </c>
      <c r="M121" s="80">
        <f>Quarts!S225</f>
        <v>49758.52</v>
      </c>
    </row>
    <row r="122" spans="2:13" x14ac:dyDescent="0.5">
      <c r="B122" s="343" t="s">
        <v>218</v>
      </c>
      <c r="C122" s="311">
        <f>Quarts!G226</f>
        <v>1051.7895348837208</v>
      </c>
      <c r="D122" s="311">
        <f>Quarts!H226</f>
        <v>2253.48</v>
      </c>
      <c r="E122" s="311">
        <f>Quarts!I226</f>
        <v>2981.7599999999998</v>
      </c>
      <c r="F122" s="311">
        <f>Quarts!J226</f>
        <v>4314.5868300000002</v>
      </c>
      <c r="G122" s="311">
        <f>Quarts!K226</f>
        <v>6662.0215979999994</v>
      </c>
      <c r="H122" s="311">
        <f>Quarts!M226</f>
        <v>7901.58</v>
      </c>
      <c r="I122" s="311">
        <f>Quarts!N226</f>
        <v>8814.5817599999991</v>
      </c>
      <c r="J122" s="311">
        <f>Quarts!O226</f>
        <v>8681.6151274999993</v>
      </c>
      <c r="K122" s="311">
        <f>Quarts!P226</f>
        <v>8833.44</v>
      </c>
      <c r="L122" s="311">
        <f>Quarts!R226</f>
        <v>10221.199999999999</v>
      </c>
      <c r="M122" s="311">
        <f>Quarts!S226</f>
        <v>11654.07</v>
      </c>
    </row>
    <row r="123" spans="2:13" x14ac:dyDescent="0.5">
      <c r="B123" s="337" t="s">
        <v>450</v>
      </c>
      <c r="C123" s="80">
        <f>Quarts!G228</f>
        <v>16173.706184883722</v>
      </c>
      <c r="D123" s="80">
        <f>Quarts!H228</f>
        <v>20844.690000000002</v>
      </c>
      <c r="E123" s="80">
        <f>Quarts!I228</f>
        <v>20872.32</v>
      </c>
      <c r="F123" s="80">
        <f>Quarts!J228</f>
        <v>26420.925179999998</v>
      </c>
      <c r="G123" s="80">
        <f>Quarts!K228</f>
        <v>33317.133497999996</v>
      </c>
      <c r="H123" s="80">
        <f>Quarts!M228</f>
        <v>37450.740000000005</v>
      </c>
      <c r="I123" s="80">
        <f>Quarts!N228</f>
        <v>42891.333959999996</v>
      </c>
      <c r="J123" s="80">
        <f>Quarts!O228</f>
        <v>46524.8475215</v>
      </c>
      <c r="K123" s="80">
        <f>Quarts!P228</f>
        <v>52303.68</v>
      </c>
      <c r="L123" s="80">
        <f>Quarts!R228</f>
        <v>56560.679999999993</v>
      </c>
      <c r="M123" s="80">
        <f>Quarts!S228</f>
        <v>61412.590000000004</v>
      </c>
    </row>
    <row r="125" spans="2:13" x14ac:dyDescent="0.5">
      <c r="B125" s="79" t="s">
        <v>1105</v>
      </c>
      <c r="F125" s="393"/>
      <c r="G125" s="393">
        <f>G123/C123-1</f>
        <v>1.0599566430320637</v>
      </c>
      <c r="H125" s="393">
        <f>H123/D123-1</f>
        <v>0.79665612681215214</v>
      </c>
      <c r="I125" s="393">
        <f>I123/E123-1</f>
        <v>1.0549385003679514</v>
      </c>
    </row>
    <row r="127" spans="2:13" x14ac:dyDescent="0.5">
      <c r="G127" s="393">
        <f>G123/F123-1</f>
        <v>0.26101312770153329</v>
      </c>
      <c r="H127" s="393">
        <f>H123/G123-1</f>
        <v>0.12406849173408463</v>
      </c>
      <c r="I127" s="393">
        <f>I123/H123-1</f>
        <v>0.14527333665502984</v>
      </c>
    </row>
    <row r="129" spans="3:11" x14ac:dyDescent="0.5">
      <c r="F129" s="393" t="e">
        <f t="shared" ref="F129:I131" si="14">F121/B121-1</f>
        <v>#VALUE!</v>
      </c>
      <c r="G129" s="393">
        <f t="shared" si="14"/>
        <v>0.76268078425098307</v>
      </c>
      <c r="H129" s="393">
        <f t="shared" si="14"/>
        <v>0.58941564319912487</v>
      </c>
      <c r="I129" s="393">
        <f t="shared" si="14"/>
        <v>0.90473368077913752</v>
      </c>
    </row>
    <row r="130" spans="3:11" x14ac:dyDescent="0.5">
      <c r="F130" s="393" t="e">
        <f t="shared" si="14"/>
        <v>#VALUE!</v>
      </c>
      <c r="G130" s="393">
        <f t="shared" si="14"/>
        <v>5.3339873397166961</v>
      </c>
      <c r="H130" s="393">
        <f t="shared" si="14"/>
        <v>2.5063901166196283</v>
      </c>
      <c r="I130" s="393">
        <f t="shared" si="14"/>
        <v>1.9561674179008368</v>
      </c>
    </row>
    <row r="131" spans="3:11" x14ac:dyDescent="0.5">
      <c r="F131" s="393" t="e">
        <f t="shared" si="14"/>
        <v>#VALUE!</v>
      </c>
      <c r="G131" s="393">
        <f t="shared" si="14"/>
        <v>1.0599566430320637</v>
      </c>
      <c r="H131" s="393">
        <f t="shared" si="14"/>
        <v>0.79665612681215214</v>
      </c>
      <c r="I131" s="393">
        <f t="shared" si="14"/>
        <v>1.0549385003679514</v>
      </c>
    </row>
    <row r="133" spans="3:11" x14ac:dyDescent="0.5">
      <c r="F133" s="79">
        <f t="shared" ref="F133:I135" si="15">F121/E121-1</f>
        <v>0.23564261543517939</v>
      </c>
      <c r="G133" s="79">
        <f t="shared" si="15"/>
        <v>0.20576784259705327</v>
      </c>
      <c r="H133" s="79">
        <f t="shared" si="15"/>
        <v>0.10857384920601287</v>
      </c>
      <c r="I133" s="79">
        <f t="shared" si="15"/>
        <v>0.15322236571191872</v>
      </c>
      <c r="J133" s="807"/>
      <c r="K133" s="807"/>
    </row>
    <row r="134" spans="3:11" x14ac:dyDescent="0.5">
      <c r="F134" s="79">
        <f t="shared" si="15"/>
        <v>0.44699332944301373</v>
      </c>
      <c r="G134" s="79">
        <f t="shared" si="15"/>
        <v>0.54406942321288243</v>
      </c>
      <c r="H134" s="79">
        <f t="shared" si="15"/>
        <v>0.1860634018917211</v>
      </c>
      <c r="I134" s="79">
        <f t="shared" si="15"/>
        <v>0.11554673369123636</v>
      </c>
      <c r="J134" s="393"/>
      <c r="K134" s="393"/>
    </row>
    <row r="135" spans="3:11" x14ac:dyDescent="0.5">
      <c r="F135" s="79">
        <f t="shared" si="15"/>
        <v>0.26583557457915541</v>
      </c>
      <c r="G135" s="79">
        <f t="shared" si="15"/>
        <v>0.26101312770153329</v>
      </c>
      <c r="H135" s="79">
        <f t="shared" si="15"/>
        <v>0.12406849173408463</v>
      </c>
      <c r="I135" s="79">
        <f t="shared" si="15"/>
        <v>0.14527333665502984</v>
      </c>
    </row>
    <row r="136" spans="3:11" x14ac:dyDescent="0.5">
      <c r="C136" s="807" t="s">
        <v>375</v>
      </c>
      <c r="D136" s="807"/>
      <c r="E136" s="807"/>
      <c r="F136" s="807"/>
      <c r="G136" s="807"/>
      <c r="H136" s="807"/>
      <c r="I136" s="807"/>
      <c r="J136" s="807"/>
      <c r="K136" s="807"/>
    </row>
    <row r="137" spans="3:11" x14ac:dyDescent="0.5">
      <c r="C137" s="393">
        <v>0.13373438223044953</v>
      </c>
      <c r="D137" s="393"/>
      <c r="E137" s="393"/>
      <c r="F137" s="393"/>
      <c r="G137" s="393"/>
      <c r="H137" s="393"/>
      <c r="I137" s="393"/>
      <c r="J137" s="393"/>
      <c r="K137" s="393"/>
    </row>
    <row r="151" spans="2:14" x14ac:dyDescent="0.5">
      <c r="B151" s="814"/>
      <c r="C151" s="808" t="s">
        <v>694</v>
      </c>
      <c r="D151" s="808" t="s">
        <v>695</v>
      </c>
      <c r="E151" s="808" t="s">
        <v>561</v>
      </c>
      <c r="F151" s="808" t="s">
        <v>674</v>
      </c>
      <c r="G151" s="808" t="s">
        <v>375</v>
      </c>
      <c r="H151" s="808" t="s">
        <v>376</v>
      </c>
      <c r="I151" s="808"/>
      <c r="J151" s="808"/>
      <c r="K151" s="808" t="s">
        <v>377</v>
      </c>
      <c r="L151" s="808" t="s">
        <v>672</v>
      </c>
      <c r="M151" s="808" t="s">
        <v>870</v>
      </c>
      <c r="N151" s="808" t="s">
        <v>1010</v>
      </c>
    </row>
    <row r="152" spans="2:14" x14ac:dyDescent="0.5">
      <c r="B152" s="553" t="s">
        <v>987</v>
      </c>
      <c r="C152" s="815">
        <f>Quarts!D323</f>
        <v>0.05</v>
      </c>
      <c r="D152" s="815">
        <f>Quarts!E323</f>
        <v>6.2E-2</v>
      </c>
      <c r="E152" s="815">
        <f>Quarts!F323</f>
        <v>5.1999999999999998E-2</v>
      </c>
      <c r="F152" s="815">
        <f>Quarts!G323</f>
        <v>3.6999999999999998E-2</v>
      </c>
      <c r="G152" s="815">
        <f>Quarts!H323</f>
        <v>0.03</v>
      </c>
      <c r="H152" s="815">
        <f>Quarts!I323</f>
        <v>0.03</v>
      </c>
      <c r="I152" s="815"/>
      <c r="J152" s="815"/>
      <c r="K152" s="815">
        <f>Quarts!J323</f>
        <v>3.2000000000000001E-2</v>
      </c>
      <c r="L152" s="815">
        <f>Quarts!K323</f>
        <v>3.1E-2</v>
      </c>
      <c r="M152" s="815">
        <f>Quarts!M323</f>
        <v>3.5000000000000003E-2</v>
      </c>
      <c r="N152" s="815">
        <f>Quarts!N323</f>
        <v>4.1000000000000002E-2</v>
      </c>
    </row>
    <row r="153" spans="2:14" x14ac:dyDescent="0.5">
      <c r="B153" s="553" t="s">
        <v>990</v>
      </c>
      <c r="C153" s="815">
        <f>Quarts!D324</f>
        <v>0.05</v>
      </c>
      <c r="D153" s="815">
        <f>Quarts!E324</f>
        <v>6.2E-2</v>
      </c>
      <c r="E153" s="815">
        <f>Quarts!F324</f>
        <v>5.2999999999999999E-2</v>
      </c>
      <c r="F153" s="815">
        <f>Quarts!G324</f>
        <v>3.9E-2</v>
      </c>
      <c r="G153" s="815">
        <f>Quarts!H324</f>
        <v>3.1E-2</v>
      </c>
      <c r="H153" s="815">
        <f>Quarts!I324</f>
        <v>3.2000000000000001E-2</v>
      </c>
      <c r="I153" s="815"/>
      <c r="J153" s="815"/>
      <c r="K153" s="815">
        <f>Quarts!J324</f>
        <v>3.5999999999999997E-2</v>
      </c>
      <c r="L153" s="815">
        <f>Quarts!K324</f>
        <v>3.5999999999999997E-2</v>
      </c>
      <c r="M153" s="815">
        <f>Quarts!M324</f>
        <v>3.9E-2</v>
      </c>
      <c r="N153" s="815">
        <f>Quarts!N324</f>
        <v>4.3999999999999997E-2</v>
      </c>
    </row>
    <row r="154" spans="2:14" x14ac:dyDescent="0.5">
      <c r="B154" s="553"/>
      <c r="C154" s="815"/>
      <c r="D154" s="815"/>
      <c r="E154" s="815"/>
      <c r="F154" s="815"/>
      <c r="G154" s="815"/>
      <c r="H154" s="815"/>
      <c r="I154" s="815"/>
      <c r="J154" s="815"/>
      <c r="K154" s="815"/>
      <c r="L154" s="815"/>
      <c r="M154" s="815"/>
      <c r="N154" s="815"/>
    </row>
    <row r="155" spans="2:14" x14ac:dyDescent="0.5">
      <c r="B155" s="553" t="s">
        <v>1001</v>
      </c>
      <c r="C155" s="816"/>
      <c r="D155" s="816"/>
      <c r="E155" s="816"/>
      <c r="F155" s="817">
        <f>Quarts!G191</f>
        <v>2908.9</v>
      </c>
      <c r="G155" s="817">
        <f>Quarts!H191</f>
        <v>3300</v>
      </c>
      <c r="H155" s="817">
        <f>Quarts!I191</f>
        <v>3600</v>
      </c>
      <c r="I155" s="817"/>
      <c r="J155" s="817"/>
      <c r="K155" s="817">
        <f>Quarts!J191</f>
        <v>4061.5</v>
      </c>
      <c r="L155" s="817">
        <f>Quarts!K191</f>
        <v>4780.5</v>
      </c>
      <c r="M155" s="817">
        <f>Quarts!M191</f>
        <v>6234</v>
      </c>
      <c r="N155" s="817">
        <f>Quarts!N191</f>
        <v>6478.47</v>
      </c>
    </row>
    <row r="156" spans="2:14" x14ac:dyDescent="0.5">
      <c r="B156" s="818" t="s">
        <v>1002</v>
      </c>
      <c r="C156" s="819"/>
      <c r="D156" s="819"/>
      <c r="E156" s="819"/>
      <c r="F156" s="820">
        <f>Quarts!G192</f>
        <v>202.32558139534882</v>
      </c>
      <c r="G156" s="820">
        <f>Quarts!H192</f>
        <v>400</v>
      </c>
      <c r="H156" s="820">
        <f>Quarts!I192</f>
        <v>600</v>
      </c>
      <c r="I156" s="820"/>
      <c r="J156" s="820"/>
      <c r="K156" s="820">
        <f>Quarts!J192</f>
        <v>792.7</v>
      </c>
      <c r="L156" s="820">
        <f>Quarts!K192</f>
        <v>1194.81</v>
      </c>
      <c r="M156" s="820">
        <f>Quarts!M192</f>
        <v>1667</v>
      </c>
      <c r="N156" s="820">
        <f>Quarts!N192</f>
        <v>1675.7760000000001</v>
      </c>
    </row>
    <row r="157" spans="2:14" x14ac:dyDescent="0.5">
      <c r="B157" s="550" t="s">
        <v>1008</v>
      </c>
      <c r="C157" s="815"/>
      <c r="D157" s="815"/>
      <c r="E157" s="815"/>
      <c r="F157" s="821">
        <f t="shared" ref="F157:N157" si="16">SUM(F155:F156)</f>
        <v>3111.2255813953489</v>
      </c>
      <c r="G157" s="821">
        <f t="shared" si="16"/>
        <v>3700</v>
      </c>
      <c r="H157" s="821">
        <f t="shared" si="16"/>
        <v>4200</v>
      </c>
      <c r="I157" s="821"/>
      <c r="J157" s="821"/>
      <c r="K157" s="821">
        <f t="shared" si="16"/>
        <v>4854.2</v>
      </c>
      <c r="L157" s="821">
        <f t="shared" si="16"/>
        <v>5975.3099999999995</v>
      </c>
      <c r="M157" s="821">
        <f t="shared" si="16"/>
        <v>7901</v>
      </c>
      <c r="N157" s="821">
        <f t="shared" si="16"/>
        <v>8154.2460000000001</v>
      </c>
    </row>
    <row r="158" spans="2:14" x14ac:dyDescent="0.5">
      <c r="B158" s="553"/>
      <c r="C158" s="815"/>
      <c r="D158" s="815"/>
      <c r="E158" s="815"/>
      <c r="F158" s="815"/>
      <c r="G158" s="815"/>
      <c r="H158" s="815"/>
      <c r="I158" s="815"/>
      <c r="J158" s="815"/>
      <c r="K158" s="815"/>
      <c r="L158" s="815"/>
      <c r="M158" s="815"/>
      <c r="N158" s="815"/>
    </row>
    <row r="159" spans="2:14" x14ac:dyDescent="0.5">
      <c r="B159" s="553" t="s">
        <v>999</v>
      </c>
      <c r="C159" s="816">
        <f>Quarts!D328</f>
        <v>0.96</v>
      </c>
      <c r="D159" s="816">
        <f>Quarts!E328</f>
        <v>0.95</v>
      </c>
      <c r="E159" s="816">
        <f>Quarts!F328</f>
        <v>0.94</v>
      </c>
      <c r="F159" s="816">
        <f>Quarts!G328</f>
        <v>0.93945783132530125</v>
      </c>
      <c r="G159" s="816">
        <f>Quarts!H328</f>
        <v>0.90785086389815095</v>
      </c>
      <c r="H159" s="816">
        <f>Quarts!I328</f>
        <v>0.87347723872622351</v>
      </c>
      <c r="I159" s="816"/>
      <c r="J159" s="816"/>
      <c r="K159" s="816">
        <f>Quarts!J328</f>
        <v>0.82868525896414347</v>
      </c>
      <c r="L159" s="816">
        <f>Quarts!K328</f>
        <v>0.78786612376733534</v>
      </c>
      <c r="M159" s="816">
        <f>Quarts!M328</f>
        <v>0.77244154298123002</v>
      </c>
      <c r="N159" s="816">
        <f>Quarts!N328</f>
        <v>0.78666073951941873</v>
      </c>
    </row>
    <row r="160" spans="2:14" x14ac:dyDescent="0.5">
      <c r="B160" s="553" t="s">
        <v>1000</v>
      </c>
      <c r="C160" s="816">
        <f>Quarts!D327</f>
        <v>0.04</v>
      </c>
      <c r="D160" s="816">
        <f>Quarts!E327</f>
        <v>0.05</v>
      </c>
      <c r="E160" s="816">
        <f>Quarts!F327</f>
        <v>0.06</v>
      </c>
      <c r="F160" s="816">
        <f>Quarts!G327</f>
        <v>6.0542168674698797E-2</v>
      </c>
      <c r="G160" s="816">
        <f>Quarts!H327</f>
        <v>9.214913610184905E-2</v>
      </c>
      <c r="H160" s="816">
        <f>Quarts!I327</f>
        <v>0.12652276127377646</v>
      </c>
      <c r="I160" s="816"/>
      <c r="J160" s="816"/>
      <c r="K160" s="816">
        <f>Quarts!J327</f>
        <v>0.17131474103585656</v>
      </c>
      <c r="L160" s="816">
        <f>Quarts!K327</f>
        <v>0.21213387623266464</v>
      </c>
      <c r="M160" s="816">
        <f>Quarts!M327</f>
        <v>0.22755845701876998</v>
      </c>
      <c r="N160" s="816">
        <f>Quarts!N327</f>
        <v>0.21333926048058127</v>
      </c>
    </row>
    <row r="161" spans="2:16" x14ac:dyDescent="0.5">
      <c r="B161" s="553"/>
      <c r="C161" s="815"/>
      <c r="D161" s="815"/>
      <c r="E161" s="815"/>
      <c r="F161" s="815"/>
      <c r="G161" s="815"/>
      <c r="H161" s="815"/>
      <c r="I161" s="815"/>
      <c r="J161" s="815"/>
      <c r="K161" s="815"/>
      <c r="L161" s="815"/>
      <c r="M161" s="815"/>
      <c r="N161" s="815"/>
    </row>
    <row r="162" spans="2:16" x14ac:dyDescent="0.5">
      <c r="B162" s="550" t="s">
        <v>998</v>
      </c>
      <c r="C162" s="815"/>
      <c r="D162" s="815"/>
      <c r="E162" s="815"/>
      <c r="F162" s="815"/>
      <c r="G162" s="815"/>
      <c r="H162" s="815"/>
      <c r="I162" s="815"/>
      <c r="J162" s="815"/>
      <c r="K162" s="815"/>
      <c r="L162" s="815"/>
      <c r="M162" s="815"/>
      <c r="N162" s="815"/>
    </row>
    <row r="163" spans="2:16" x14ac:dyDescent="0.5">
      <c r="B163" s="550" t="s">
        <v>346</v>
      </c>
      <c r="C163" s="822">
        <f>Quarts!D333</f>
        <v>0.05</v>
      </c>
      <c r="D163" s="822">
        <f>Quarts!E333</f>
        <v>6.1999999999999986E-2</v>
      </c>
      <c r="E163" s="822">
        <f>Quarts!F333</f>
        <v>5.349397015738911E-2</v>
      </c>
      <c r="F163" s="822">
        <f>Quarts!G333</f>
        <v>3.9974781033685014E-2</v>
      </c>
      <c r="G163" s="822">
        <f>Quarts!H333</f>
        <v>3.1274352037559489E-2</v>
      </c>
      <c r="H163" s="822">
        <f>Quarts!I333</f>
        <v>3.2371911755959271E-2</v>
      </c>
      <c r="I163" s="822"/>
      <c r="J163" s="822"/>
      <c r="K163" s="822">
        <f>Quarts!J333</f>
        <v>3.6523872583593624E-2</v>
      </c>
      <c r="L163" s="822">
        <f>Quarts!K333</f>
        <v>3.6515835619399965E-2</v>
      </c>
      <c r="M163" s="822">
        <f>Quarts!M333</f>
        <v>3.9382025121960311E-2</v>
      </c>
      <c r="N163" s="822">
        <f>Quarts!N333</f>
        <v>4.4307573378263666E-2</v>
      </c>
    </row>
    <row r="164" spans="2:16" x14ac:dyDescent="0.5">
      <c r="B164" s="823" t="s">
        <v>218</v>
      </c>
      <c r="C164" s="824">
        <f>Quarts!D334</f>
        <v>4.999999999999992E-2</v>
      </c>
      <c r="D164" s="824">
        <f>Quarts!E334</f>
        <v>6.2000000000000437E-2</v>
      </c>
      <c r="E164" s="824">
        <f>Quarts!F334</f>
        <v>2.8594467534237313E-2</v>
      </c>
      <c r="F164" s="824">
        <f>Quarts!G334</f>
        <v>-9.1609056918582274E-3</v>
      </c>
      <c r="G164" s="824">
        <f>Quarts!H334</f>
        <v>1.7445117261543554E-2</v>
      </c>
      <c r="H164" s="824">
        <f>Quarts!I334</f>
        <v>1.362499434695036E-2</v>
      </c>
      <c r="I164" s="824"/>
      <c r="J164" s="824"/>
      <c r="K164" s="824">
        <f>Quarts!J334</f>
        <v>1.0117081456105258E-2</v>
      </c>
      <c r="L164" s="824">
        <f>Quarts!K334</f>
        <v>1.0514162914611182E-2</v>
      </c>
      <c r="M164" s="824">
        <f>Quarts!M334</f>
        <v>2.0125324319147073E-2</v>
      </c>
      <c r="N164" s="824">
        <f>Quarts!N334</f>
        <v>2.8803753918062593E-2</v>
      </c>
    </row>
    <row r="167" spans="2:16" ht="14.4" x14ac:dyDescent="0.55000000000000004">
      <c r="B167" s="485" t="s">
        <v>1021</v>
      </c>
      <c r="F167" s="808" t="s">
        <v>672</v>
      </c>
      <c r="G167" s="808" t="s">
        <v>870</v>
      </c>
      <c r="H167" s="808" t="s">
        <v>1010</v>
      </c>
      <c r="I167" s="808"/>
      <c r="J167" s="808"/>
      <c r="K167" s="808" t="s">
        <v>1011</v>
      </c>
      <c r="L167" s="808" t="s">
        <v>1012</v>
      </c>
      <c r="M167" s="808" t="s">
        <v>1017</v>
      </c>
      <c r="N167" s="808" t="s">
        <v>1018</v>
      </c>
      <c r="O167" s="808" t="s">
        <v>1019</v>
      </c>
      <c r="P167" s="808" t="s">
        <v>1020</v>
      </c>
    </row>
    <row r="168" spans="2:16" ht="14.4" x14ac:dyDescent="0.55000000000000004">
      <c r="B168" s="825" t="s">
        <v>346</v>
      </c>
      <c r="F168" s="393">
        <f>Quarts!K225/Quarts!G225-1</f>
        <v>0.76268078425098307</v>
      </c>
      <c r="G168" s="393">
        <f>Quarts!M225/Quarts!H225-1</f>
        <v>0.58941564319912487</v>
      </c>
      <c r="H168" s="393">
        <f>Quarts!N225/Quarts!I225-1</f>
        <v>0.90473368077913752</v>
      </c>
      <c r="I168" s="393"/>
      <c r="J168" s="393"/>
      <c r="K168" s="393" t="e">
        <f>Quarts!#REF!/Quarts!J225-1</f>
        <v>#REF!</v>
      </c>
      <c r="L168" s="393" t="e">
        <f>Quarts!#REF!/Quarts!K225-1</f>
        <v>#REF!</v>
      </c>
      <c r="M168" s="393" t="e">
        <f>Quarts!#REF!/Quarts!M225-1</f>
        <v>#REF!</v>
      </c>
      <c r="N168" s="393" t="e">
        <f>Quarts!#REF!/Quarts!#REF!-1</f>
        <v>#REF!</v>
      </c>
      <c r="O168" s="393" t="e">
        <f>Quarts!T225/Quarts!#REF!-1</f>
        <v>#REF!</v>
      </c>
      <c r="P168" s="393" t="e">
        <f>Quarts!U225/Quarts!#REF!-1</f>
        <v>#REF!</v>
      </c>
    </row>
    <row r="169" spans="2:16" ht="14.4" x14ac:dyDescent="0.55000000000000004">
      <c r="B169" s="826" t="s">
        <v>218</v>
      </c>
      <c r="C169" s="81"/>
      <c r="D169" s="81"/>
      <c r="E169" s="81"/>
      <c r="F169" s="813">
        <f>Quarts!K226/Quarts!G226-1</f>
        <v>5.3339873397166961</v>
      </c>
      <c r="G169" s="813">
        <f>Quarts!M226/Quarts!H226-1</f>
        <v>2.5063901166196283</v>
      </c>
      <c r="H169" s="813">
        <f>Quarts!N226/Quarts!I226-1</f>
        <v>1.9561674179008368</v>
      </c>
      <c r="I169" s="813"/>
      <c r="J169" s="813"/>
      <c r="K169" s="813" t="e">
        <f>Quarts!#REF!/Quarts!J226-1</f>
        <v>#REF!</v>
      </c>
      <c r="L169" s="813" t="e">
        <f>Quarts!#REF!/Quarts!K226-1</f>
        <v>#REF!</v>
      </c>
      <c r="M169" s="813" t="e">
        <f>Quarts!#REF!/Quarts!M226-1</f>
        <v>#REF!</v>
      </c>
      <c r="N169" s="813" t="e">
        <f>Quarts!#REF!/Quarts!#REF!-1</f>
        <v>#REF!</v>
      </c>
      <c r="O169" s="813" t="e">
        <f>Quarts!T226/Quarts!#REF!-1</f>
        <v>#REF!</v>
      </c>
      <c r="P169" s="813" t="e">
        <f>Quarts!U226/Quarts!#REF!-1</f>
        <v>#REF!</v>
      </c>
    </row>
    <row r="170" spans="2:16" ht="14.4" x14ac:dyDescent="0.55000000000000004">
      <c r="B170" s="40" t="s">
        <v>354</v>
      </c>
      <c r="C170" s="82"/>
      <c r="D170" s="82"/>
      <c r="E170" s="82"/>
      <c r="F170" s="827">
        <f>Quarts!K228/Quarts!G228-1</f>
        <v>1.0599566430320637</v>
      </c>
      <c r="G170" s="827">
        <f>Quarts!M228/Quarts!H228-1</f>
        <v>0.79665612681215214</v>
      </c>
      <c r="H170" s="827">
        <f>Quarts!N228/Quarts!I228-1</f>
        <v>1.0549385003679514</v>
      </c>
      <c r="I170" s="827"/>
      <c r="J170" s="827"/>
      <c r="K170" s="827" t="e">
        <f>Quarts!#REF!/Quarts!J228-1</f>
        <v>#REF!</v>
      </c>
      <c r="L170" s="827" t="e">
        <f>Quarts!#REF!/Quarts!K228-1</f>
        <v>#REF!</v>
      </c>
      <c r="M170" s="827" t="e">
        <f>Quarts!#REF!/Quarts!M228-1</f>
        <v>#REF!</v>
      </c>
      <c r="N170" s="827" t="e">
        <f>Quarts!#REF!/Quarts!#REF!-1</f>
        <v>#REF!</v>
      </c>
      <c r="O170" s="827" t="e">
        <f>Quarts!T228/Quarts!#REF!-1</f>
        <v>#REF!</v>
      </c>
      <c r="P170" s="827" t="e">
        <f>Quarts!U228/Quarts!#REF!-1</f>
        <v>#REF!</v>
      </c>
    </row>
    <row r="172" spans="2:16" x14ac:dyDescent="0.5">
      <c r="B172" s="79" t="s">
        <v>1022</v>
      </c>
    </row>
    <row r="173" spans="2:16" ht="14.4" x14ac:dyDescent="0.55000000000000004">
      <c r="B173" s="825" t="s">
        <v>346</v>
      </c>
      <c r="F173" s="393">
        <v>0.70012922656660259</v>
      </c>
      <c r="G173" s="393">
        <f t="shared" ref="G173:H175" si="17">M186/G186-1</f>
        <v>0.80324919689200991</v>
      </c>
      <c r="H173" s="393" t="e">
        <f t="shared" si="17"/>
        <v>#REF!</v>
      </c>
      <c r="I173" s="393"/>
      <c r="J173" s="393"/>
      <c r="K173" s="393" t="e">
        <f>O186/K186-1</f>
        <v>#REF!</v>
      </c>
      <c r="L173" s="393" t="e">
        <f t="shared" ref="L173:P175" si="18">P186/L186-1</f>
        <v>#REF!</v>
      </c>
      <c r="M173" s="393" t="e">
        <f t="shared" si="18"/>
        <v>#REF!</v>
      </c>
      <c r="N173" s="393" t="e">
        <f t="shared" si="18"/>
        <v>#REF!</v>
      </c>
      <c r="O173" s="393" t="e">
        <f t="shared" si="18"/>
        <v>#REF!</v>
      </c>
      <c r="P173" s="393" t="e">
        <f t="shared" si="18"/>
        <v>#REF!</v>
      </c>
    </row>
    <row r="174" spans="2:16" ht="14.4" x14ac:dyDescent="0.55000000000000004">
      <c r="B174" s="826" t="s">
        <v>218</v>
      </c>
      <c r="C174" s="81"/>
      <c r="D174" s="81"/>
      <c r="E174" s="81"/>
      <c r="F174" s="813">
        <v>5.1092047719063558</v>
      </c>
      <c r="G174" s="813">
        <f t="shared" si="17"/>
        <v>2.9788335165826072</v>
      </c>
      <c r="H174" s="813" t="e">
        <f t="shared" si="17"/>
        <v>#REF!</v>
      </c>
      <c r="I174" s="813"/>
      <c r="J174" s="813"/>
      <c r="K174" s="813" t="e">
        <f>O187/K187-1</f>
        <v>#REF!</v>
      </c>
      <c r="L174" s="813" t="e">
        <f t="shared" si="18"/>
        <v>#REF!</v>
      </c>
      <c r="M174" s="813" t="e">
        <f t="shared" si="18"/>
        <v>#REF!</v>
      </c>
      <c r="N174" s="813" t="e">
        <f t="shared" si="18"/>
        <v>#REF!</v>
      </c>
      <c r="O174" s="813" t="e">
        <f t="shared" si="18"/>
        <v>#REF!</v>
      </c>
      <c r="P174" s="813" t="e">
        <f t="shared" si="18"/>
        <v>#REF!</v>
      </c>
    </row>
    <row r="175" spans="2:16" ht="14.4" x14ac:dyDescent="0.55000000000000004">
      <c r="B175" s="40" t="s">
        <v>354</v>
      </c>
      <c r="C175" s="82"/>
      <c r="D175" s="82"/>
      <c r="E175" s="82"/>
      <c r="F175" s="827">
        <v>0.98685442302452797</v>
      </c>
      <c r="G175" s="827">
        <f t="shared" si="17"/>
        <v>1.0384475017234256</v>
      </c>
      <c r="H175" s="827" t="e">
        <f t="shared" si="17"/>
        <v>#REF!</v>
      </c>
      <c r="I175" s="827"/>
      <c r="J175" s="827"/>
      <c r="K175" s="827" t="e">
        <f>O188/K188-1</f>
        <v>#REF!</v>
      </c>
      <c r="L175" s="827" t="e">
        <f t="shared" si="18"/>
        <v>#REF!</v>
      </c>
      <c r="M175" s="827" t="e">
        <f t="shared" si="18"/>
        <v>#REF!</v>
      </c>
      <c r="N175" s="827" t="e">
        <f t="shared" si="18"/>
        <v>#REF!</v>
      </c>
      <c r="O175" s="827" t="e">
        <f t="shared" si="18"/>
        <v>#REF!</v>
      </c>
      <c r="P175" s="827" t="e">
        <f t="shared" si="18"/>
        <v>#REF!</v>
      </c>
    </row>
    <row r="178" spans="2:22" x14ac:dyDescent="0.5">
      <c r="B178" s="79" t="s">
        <v>1023</v>
      </c>
      <c r="F178" s="808" t="s">
        <v>674</v>
      </c>
      <c r="G178" s="808" t="s">
        <v>375</v>
      </c>
      <c r="H178" s="808" t="s">
        <v>376</v>
      </c>
      <c r="I178" s="808"/>
      <c r="J178" s="808"/>
      <c r="K178" s="808" t="s">
        <v>377</v>
      </c>
      <c r="L178" s="808" t="s">
        <v>672</v>
      </c>
      <c r="M178" s="808" t="s">
        <v>870</v>
      </c>
      <c r="N178" s="808" t="s">
        <v>1010</v>
      </c>
      <c r="O178" s="808" t="s">
        <v>1011</v>
      </c>
      <c r="P178" s="808" t="s">
        <v>1012</v>
      </c>
      <c r="Q178" s="808" t="s">
        <v>1017</v>
      </c>
      <c r="R178" s="808" t="s">
        <v>1018</v>
      </c>
      <c r="S178" s="808" t="s">
        <v>1019</v>
      </c>
      <c r="T178" s="808" t="s">
        <v>1020</v>
      </c>
    </row>
    <row r="179" spans="2:22" ht="14.4" x14ac:dyDescent="0.55000000000000004">
      <c r="B179" s="825" t="s">
        <v>346</v>
      </c>
      <c r="F179" s="79">
        <v>2908.9070000000002</v>
      </c>
      <c r="G179" s="79">
        <v>3300</v>
      </c>
      <c r="H179" s="79">
        <v>3819.8955000000001</v>
      </c>
      <c r="K179" s="79">
        <v>4061.5</v>
      </c>
      <c r="L179" s="80">
        <v>4780.5200000000004</v>
      </c>
      <c r="M179" s="80">
        <v>6234.8239999999996</v>
      </c>
      <c r="N179" s="80">
        <v>7145.076596646506</v>
      </c>
      <c r="O179" s="80">
        <v>7944.9235156352188</v>
      </c>
      <c r="P179" s="80">
        <v>9110.3029376306895</v>
      </c>
      <c r="Q179" s="80">
        <v>9849.3305564187958</v>
      </c>
      <c r="R179" s="80">
        <v>10962.225250824349</v>
      </c>
      <c r="S179" s="80">
        <v>12148.206442700384</v>
      </c>
      <c r="T179" s="80">
        <v>13729.62781056625</v>
      </c>
    </row>
    <row r="180" spans="2:22" ht="14.4" x14ac:dyDescent="0.55000000000000004">
      <c r="B180" s="826" t="s">
        <v>218</v>
      </c>
      <c r="C180" s="81"/>
      <c r="D180" s="81"/>
      <c r="E180" s="81"/>
      <c r="F180" s="81">
        <v>202.32558139534882</v>
      </c>
      <c r="G180" s="81">
        <v>400</v>
      </c>
      <c r="H180" s="81">
        <v>600</v>
      </c>
      <c r="I180" s="81"/>
      <c r="J180" s="81"/>
      <c r="K180" s="81">
        <v>792.7</v>
      </c>
      <c r="L180" s="311">
        <v>1194.81</v>
      </c>
      <c r="M180" s="311">
        <v>1667.5170000000001</v>
      </c>
      <c r="N180" s="311">
        <v>2039.9709455646087</v>
      </c>
      <c r="O180" s="311">
        <v>2333.8754918070986</v>
      </c>
      <c r="P180" s="311">
        <v>2647.5979025444144</v>
      </c>
      <c r="Q180" s="311">
        <v>2982.2562825568184</v>
      </c>
      <c r="R180" s="311">
        <v>3369.0724471808135</v>
      </c>
      <c r="S180" s="311">
        <v>3812.85947221365</v>
      </c>
      <c r="T180" s="311">
        <v>4326.9400925205418</v>
      </c>
    </row>
    <row r="181" spans="2:22" ht="14.4" x14ac:dyDescent="0.55000000000000004">
      <c r="B181" s="40" t="s">
        <v>354</v>
      </c>
      <c r="F181" s="80">
        <f>F180+F179</f>
        <v>3111.2325813953489</v>
      </c>
      <c r="G181" s="80">
        <f>G180+G179</f>
        <v>3700</v>
      </c>
      <c r="H181" s="80">
        <f>H180+H179</f>
        <v>4419.8955000000005</v>
      </c>
      <c r="I181" s="80"/>
      <c r="J181" s="80"/>
      <c r="K181" s="80">
        <f>K180+K179</f>
        <v>4854.2</v>
      </c>
      <c r="L181" s="80">
        <f>L180+L179</f>
        <v>5975.33</v>
      </c>
      <c r="M181" s="80">
        <f t="shared" ref="M181:T181" si="19">M180+M179</f>
        <v>7902.3409999999994</v>
      </c>
      <c r="N181" s="80">
        <f t="shared" si="19"/>
        <v>9185.047542211114</v>
      </c>
      <c r="O181" s="80">
        <f t="shared" si="19"/>
        <v>10278.799007442318</v>
      </c>
      <c r="P181" s="80">
        <f t="shared" si="19"/>
        <v>11757.900840175103</v>
      </c>
      <c r="Q181" s="80">
        <f t="shared" si="19"/>
        <v>12831.586838975614</v>
      </c>
      <c r="R181" s="80">
        <f t="shared" si="19"/>
        <v>14331.297698005163</v>
      </c>
      <c r="S181" s="80">
        <f t="shared" si="19"/>
        <v>15961.065914914034</v>
      </c>
      <c r="T181" s="80">
        <f t="shared" si="19"/>
        <v>18056.56790308679</v>
      </c>
    </row>
    <row r="182" spans="2:22" ht="14.4" x14ac:dyDescent="0.55000000000000004">
      <c r="B182" s="40"/>
      <c r="F182" s="143"/>
      <c r="G182" s="143"/>
      <c r="H182" s="143"/>
      <c r="I182" s="143"/>
      <c r="J182" s="143"/>
      <c r="K182" s="143"/>
      <c r="L182" s="143"/>
      <c r="M182" s="143"/>
      <c r="N182" s="143"/>
    </row>
    <row r="183" spans="2:22" x14ac:dyDescent="0.5">
      <c r="B183" s="79" t="s">
        <v>256</v>
      </c>
      <c r="F183" s="828">
        <f>Quarts!G50</f>
        <v>5.3990742424242431</v>
      </c>
      <c r="G183" s="828">
        <f>Quarts!H50</f>
        <v>5.4777406249999983</v>
      </c>
      <c r="H183" s="828">
        <f>Quarts!I50</f>
        <v>5.2967830769230799</v>
      </c>
      <c r="I183" s="828"/>
      <c r="J183" s="828"/>
      <c r="K183" s="828">
        <f>Quarts!J50</f>
        <v>5.2313954545454555</v>
      </c>
      <c r="L183" s="828">
        <f>Quarts!K50</f>
        <v>5.5854212121212115</v>
      </c>
      <c r="M183" s="828">
        <f>Quarts!M50</f>
        <v>5.2281369230769217</v>
      </c>
      <c r="N183" s="828" t="e">
        <f>Quarts!#REF!</f>
        <v>#REF!</v>
      </c>
      <c r="O183" s="828" t="e">
        <f>Quarts!#REF!</f>
        <v>#REF!</v>
      </c>
      <c r="P183" s="828" t="e">
        <f>Quarts!#REF!</f>
        <v>#REF!</v>
      </c>
      <c r="Q183" s="828" t="e">
        <f>Quarts!#REF!</f>
        <v>#REF!</v>
      </c>
      <c r="R183" s="828" t="e">
        <f>Quarts!#REF!</f>
        <v>#REF!</v>
      </c>
      <c r="S183" s="828">
        <f>Quarts!T50</f>
        <v>4.95</v>
      </c>
      <c r="T183" s="828">
        <f>Quarts!U50</f>
        <v>4.95</v>
      </c>
    </row>
    <row r="185" spans="2:22" x14ac:dyDescent="0.5">
      <c r="B185" s="79" t="s">
        <v>1024</v>
      </c>
      <c r="F185" s="808" t="s">
        <v>674</v>
      </c>
      <c r="G185" s="808" t="s">
        <v>375</v>
      </c>
      <c r="H185" s="808" t="s">
        <v>376</v>
      </c>
      <c r="I185" s="808"/>
      <c r="J185" s="808"/>
      <c r="K185" s="808" t="s">
        <v>377</v>
      </c>
      <c r="L185" s="808" t="s">
        <v>672</v>
      </c>
      <c r="M185" s="808" t="s">
        <v>870</v>
      </c>
      <c r="N185" s="808" t="s">
        <v>1010</v>
      </c>
      <c r="O185" s="808" t="s">
        <v>1011</v>
      </c>
      <c r="P185" s="808" t="s">
        <v>1012</v>
      </c>
      <c r="Q185" s="808" t="s">
        <v>1017</v>
      </c>
      <c r="R185" s="808" t="s">
        <v>1018</v>
      </c>
      <c r="S185" s="808" t="s">
        <v>1019</v>
      </c>
      <c r="T185" s="808" t="s">
        <v>1020</v>
      </c>
    </row>
    <row r="186" spans="2:22" ht="14.4" x14ac:dyDescent="0.55000000000000004">
      <c r="B186" s="825" t="s">
        <v>346</v>
      </c>
      <c r="F186" s="80">
        <f t="shared" ref="F186:K187" si="20">F179*F$183</f>
        <v>15705.404857307578</v>
      </c>
      <c r="G186" s="80">
        <f t="shared" si="20"/>
        <v>18076.544062499994</v>
      </c>
      <c r="H186" s="80">
        <f t="shared" si="20"/>
        <v>20233.157840014628</v>
      </c>
      <c r="I186" s="80"/>
      <c r="J186" s="80"/>
      <c r="K186" s="80">
        <f t="shared" si="20"/>
        <v>21247.312638636369</v>
      </c>
      <c r="L186" s="80">
        <f t="shared" ref="L186:T186" si="21">L179*L$183</f>
        <v>26701.217812969695</v>
      </c>
      <c r="M186" s="80">
        <f t="shared" si="21"/>
        <v>32596.513563286142</v>
      </c>
      <c r="N186" s="80" t="e">
        <f t="shared" si="21"/>
        <v>#REF!</v>
      </c>
      <c r="O186" s="80" t="e">
        <f t="shared" si="21"/>
        <v>#REF!</v>
      </c>
      <c r="P186" s="80" t="e">
        <f t="shared" si="21"/>
        <v>#REF!</v>
      </c>
      <c r="Q186" s="80" t="e">
        <f t="shared" si="21"/>
        <v>#REF!</v>
      </c>
      <c r="R186" s="80" t="e">
        <f t="shared" si="21"/>
        <v>#REF!</v>
      </c>
      <c r="S186" s="80">
        <f t="shared" si="21"/>
        <v>60133.621891366907</v>
      </c>
      <c r="T186" s="80">
        <f t="shared" si="21"/>
        <v>67961.65766230294</v>
      </c>
    </row>
    <row r="187" spans="2:22" ht="14.4" x14ac:dyDescent="0.55000000000000004">
      <c r="B187" s="826" t="s">
        <v>218</v>
      </c>
      <c r="F187" s="311">
        <f t="shared" si="20"/>
        <v>1092.3708350951374</v>
      </c>
      <c r="G187" s="311">
        <f t="shared" si="20"/>
        <v>2191.0962499999991</v>
      </c>
      <c r="H187" s="311">
        <f t="shared" si="20"/>
        <v>3178.0698461538482</v>
      </c>
      <c r="I187" s="311"/>
      <c r="J187" s="311"/>
      <c r="K187" s="311">
        <f t="shared" si="20"/>
        <v>4146.9271768181825</v>
      </c>
      <c r="L187" s="311">
        <f t="shared" ref="L187:T187" si="22">L180*L$183</f>
        <v>6673.5171184545443</v>
      </c>
      <c r="M187" s="311">
        <f t="shared" si="22"/>
        <v>8718.0071975584597</v>
      </c>
      <c r="N187" s="311" t="e">
        <f t="shared" si="22"/>
        <v>#REF!</v>
      </c>
      <c r="O187" s="311" t="e">
        <f t="shared" si="22"/>
        <v>#REF!</v>
      </c>
      <c r="P187" s="311" t="e">
        <f t="shared" si="22"/>
        <v>#REF!</v>
      </c>
      <c r="Q187" s="311" t="e">
        <f t="shared" si="22"/>
        <v>#REF!</v>
      </c>
      <c r="R187" s="311" t="e">
        <f t="shared" si="22"/>
        <v>#REF!</v>
      </c>
      <c r="S187" s="311">
        <f t="shared" si="22"/>
        <v>18873.654387457569</v>
      </c>
      <c r="T187" s="311">
        <f t="shared" si="22"/>
        <v>21418.353457976682</v>
      </c>
      <c r="V187" s="80"/>
    </row>
    <row r="188" spans="2:22" ht="14.4" x14ac:dyDescent="0.55000000000000004">
      <c r="B188" s="40" t="s">
        <v>354</v>
      </c>
      <c r="F188" s="80">
        <f>F183*F181</f>
        <v>16797.775692402716</v>
      </c>
      <c r="G188" s="80">
        <f>G183*G181</f>
        <v>20267.640312499992</v>
      </c>
      <c r="H188" s="80">
        <f>H183*H181</f>
        <v>23411.227686168477</v>
      </c>
      <c r="I188" s="80"/>
      <c r="J188" s="80"/>
      <c r="K188" s="80">
        <f>K183*K181</f>
        <v>25394.239815454548</v>
      </c>
      <c r="L188" s="80">
        <f t="shared" ref="L188:T188" si="23">L183*L181</f>
        <v>33374.734931424238</v>
      </c>
      <c r="M188" s="80">
        <f t="shared" si="23"/>
        <v>41314.5207608446</v>
      </c>
      <c r="N188" s="80" t="e">
        <f t="shared" si="23"/>
        <v>#REF!</v>
      </c>
      <c r="O188" s="80" t="e">
        <f t="shared" si="23"/>
        <v>#REF!</v>
      </c>
      <c r="P188" s="80" t="e">
        <f t="shared" si="23"/>
        <v>#REF!</v>
      </c>
      <c r="Q188" s="80" t="e">
        <f t="shared" si="23"/>
        <v>#REF!</v>
      </c>
      <c r="R188" s="80" t="e">
        <f t="shared" si="23"/>
        <v>#REF!</v>
      </c>
      <c r="S188" s="80">
        <f t="shared" si="23"/>
        <v>79007.276278824473</v>
      </c>
      <c r="T188" s="80">
        <f t="shared" si="23"/>
        <v>89380.011120279611</v>
      </c>
      <c r="U188" s="80"/>
    </row>
    <row r="189" spans="2:22" x14ac:dyDescent="0.5">
      <c r="V189" s="808" t="s">
        <v>1020</v>
      </c>
    </row>
    <row r="190" spans="2:22" x14ac:dyDescent="0.5">
      <c r="B190" s="814" t="s">
        <v>1026</v>
      </c>
      <c r="C190" s="808" t="s">
        <v>1028</v>
      </c>
      <c r="D190" s="808" t="s">
        <v>1029</v>
      </c>
      <c r="E190" s="808" t="s">
        <v>1030</v>
      </c>
      <c r="F190" s="808" t="s">
        <v>1031</v>
      </c>
      <c r="G190" s="808" t="s">
        <v>1032</v>
      </c>
      <c r="H190" s="808" t="s">
        <v>1033</v>
      </c>
      <c r="I190" s="808"/>
      <c r="J190" s="808"/>
      <c r="K190" s="808" t="s">
        <v>1034</v>
      </c>
      <c r="P190" s="808" t="s">
        <v>1010</v>
      </c>
      <c r="Q190" s="808" t="s">
        <v>1011</v>
      </c>
      <c r="R190" s="808" t="s">
        <v>1012</v>
      </c>
      <c r="S190" s="808" t="s">
        <v>1017</v>
      </c>
      <c r="T190" s="808" t="s">
        <v>1018</v>
      </c>
      <c r="U190" s="808" t="s">
        <v>1019</v>
      </c>
      <c r="V190" s="393" t="e">
        <f>P168</f>
        <v>#REF!</v>
      </c>
    </row>
    <row r="191" spans="2:22" x14ac:dyDescent="0.5">
      <c r="B191" s="553" t="s">
        <v>346</v>
      </c>
      <c r="C191" s="829" t="e">
        <f>Quarts!#REF!</f>
        <v>#REF!</v>
      </c>
      <c r="D191" s="829" t="e">
        <f>Quarts!#REF!</f>
        <v>#REF!</v>
      </c>
      <c r="E191" s="829" t="e">
        <f>Quarts!#REF!</f>
        <v>#REF!</v>
      </c>
      <c r="F191" s="829" t="e">
        <f>Quarts!#REF!</f>
        <v>#REF!</v>
      </c>
      <c r="G191" s="829" t="e">
        <f>Quarts!#REF!</f>
        <v>#REF!</v>
      </c>
      <c r="H191" s="829">
        <f>Quarts!T225</f>
        <v>54758.52</v>
      </c>
      <c r="I191" s="829"/>
      <c r="J191" s="829"/>
      <c r="K191" s="829">
        <f>Quarts!U225</f>
        <v>60479.179958520464</v>
      </c>
      <c r="P191" s="393">
        <f>H168</f>
        <v>0.90473368077913752</v>
      </c>
      <c r="Q191" s="393" t="e">
        <f t="shared" ref="Q191:U193" si="24">K168</f>
        <v>#REF!</v>
      </c>
      <c r="R191" s="393" t="e">
        <f t="shared" si="24"/>
        <v>#REF!</v>
      </c>
      <c r="S191" s="393" t="e">
        <f t="shared" si="24"/>
        <v>#REF!</v>
      </c>
      <c r="T191" s="393" t="e">
        <f t="shared" si="24"/>
        <v>#REF!</v>
      </c>
      <c r="U191" s="393" t="e">
        <f t="shared" si="24"/>
        <v>#REF!</v>
      </c>
      <c r="V191" s="813" t="e">
        <f>P169</f>
        <v>#REF!</v>
      </c>
    </row>
    <row r="192" spans="2:22" x14ac:dyDescent="0.5">
      <c r="B192" s="818" t="s">
        <v>218</v>
      </c>
      <c r="C192" s="830" t="e">
        <f>Quarts!#REF!</f>
        <v>#REF!</v>
      </c>
      <c r="D192" s="830" t="e">
        <f>Quarts!#REF!</f>
        <v>#REF!</v>
      </c>
      <c r="E192" s="830" t="e">
        <f>Quarts!#REF!</f>
        <v>#REF!</v>
      </c>
      <c r="F192" s="830" t="e">
        <f>Quarts!#REF!</f>
        <v>#REF!</v>
      </c>
      <c r="G192" s="830" t="e">
        <f>Quarts!#REF!</f>
        <v>#REF!</v>
      </c>
      <c r="H192" s="830">
        <f>Quarts!T226</f>
        <v>13329.07</v>
      </c>
      <c r="I192" s="830"/>
      <c r="J192" s="830"/>
      <c r="K192" s="830">
        <f>Quarts!U226</f>
        <v>15215.229832893392</v>
      </c>
      <c r="P192" s="813">
        <f>H169</f>
        <v>1.9561674179008368</v>
      </c>
      <c r="Q192" s="813" t="e">
        <f t="shared" si="24"/>
        <v>#REF!</v>
      </c>
      <c r="R192" s="813" t="e">
        <f t="shared" si="24"/>
        <v>#REF!</v>
      </c>
      <c r="S192" s="813" t="e">
        <f t="shared" si="24"/>
        <v>#REF!</v>
      </c>
      <c r="T192" s="813" t="e">
        <f t="shared" si="24"/>
        <v>#REF!</v>
      </c>
      <c r="U192" s="813" t="e">
        <f t="shared" si="24"/>
        <v>#REF!</v>
      </c>
      <c r="V192" s="393" t="e">
        <f>P170</f>
        <v>#REF!</v>
      </c>
    </row>
    <row r="193" spans="2:21" x14ac:dyDescent="0.5">
      <c r="B193" s="553" t="s">
        <v>354</v>
      </c>
      <c r="C193" s="829" t="e">
        <f>Quarts!#REF!</f>
        <v>#REF!</v>
      </c>
      <c r="D193" s="829" t="e">
        <f>Quarts!#REF!</f>
        <v>#REF!</v>
      </c>
      <c r="E193" s="829" t="e">
        <f>Quarts!#REF!</f>
        <v>#REF!</v>
      </c>
      <c r="F193" s="829" t="e">
        <f>Quarts!#REF!</f>
        <v>#REF!</v>
      </c>
      <c r="G193" s="829" t="e">
        <f>Quarts!#REF!</f>
        <v>#REF!</v>
      </c>
      <c r="H193" s="829">
        <f>Quarts!T228</f>
        <v>68706.34</v>
      </c>
      <c r="I193" s="829"/>
      <c r="J193" s="829"/>
      <c r="K193" s="829">
        <f>Quarts!U228</f>
        <v>77167.578656312355</v>
      </c>
      <c r="P193" s="393">
        <f>H170</f>
        <v>1.0549385003679514</v>
      </c>
      <c r="Q193" s="393" t="e">
        <f t="shared" si="24"/>
        <v>#REF!</v>
      </c>
      <c r="R193" s="393" t="e">
        <f t="shared" si="24"/>
        <v>#REF!</v>
      </c>
      <c r="S193" s="393" t="e">
        <f t="shared" si="24"/>
        <v>#REF!</v>
      </c>
      <c r="T193" s="393" t="e">
        <f t="shared" si="24"/>
        <v>#REF!</v>
      </c>
      <c r="U193" s="393" t="e">
        <f t="shared" si="24"/>
        <v>#REF!</v>
      </c>
    </row>
    <row r="195" spans="2:21" x14ac:dyDescent="0.5">
      <c r="B195" s="814" t="s">
        <v>1027</v>
      </c>
      <c r="C195" s="808" t="s">
        <v>1028</v>
      </c>
      <c r="D195" s="808" t="s">
        <v>1029</v>
      </c>
      <c r="E195" s="808" t="s">
        <v>1030</v>
      </c>
      <c r="F195" s="808" t="s">
        <v>1031</v>
      </c>
      <c r="G195" s="808" t="s">
        <v>1032</v>
      </c>
      <c r="H195" s="808" t="s">
        <v>1033</v>
      </c>
      <c r="I195" s="808"/>
      <c r="J195" s="808"/>
      <c r="K195" s="808" t="s">
        <v>1034</v>
      </c>
    </row>
    <row r="196" spans="2:21" x14ac:dyDescent="0.5">
      <c r="B196" s="553" t="s">
        <v>346</v>
      </c>
      <c r="C196" s="829" t="e">
        <f t="shared" ref="C196:H198" si="25">N186</f>
        <v>#REF!</v>
      </c>
      <c r="D196" s="829" t="e">
        <f t="shared" si="25"/>
        <v>#REF!</v>
      </c>
      <c r="E196" s="829" t="e">
        <f t="shared" si="25"/>
        <v>#REF!</v>
      </c>
      <c r="F196" s="829" t="e">
        <f t="shared" si="25"/>
        <v>#REF!</v>
      </c>
      <c r="G196" s="829" t="e">
        <f t="shared" si="25"/>
        <v>#REF!</v>
      </c>
      <c r="H196" s="829">
        <f t="shared" si="25"/>
        <v>60133.621891366907</v>
      </c>
      <c r="I196" s="829"/>
      <c r="J196" s="829"/>
      <c r="K196" s="829">
        <f>T186</f>
        <v>67961.65766230294</v>
      </c>
    </row>
    <row r="197" spans="2:21" x14ac:dyDescent="0.5">
      <c r="B197" s="818" t="s">
        <v>218</v>
      </c>
      <c r="C197" s="830" t="e">
        <f t="shared" si="25"/>
        <v>#REF!</v>
      </c>
      <c r="D197" s="830" t="e">
        <f t="shared" si="25"/>
        <v>#REF!</v>
      </c>
      <c r="E197" s="830" t="e">
        <f t="shared" si="25"/>
        <v>#REF!</v>
      </c>
      <c r="F197" s="830" t="e">
        <f t="shared" si="25"/>
        <v>#REF!</v>
      </c>
      <c r="G197" s="830" t="e">
        <f t="shared" si="25"/>
        <v>#REF!</v>
      </c>
      <c r="H197" s="830">
        <f t="shared" si="25"/>
        <v>18873.654387457569</v>
      </c>
      <c r="I197" s="830"/>
      <c r="J197" s="830"/>
      <c r="K197" s="830">
        <f>T187</f>
        <v>21418.353457976682</v>
      </c>
    </row>
    <row r="198" spans="2:21" x14ac:dyDescent="0.5">
      <c r="B198" s="553" t="s">
        <v>354</v>
      </c>
      <c r="C198" s="829" t="e">
        <f t="shared" si="25"/>
        <v>#REF!</v>
      </c>
      <c r="D198" s="829" t="e">
        <f t="shared" si="25"/>
        <v>#REF!</v>
      </c>
      <c r="E198" s="829" t="e">
        <f t="shared" si="25"/>
        <v>#REF!</v>
      </c>
      <c r="F198" s="829" t="e">
        <f t="shared" si="25"/>
        <v>#REF!</v>
      </c>
      <c r="G198" s="829" t="e">
        <f t="shared" si="25"/>
        <v>#REF!</v>
      </c>
      <c r="H198" s="829">
        <f t="shared" si="25"/>
        <v>79007.276278824473</v>
      </c>
      <c r="I198" s="829"/>
      <c r="J198" s="829"/>
      <c r="K198" s="829">
        <f>T188</f>
        <v>89380.011120279611</v>
      </c>
    </row>
    <row r="200" spans="2:21" x14ac:dyDescent="0.5">
      <c r="B200" s="814" t="s">
        <v>1025</v>
      </c>
      <c r="C200" s="808" t="s">
        <v>1028</v>
      </c>
      <c r="D200" s="808" t="s">
        <v>1029</v>
      </c>
      <c r="E200" s="808" t="s">
        <v>1030</v>
      </c>
      <c r="F200" s="808" t="s">
        <v>1031</v>
      </c>
      <c r="G200" s="808" t="s">
        <v>1032</v>
      </c>
      <c r="H200" s="808" t="s">
        <v>1033</v>
      </c>
      <c r="I200" s="808"/>
      <c r="J200" s="808"/>
      <c r="K200" s="808" t="s">
        <v>1034</v>
      </c>
    </row>
    <row r="201" spans="2:21" x14ac:dyDescent="0.5">
      <c r="B201" s="553" t="s">
        <v>346</v>
      </c>
      <c r="C201" s="831" t="e">
        <f>C191/C196-1</f>
        <v>#REF!</v>
      </c>
      <c r="D201" s="831" t="e">
        <f t="shared" ref="D201:K201" si="26">D191/D196-1</f>
        <v>#REF!</v>
      </c>
      <c r="E201" s="831" t="e">
        <f>E191/E196-1</f>
        <v>#REF!</v>
      </c>
      <c r="F201" s="831" t="e">
        <f t="shared" si="26"/>
        <v>#REF!</v>
      </c>
      <c r="G201" s="831" t="e">
        <f t="shared" si="26"/>
        <v>#REF!</v>
      </c>
      <c r="H201" s="831">
        <f t="shared" si="26"/>
        <v>-8.9385966158452623E-2</v>
      </c>
      <c r="I201" s="831"/>
      <c r="J201" s="831"/>
      <c r="K201" s="831">
        <f t="shared" si="26"/>
        <v>-0.11009851673957716</v>
      </c>
    </row>
    <row r="202" spans="2:21" x14ac:dyDescent="0.5">
      <c r="B202" s="818" t="s">
        <v>218</v>
      </c>
      <c r="C202" s="832" t="e">
        <f t="shared" ref="C202:K202" si="27">C192/C197-1</f>
        <v>#REF!</v>
      </c>
      <c r="D202" s="832" t="e">
        <f t="shared" si="27"/>
        <v>#REF!</v>
      </c>
      <c r="E202" s="832" t="e">
        <f>E192/E197-1</f>
        <v>#REF!</v>
      </c>
      <c r="F202" s="832" t="e">
        <f t="shared" si="27"/>
        <v>#REF!</v>
      </c>
      <c r="G202" s="832" t="e">
        <f t="shared" si="27"/>
        <v>#REF!</v>
      </c>
      <c r="H202" s="832">
        <f t="shared" si="27"/>
        <v>-0.29377375857545673</v>
      </c>
      <c r="I202" s="832"/>
      <c r="J202" s="832"/>
      <c r="K202" s="832">
        <f t="shared" si="27"/>
        <v>-0.28961720317362238</v>
      </c>
    </row>
    <row r="203" spans="2:21" x14ac:dyDescent="0.5">
      <c r="B203" s="553" t="s">
        <v>354</v>
      </c>
      <c r="C203" s="831" t="e">
        <f t="shared" ref="C203:K203" si="28">C193/C198-1</f>
        <v>#REF!</v>
      </c>
      <c r="D203" s="831" t="e">
        <f t="shared" si="28"/>
        <v>#REF!</v>
      </c>
      <c r="E203" s="831" t="e">
        <f t="shared" si="28"/>
        <v>#REF!</v>
      </c>
      <c r="F203" s="831" t="e">
        <f t="shared" si="28"/>
        <v>#REF!</v>
      </c>
      <c r="G203" s="831" t="e">
        <f t="shared" si="28"/>
        <v>#REF!</v>
      </c>
      <c r="H203" s="831">
        <f t="shared" si="28"/>
        <v>-0.13037958988070231</v>
      </c>
      <c r="I203" s="831"/>
      <c r="J203" s="831"/>
      <c r="K203" s="831">
        <f t="shared" si="28"/>
        <v>-0.13663494008221655</v>
      </c>
    </row>
    <row r="206" spans="2:21" ht="14.4" x14ac:dyDescent="0.55000000000000004">
      <c r="B206" s="485"/>
      <c r="C206" s="808" t="s">
        <v>375</v>
      </c>
      <c r="D206" s="808" t="s">
        <v>376</v>
      </c>
      <c r="E206" s="808" t="s">
        <v>377</v>
      </c>
      <c r="F206" s="808" t="s">
        <v>672</v>
      </c>
      <c r="G206" s="808" t="s">
        <v>870</v>
      </c>
      <c r="H206" s="808" t="s">
        <v>1028</v>
      </c>
      <c r="I206" s="808"/>
      <c r="J206" s="808"/>
      <c r="K206" s="808" t="s">
        <v>1029</v>
      </c>
      <c r="L206" s="808" t="s">
        <v>1030</v>
      </c>
      <c r="M206" s="808" t="s">
        <v>1031</v>
      </c>
      <c r="N206" s="808" t="s">
        <v>1032</v>
      </c>
      <c r="O206" s="808" t="s">
        <v>1033</v>
      </c>
      <c r="P206" s="808" t="s">
        <v>1034</v>
      </c>
    </row>
    <row r="207" spans="2:21" ht="14.4" x14ac:dyDescent="0.55000000000000004">
      <c r="B207" s="825" t="s">
        <v>346</v>
      </c>
      <c r="C207" s="457">
        <f>Quarts!H225</f>
        <v>18591.21</v>
      </c>
      <c r="D207" s="457">
        <f>Quarts!I225</f>
        <v>17890.559999999998</v>
      </c>
      <c r="E207" s="457">
        <f>Quarts!J225</f>
        <v>22106.338349999998</v>
      </c>
      <c r="F207" s="457">
        <f>Quarts!K225</f>
        <v>26655.1119</v>
      </c>
      <c r="G207" s="457">
        <f>Quarts!M225</f>
        <v>29549.16</v>
      </c>
      <c r="H207" s="457" t="e">
        <f>Quarts!#REF!</f>
        <v>#REF!</v>
      </c>
      <c r="I207" s="457"/>
      <c r="J207" s="457"/>
      <c r="K207" s="457" t="e">
        <f>Quarts!#REF!</f>
        <v>#REF!</v>
      </c>
      <c r="L207" s="457" t="e">
        <f>Quarts!#REF!</f>
        <v>#REF!</v>
      </c>
      <c r="M207" s="457" t="e">
        <f>Quarts!#REF!</f>
        <v>#REF!</v>
      </c>
      <c r="N207" s="457" t="e">
        <f>Quarts!#REF!</f>
        <v>#REF!</v>
      </c>
      <c r="O207" s="457">
        <f>Quarts!T225</f>
        <v>54758.52</v>
      </c>
      <c r="P207" s="457">
        <f>Quarts!U225</f>
        <v>60479.179958520464</v>
      </c>
    </row>
    <row r="208" spans="2:21" ht="14.4" x14ac:dyDescent="0.55000000000000004">
      <c r="B208" s="826" t="s">
        <v>218</v>
      </c>
      <c r="C208" s="833">
        <f>Quarts!H226</f>
        <v>2253.48</v>
      </c>
      <c r="D208" s="833">
        <f>Quarts!I226</f>
        <v>2981.7599999999998</v>
      </c>
      <c r="E208" s="833">
        <f>Quarts!J226</f>
        <v>4314.5868300000002</v>
      </c>
      <c r="F208" s="833">
        <f>Quarts!K226</f>
        <v>6662.0215979999994</v>
      </c>
      <c r="G208" s="833">
        <f>Quarts!M226</f>
        <v>7901.58</v>
      </c>
      <c r="H208" s="833" t="e">
        <f>Quarts!#REF!</f>
        <v>#REF!</v>
      </c>
      <c r="I208" s="833"/>
      <c r="J208" s="833"/>
      <c r="K208" s="833" t="e">
        <f>Quarts!#REF!</f>
        <v>#REF!</v>
      </c>
      <c r="L208" s="833" t="e">
        <f>Quarts!#REF!</f>
        <v>#REF!</v>
      </c>
      <c r="M208" s="833" t="e">
        <f>Quarts!#REF!</f>
        <v>#REF!</v>
      </c>
      <c r="N208" s="833" t="e">
        <f>Quarts!#REF!</f>
        <v>#REF!</v>
      </c>
      <c r="O208" s="833">
        <f>Quarts!T226</f>
        <v>13329.07</v>
      </c>
      <c r="P208" s="833">
        <f>Quarts!U226</f>
        <v>15215.229832893392</v>
      </c>
    </row>
    <row r="209" spans="2:16" ht="14.4" x14ac:dyDescent="0.55000000000000004">
      <c r="B209" s="40" t="s">
        <v>354</v>
      </c>
      <c r="C209" s="457">
        <f>Quarts!H228</f>
        <v>20844.690000000002</v>
      </c>
      <c r="D209" s="457">
        <f>Quarts!I228</f>
        <v>20872.32</v>
      </c>
      <c r="E209" s="457">
        <f>Quarts!J228</f>
        <v>26420.925179999998</v>
      </c>
      <c r="F209" s="457">
        <f>Quarts!K228</f>
        <v>33317.133497999996</v>
      </c>
      <c r="G209" s="457">
        <f>Quarts!M228</f>
        <v>37450.740000000005</v>
      </c>
      <c r="H209" s="457" t="e">
        <f>Quarts!#REF!</f>
        <v>#REF!</v>
      </c>
      <c r="I209" s="457"/>
      <c r="J209" s="457"/>
      <c r="K209" s="457" t="e">
        <f>Quarts!#REF!</f>
        <v>#REF!</v>
      </c>
      <c r="L209" s="457" t="e">
        <f>Quarts!#REF!</f>
        <v>#REF!</v>
      </c>
      <c r="M209" s="457" t="e">
        <f>Quarts!#REF!</f>
        <v>#REF!</v>
      </c>
      <c r="N209" s="457" t="e">
        <f>Quarts!#REF!</f>
        <v>#REF!</v>
      </c>
      <c r="O209" s="457">
        <f>Quarts!T228</f>
        <v>68706.34</v>
      </c>
      <c r="P209" s="457">
        <f>Quarts!U228</f>
        <v>77167.578656312355</v>
      </c>
    </row>
    <row r="211" spans="2:16" x14ac:dyDescent="0.5">
      <c r="B211" s="79" t="s">
        <v>1058</v>
      </c>
      <c r="C211" s="310" t="e">
        <f>Quarts!H228/Quarts!D228-1</f>
        <v>#DIV/0!</v>
      </c>
      <c r="D211" s="310" t="e">
        <f>Quarts!I228/Quarts!E228-1</f>
        <v>#DIV/0!</v>
      </c>
      <c r="E211" s="310" t="e">
        <f>Quarts!J228/Quarts!F228-1</f>
        <v>#DIV/0!</v>
      </c>
      <c r="F211" s="310">
        <f>Quarts!K228/Quarts!G228-1</f>
        <v>1.0599566430320637</v>
      </c>
      <c r="G211" s="310">
        <f>Quarts!M228/Quarts!H228-1</f>
        <v>0.79665612681215214</v>
      </c>
      <c r="H211" s="310" t="e">
        <f>Quarts!#REF!/Quarts!I228-1</f>
        <v>#REF!</v>
      </c>
      <c r="I211" s="310"/>
      <c r="J211" s="310"/>
      <c r="K211" s="310" t="e">
        <f>Quarts!#REF!/Quarts!J228-1</f>
        <v>#REF!</v>
      </c>
      <c r="L211" s="310" t="e">
        <f>Quarts!#REF!/Quarts!K228-1</f>
        <v>#REF!</v>
      </c>
      <c r="M211" s="310" t="e">
        <f>Quarts!#REF!/Quarts!M228-1</f>
        <v>#REF!</v>
      </c>
      <c r="N211" s="310" t="e">
        <f>Quarts!#REF!/Quarts!#REF!-1</f>
        <v>#REF!</v>
      </c>
      <c r="O211" s="310" t="e">
        <f>Quarts!T228/Quarts!#REF!-1</f>
        <v>#REF!</v>
      </c>
      <c r="P211" s="310" t="e">
        <f>Quarts!U228/Quarts!#REF!-1</f>
        <v>#REF!</v>
      </c>
    </row>
    <row r="219" spans="2:16" x14ac:dyDescent="0.5">
      <c r="F219" s="808" t="s">
        <v>672</v>
      </c>
      <c r="G219" s="808" t="s">
        <v>870</v>
      </c>
      <c r="H219" s="808" t="s">
        <v>1028</v>
      </c>
      <c r="I219" s="808"/>
      <c r="J219" s="808"/>
      <c r="K219" s="808" t="s">
        <v>1029</v>
      </c>
      <c r="L219" s="808" t="s">
        <v>1030</v>
      </c>
      <c r="M219" s="808" t="s">
        <v>1031</v>
      </c>
      <c r="N219" s="808" t="s">
        <v>1032</v>
      </c>
      <c r="O219" s="808" t="s">
        <v>1033</v>
      </c>
      <c r="P219" s="808" t="s">
        <v>1034</v>
      </c>
    </row>
    <row r="220" spans="2:16" ht="14.4" x14ac:dyDescent="0.55000000000000004">
      <c r="B220" s="426" t="s">
        <v>797</v>
      </c>
      <c r="F220" s="395">
        <f>Quarts!K18</f>
        <v>0.29712388118661293</v>
      </c>
      <c r="G220" s="395">
        <f>Quarts!M18</f>
        <v>0.28086574005694231</v>
      </c>
      <c r="H220" s="395" t="e">
        <f>Quarts!#REF!</f>
        <v>#REF!</v>
      </c>
      <c r="I220" s="395"/>
      <c r="J220" s="395"/>
      <c r="K220" s="395" t="e">
        <f>Quarts!#REF!</f>
        <v>#REF!</v>
      </c>
      <c r="L220" s="395" t="e">
        <f>Quarts!#REF!</f>
        <v>#REF!</v>
      </c>
      <c r="M220" s="395" t="e">
        <f>Quarts!#REF!</f>
        <v>#REF!</v>
      </c>
      <c r="N220" s="395" t="e">
        <f>Quarts!#REF!</f>
        <v>#REF!</v>
      </c>
      <c r="O220" s="395">
        <f>Quarts!T18</f>
        <v>0.42480620564062987</v>
      </c>
      <c r="P220" s="395">
        <f>Quarts!U18</f>
        <v>0.41245109781060257</v>
      </c>
    </row>
    <row r="233" spans="2:13" x14ac:dyDescent="0.5">
      <c r="B233" s="814" t="s">
        <v>1059</v>
      </c>
      <c r="C233" s="808" t="str">
        <f>Quarts!K2</f>
        <v>Q4 21</v>
      </c>
      <c r="D233" s="808" t="str">
        <f>Quarts!M2</f>
        <v>Q1 22</v>
      </c>
      <c r="E233" s="808" t="e">
        <f>Quarts!#REF!</f>
        <v>#REF!</v>
      </c>
      <c r="F233" s="808" t="e">
        <f>Quarts!#REF!</f>
        <v>#REF!</v>
      </c>
      <c r="G233" s="808" t="e">
        <f>Quarts!#REF!</f>
        <v>#REF!</v>
      </c>
      <c r="H233" s="808" t="e">
        <f>Quarts!#REF!</f>
        <v>#REF!</v>
      </c>
      <c r="I233" s="808"/>
      <c r="J233" s="808"/>
      <c r="K233" s="808" t="e">
        <f>Quarts!#REF!</f>
        <v>#REF!</v>
      </c>
      <c r="L233" s="808" t="str">
        <f>Quarts!T2</f>
        <v>Q3 23</v>
      </c>
      <c r="M233" s="808" t="str">
        <f>Quarts!U2</f>
        <v>Q4 23</v>
      </c>
    </row>
    <row r="234" spans="2:13" x14ac:dyDescent="0.5">
      <c r="B234" s="550" t="s">
        <v>996</v>
      </c>
      <c r="C234" s="554">
        <f>Quarts!K346</f>
        <v>6563.5249999999996</v>
      </c>
      <c r="D234" s="554">
        <f>Quarts!M346</f>
        <v>8821.9089999999997</v>
      </c>
      <c r="E234" s="554" t="e">
        <f>Quarts!#REF!</f>
        <v>#REF!</v>
      </c>
      <c r="F234" s="554" t="e">
        <f>Quarts!#REF!</f>
        <v>#REF!</v>
      </c>
      <c r="G234" s="554" t="e">
        <f>Quarts!#REF!</f>
        <v>#REF!</v>
      </c>
      <c r="H234" s="554" t="e">
        <f>Quarts!#REF!</f>
        <v>#REF!</v>
      </c>
      <c r="I234" s="554"/>
      <c r="J234" s="554"/>
      <c r="K234" s="554" t="e">
        <f>Quarts!#REF!</f>
        <v>#REF!</v>
      </c>
      <c r="L234" s="554" t="e">
        <f>Quarts!T346</f>
        <v>#REF!</v>
      </c>
      <c r="M234" s="554" t="e">
        <f>Quarts!U346</f>
        <v>#REF!</v>
      </c>
    </row>
    <row r="235" spans="2:13" x14ac:dyDescent="0.5">
      <c r="B235" s="551" t="s">
        <v>180</v>
      </c>
      <c r="C235" s="552">
        <f>Quarts!K347</f>
        <v>5171.1790000000001</v>
      </c>
      <c r="D235" s="552">
        <f>Quarts!M347</f>
        <v>6814.4089999999997</v>
      </c>
      <c r="E235" s="552" t="e">
        <f>Quarts!#REF!</f>
        <v>#REF!</v>
      </c>
      <c r="F235" s="552" t="e">
        <f>Quarts!#REF!</f>
        <v>#REF!</v>
      </c>
      <c r="G235" s="552" t="e">
        <f>Quarts!#REF!</f>
        <v>#REF!</v>
      </c>
      <c r="H235" s="552" t="e">
        <f>Quarts!#REF!</f>
        <v>#REF!</v>
      </c>
      <c r="I235" s="552"/>
      <c r="J235" s="552"/>
      <c r="K235" s="552" t="e">
        <f>Quarts!#REF!</f>
        <v>#REF!</v>
      </c>
      <c r="L235" s="552" t="e">
        <f>Quarts!T347</f>
        <v>#REF!</v>
      </c>
      <c r="M235" s="552" t="e">
        <f>Quarts!U347</f>
        <v>#REF!</v>
      </c>
    </row>
    <row r="236" spans="2:13" x14ac:dyDescent="0.5">
      <c r="B236" s="551" t="s">
        <v>218</v>
      </c>
      <c r="C236" s="552">
        <f>Quarts!K348</f>
        <v>1392.346</v>
      </c>
      <c r="D236" s="552">
        <f>Quarts!M348</f>
        <v>2007.5</v>
      </c>
      <c r="E236" s="552" t="e">
        <f>Quarts!#REF!</f>
        <v>#REF!</v>
      </c>
      <c r="F236" s="552" t="e">
        <f>Quarts!#REF!</f>
        <v>#REF!</v>
      </c>
      <c r="G236" s="552" t="e">
        <f>Quarts!#REF!</f>
        <v>#REF!</v>
      </c>
      <c r="H236" s="552" t="e">
        <f>Quarts!#REF!</f>
        <v>#REF!</v>
      </c>
      <c r="I236" s="552"/>
      <c r="J236" s="552"/>
      <c r="K236" s="552" t="e">
        <f>Quarts!#REF!</f>
        <v>#REF!</v>
      </c>
      <c r="L236" s="552" t="e">
        <f>Quarts!T348</f>
        <v>#REF!</v>
      </c>
      <c r="M236" s="552" t="e">
        <f>Quarts!U348</f>
        <v>#REF!</v>
      </c>
    </row>
    <row r="237" spans="2:13" x14ac:dyDescent="0.5">
      <c r="B237" s="553"/>
      <c r="C237" s="552"/>
      <c r="D237" s="552"/>
      <c r="E237" s="552"/>
      <c r="F237" s="552"/>
      <c r="G237" s="552"/>
      <c r="H237" s="552"/>
      <c r="I237" s="552"/>
      <c r="J237" s="552"/>
      <c r="K237" s="552"/>
      <c r="L237" s="552"/>
      <c r="M237" s="552"/>
    </row>
    <row r="238" spans="2:13" x14ac:dyDescent="0.5">
      <c r="B238" s="550" t="s">
        <v>1035</v>
      </c>
      <c r="C238" s="554">
        <f>Quarts!K351</f>
        <v>2592.2950819672133</v>
      </c>
      <c r="D238" s="554">
        <f>Quarts!M351</f>
        <v>3227.9631147540986</v>
      </c>
      <c r="E238" s="554" t="e">
        <f>Quarts!#REF!</f>
        <v>#REF!</v>
      </c>
      <c r="F238" s="554" t="e">
        <f>Quarts!#REF!</f>
        <v>#REF!</v>
      </c>
      <c r="G238" s="554" t="e">
        <f>Quarts!#REF!</f>
        <v>#REF!</v>
      </c>
      <c r="H238" s="554" t="e">
        <f>Quarts!#REF!</f>
        <v>#REF!</v>
      </c>
      <c r="I238" s="554"/>
      <c r="J238" s="554"/>
      <c r="K238" s="554" t="e">
        <f>Quarts!#REF!</f>
        <v>#REF!</v>
      </c>
      <c r="L238" s="554" t="e">
        <f>Quarts!T351</f>
        <v>#REF!</v>
      </c>
      <c r="M238" s="554" t="e">
        <f>Quarts!U351</f>
        <v>#REF!</v>
      </c>
    </row>
    <row r="239" spans="2:13" x14ac:dyDescent="0.5">
      <c r="B239" s="551" t="s">
        <v>1038</v>
      </c>
      <c r="C239" s="552">
        <f>Quarts!K352</f>
        <v>2148.1967213114758</v>
      </c>
      <c r="D239" s="552">
        <f>Quarts!M352</f>
        <v>2543.202786885246</v>
      </c>
      <c r="E239" s="552" t="e">
        <f>Quarts!#REF!</f>
        <v>#REF!</v>
      </c>
      <c r="F239" s="552" t="e">
        <f>Quarts!#REF!</f>
        <v>#REF!</v>
      </c>
      <c r="G239" s="552" t="e">
        <f>Quarts!#REF!</f>
        <v>#REF!</v>
      </c>
      <c r="H239" s="552" t="e">
        <f>Quarts!#REF!</f>
        <v>#REF!</v>
      </c>
      <c r="I239" s="552"/>
      <c r="J239" s="552"/>
      <c r="K239" s="552" t="e">
        <f>Quarts!#REF!</f>
        <v>#REF!</v>
      </c>
      <c r="L239" s="552" t="e">
        <f>Quarts!T352</f>
        <v>#REF!</v>
      </c>
      <c r="M239" s="552" t="e">
        <f>Quarts!U352</f>
        <v>#REF!</v>
      </c>
    </row>
    <row r="240" spans="2:13" x14ac:dyDescent="0.5">
      <c r="B240" s="551" t="s">
        <v>1037</v>
      </c>
      <c r="C240" s="552">
        <f>Quarts!K353</f>
        <v>444.09836065573768</v>
      </c>
      <c r="D240" s="552">
        <f>Quarts!M353</f>
        <v>684.76032786885253</v>
      </c>
      <c r="E240" s="552" t="e">
        <f>Quarts!#REF!</f>
        <v>#REF!</v>
      </c>
      <c r="F240" s="552" t="e">
        <f>Quarts!#REF!</f>
        <v>#REF!</v>
      </c>
      <c r="G240" s="552" t="e">
        <f>Quarts!#REF!</f>
        <v>#REF!</v>
      </c>
      <c r="H240" s="552" t="e">
        <f>Quarts!#REF!</f>
        <v>#REF!</v>
      </c>
      <c r="I240" s="552"/>
      <c r="J240" s="552"/>
      <c r="K240" s="552" t="e">
        <f>Quarts!#REF!</f>
        <v>#REF!</v>
      </c>
      <c r="L240" s="552" t="e">
        <f>Quarts!T353</f>
        <v>#REF!</v>
      </c>
      <c r="M240" s="552" t="e">
        <f>Quarts!U353</f>
        <v>#REF!</v>
      </c>
    </row>
    <row r="241" spans="2:13" x14ac:dyDescent="0.5">
      <c r="B241" s="553"/>
      <c r="C241" s="834"/>
      <c r="D241" s="834"/>
      <c r="E241" s="834"/>
      <c r="F241" s="834"/>
      <c r="G241" s="834"/>
      <c r="H241" s="834"/>
      <c r="I241" s="834"/>
      <c r="J241" s="834"/>
      <c r="K241" s="834"/>
      <c r="L241" s="834"/>
      <c r="M241" s="834"/>
    </row>
    <row r="242" spans="2:13" x14ac:dyDescent="0.5">
      <c r="B242" s="550" t="s">
        <v>1036</v>
      </c>
      <c r="C242" s="554">
        <f>Quarts!K356</f>
        <v>3884.8200819672129</v>
      </c>
      <c r="D242" s="554">
        <f>Quarts!M356</f>
        <v>5486.3471147540986</v>
      </c>
      <c r="E242" s="554" t="e">
        <f>Quarts!#REF!</f>
        <v>#REF!</v>
      </c>
      <c r="F242" s="554" t="e">
        <f>Quarts!#REF!</f>
        <v>#REF!</v>
      </c>
      <c r="G242" s="554" t="e">
        <f>Quarts!#REF!</f>
        <v>#REF!</v>
      </c>
      <c r="H242" s="554" t="e">
        <f>Quarts!#REF!</f>
        <v>#REF!</v>
      </c>
      <c r="I242" s="554"/>
      <c r="J242" s="554"/>
      <c r="K242" s="554" t="e">
        <f>Quarts!#REF!</f>
        <v>#REF!</v>
      </c>
      <c r="L242" s="554">
        <f>Quarts!T356</f>
        <v>7700</v>
      </c>
      <c r="M242" s="554">
        <f>Quarts!U356</f>
        <v>8300</v>
      </c>
    </row>
    <row r="243" spans="2:13" x14ac:dyDescent="0.5">
      <c r="B243" s="551" t="s">
        <v>1038</v>
      </c>
      <c r="C243" s="552">
        <f>Quarts!K357</f>
        <v>3060.7181395130101</v>
      </c>
      <c r="D243" s="552">
        <f>Quarts!M357</f>
        <v>4237.8824306512752</v>
      </c>
      <c r="E243" s="552" t="e">
        <f>Quarts!#REF!</f>
        <v>#REF!</v>
      </c>
      <c r="F243" s="552" t="e">
        <f>Quarts!#REF!</f>
        <v>#REF!</v>
      </c>
      <c r="G243" s="552" t="e">
        <f>Quarts!#REF!</f>
        <v>#REF!</v>
      </c>
      <c r="H243" s="552" t="e">
        <f>Quarts!#REF!</f>
        <v>#REF!</v>
      </c>
      <c r="I243" s="552"/>
      <c r="J243" s="552"/>
      <c r="K243" s="552" t="e">
        <f>Quarts!#REF!</f>
        <v>#REF!</v>
      </c>
      <c r="L243" s="552">
        <f>Quarts!T357</f>
        <v>6000</v>
      </c>
      <c r="M243" s="552">
        <f>Quarts!U357</f>
        <v>6500</v>
      </c>
    </row>
    <row r="244" spans="2:13" x14ac:dyDescent="0.5">
      <c r="B244" s="551" t="s">
        <v>1037</v>
      </c>
      <c r="C244" s="552">
        <f>Quarts!K358</f>
        <v>824.1019424542028</v>
      </c>
      <c r="D244" s="552">
        <f>Quarts!M358</f>
        <v>1248.4646841028232</v>
      </c>
      <c r="E244" s="552" t="e">
        <f>Quarts!#REF!</f>
        <v>#REF!</v>
      </c>
      <c r="F244" s="552" t="e">
        <f>Quarts!#REF!</f>
        <v>#REF!</v>
      </c>
      <c r="G244" s="552" t="e">
        <f>Quarts!#REF!</f>
        <v>#REF!</v>
      </c>
      <c r="H244" s="552" t="e">
        <f>Quarts!#REF!</f>
        <v>#REF!</v>
      </c>
      <c r="I244" s="552"/>
      <c r="J244" s="552"/>
      <c r="K244" s="552" t="e">
        <f>Quarts!#REF!</f>
        <v>#REF!</v>
      </c>
      <c r="L244" s="552">
        <f>Quarts!T358</f>
        <v>1700</v>
      </c>
      <c r="M244" s="552">
        <f>Quarts!U358</f>
        <v>1800</v>
      </c>
    </row>
    <row r="245" spans="2:13" x14ac:dyDescent="0.5">
      <c r="B245" s="553"/>
      <c r="C245" s="835"/>
      <c r="D245" s="835"/>
      <c r="E245" s="835"/>
      <c r="F245" s="835"/>
      <c r="G245" s="835"/>
      <c r="H245" s="835"/>
      <c r="I245" s="835"/>
      <c r="J245" s="835"/>
      <c r="K245" s="835"/>
      <c r="L245" s="835"/>
      <c r="M245" s="835"/>
    </row>
    <row r="246" spans="2:13" x14ac:dyDescent="0.5">
      <c r="B246" s="550" t="s">
        <v>1054</v>
      </c>
      <c r="C246" s="836">
        <f>Quarts!K364</f>
        <v>0.17012653071301598</v>
      </c>
      <c r="D246" s="836">
        <f>Quarts!M364</f>
        <v>2.4038911502354576</v>
      </c>
      <c r="E246" s="836" t="e">
        <f>Quarts!#REF!</f>
        <v>#REF!</v>
      </c>
      <c r="F246" s="836" t="e">
        <f>Quarts!#REF!</f>
        <v>#REF!</v>
      </c>
      <c r="G246" s="836" t="e">
        <f>Quarts!#REF!</f>
        <v>#REF!</v>
      </c>
      <c r="H246" s="836" t="e">
        <f>Quarts!#REF!</f>
        <v>#REF!</v>
      </c>
      <c r="I246" s="836"/>
      <c r="J246" s="836"/>
      <c r="K246" s="836" t="e">
        <f>Quarts!#REF!</f>
        <v>#REF!</v>
      </c>
      <c r="L246" s="836">
        <f>Quarts!T364</f>
        <v>0.51535947490061607</v>
      </c>
      <c r="M246" s="836">
        <f>Quarts!U364</f>
        <v>0.3135303801688738</v>
      </c>
    </row>
    <row r="247" spans="2:13" x14ac:dyDescent="0.5">
      <c r="B247" s="551" t="s">
        <v>1038</v>
      </c>
      <c r="C247" s="837">
        <f>Quarts!K365</f>
        <v>2.4336726744648596E-2</v>
      </c>
      <c r="D247" s="837">
        <f>Quarts!M365</f>
        <v>1.8961881700902414</v>
      </c>
      <c r="E247" s="837" t="e">
        <f>Quarts!#REF!</f>
        <v>#REF!</v>
      </c>
      <c r="F247" s="837" t="e">
        <f>Quarts!#REF!</f>
        <v>#REF!</v>
      </c>
      <c r="G247" s="837" t="e">
        <f>Quarts!#REF!</f>
        <v>#REF!</v>
      </c>
      <c r="H247" s="837" t="e">
        <f>Quarts!#REF!</f>
        <v>#REF!</v>
      </c>
      <c r="I247" s="837"/>
      <c r="J247" s="837"/>
      <c r="K247" s="837" t="e">
        <f>Quarts!#REF!</f>
        <v>#REF!</v>
      </c>
      <c r="L247" s="837">
        <f>Quarts!T365</f>
        <v>0.46869411225163038</v>
      </c>
      <c r="M247" s="837">
        <f>Quarts!U365</f>
        <v>0.2472770186581732</v>
      </c>
    </row>
    <row r="248" spans="2:13" x14ac:dyDescent="0.5">
      <c r="B248" s="838" t="s">
        <v>1037</v>
      </c>
      <c r="C248" s="839">
        <f>Quarts!K366</f>
        <v>1.4822347664283217</v>
      </c>
      <c r="D248" s="839">
        <f>Quarts!M366</f>
        <v>7.405767550021384</v>
      </c>
      <c r="E248" s="839" t="e">
        <f>Quarts!#REF!</f>
        <v>#REF!</v>
      </c>
      <c r="F248" s="839" t="e">
        <f>Quarts!#REF!</f>
        <v>#REF!</v>
      </c>
      <c r="G248" s="839" t="e">
        <f>Quarts!#REF!</f>
        <v>#REF!</v>
      </c>
      <c r="H248" s="839" t="e">
        <f>Quarts!#REF!</f>
        <v>#REF!</v>
      </c>
      <c r="I248" s="839"/>
      <c r="J248" s="839"/>
      <c r="K248" s="839" t="e">
        <f>Quarts!#REF!</f>
        <v>#REF!</v>
      </c>
      <c r="L248" s="839">
        <f>Quarts!T366</f>
        <v>-0.63043478260869568</v>
      </c>
      <c r="M248" s="839">
        <f>Quarts!U366</f>
        <v>-0.64</v>
      </c>
    </row>
    <row r="249" spans="2:13" x14ac:dyDescent="0.5">
      <c r="B249" s="553"/>
      <c r="C249" s="834"/>
      <c r="D249" s="834"/>
      <c r="E249" s="834"/>
      <c r="F249" s="834"/>
      <c r="G249" s="834"/>
      <c r="H249" s="834"/>
      <c r="I249" s="834"/>
      <c r="J249" s="834"/>
      <c r="K249" s="834"/>
      <c r="L249" s="834"/>
      <c r="M249" s="834"/>
    </row>
    <row r="251" spans="2:13" x14ac:dyDescent="0.5">
      <c r="B251" s="814"/>
      <c r="C251" s="808" t="str">
        <f>C233</f>
        <v>Q4 21</v>
      </c>
      <c r="D251" s="808" t="str">
        <f t="shared" ref="D251:K251" si="29">D233</f>
        <v>Q1 22</v>
      </c>
      <c r="E251" s="808" t="e">
        <f t="shared" si="29"/>
        <v>#REF!</v>
      </c>
      <c r="F251" s="808" t="e">
        <f t="shared" si="29"/>
        <v>#REF!</v>
      </c>
      <c r="G251" s="808" t="e">
        <f t="shared" si="29"/>
        <v>#REF!</v>
      </c>
      <c r="H251" s="808" t="e">
        <f t="shared" si="29"/>
        <v>#REF!</v>
      </c>
      <c r="I251" s="808"/>
      <c r="J251" s="808"/>
      <c r="K251" s="808" t="e">
        <f t="shared" si="29"/>
        <v>#REF!</v>
      </c>
      <c r="L251" s="808" t="str">
        <f>L233</f>
        <v>Q3 23</v>
      </c>
      <c r="M251" s="808" t="str">
        <f>M233</f>
        <v>Q4 23</v>
      </c>
    </row>
    <row r="252" spans="2:13" x14ac:dyDescent="0.5">
      <c r="B252" s="550" t="s">
        <v>423</v>
      </c>
    </row>
    <row r="253" spans="2:13" x14ac:dyDescent="0.5">
      <c r="B253" s="551" t="s">
        <v>556</v>
      </c>
      <c r="C253" s="552">
        <f>Quarts!K244</f>
        <v>150.21499999999997</v>
      </c>
      <c r="D253" s="552">
        <f>Quarts!M244</f>
        <v>303.31299999999999</v>
      </c>
      <c r="E253" s="552" t="e">
        <f>Quarts!#REF!</f>
        <v>#REF!</v>
      </c>
      <c r="F253" s="552" t="e">
        <f>Quarts!#REF!</f>
        <v>#REF!</v>
      </c>
      <c r="G253" s="552" t="e">
        <f>Quarts!#REF!</f>
        <v>#REF!</v>
      </c>
      <c r="H253" s="552" t="e">
        <f>Quarts!#REF!</f>
        <v>#REF!</v>
      </c>
      <c r="I253" s="552"/>
      <c r="J253" s="552"/>
      <c r="K253" s="552" t="e">
        <f>Quarts!#REF!</f>
        <v>#REF!</v>
      </c>
      <c r="L253" s="552" t="e">
        <f>Quarts!T244</f>
        <v>#REF!</v>
      </c>
      <c r="M253" s="552" t="e">
        <f>Quarts!U244</f>
        <v>#REF!</v>
      </c>
    </row>
    <row r="254" spans="2:13" x14ac:dyDescent="0.5">
      <c r="B254" s="551" t="s">
        <v>557</v>
      </c>
      <c r="C254" s="552">
        <f>Quarts!K245</f>
        <v>-41.706999999999972</v>
      </c>
      <c r="D254" s="552">
        <f>Quarts!M245</f>
        <v>-133.25700000000001</v>
      </c>
      <c r="E254" s="552" t="e">
        <f>Quarts!#REF!</f>
        <v>#REF!</v>
      </c>
      <c r="F254" s="552" t="e">
        <f>Quarts!#REF!</f>
        <v>#REF!</v>
      </c>
      <c r="G254" s="552" t="e">
        <f>Quarts!#REF!</f>
        <v>#REF!</v>
      </c>
      <c r="H254" s="552" t="e">
        <f>Quarts!#REF!</f>
        <v>#REF!</v>
      </c>
      <c r="I254" s="552"/>
      <c r="J254" s="552"/>
      <c r="K254" s="552" t="e">
        <f>Quarts!#REF!</f>
        <v>#REF!</v>
      </c>
      <c r="L254" s="552" t="e">
        <f>Quarts!T245</f>
        <v>#REF!</v>
      </c>
      <c r="M254" s="552" t="e">
        <f>Quarts!U245</f>
        <v>#REF!</v>
      </c>
    </row>
    <row r="255" spans="2:13" x14ac:dyDescent="0.5">
      <c r="B255" s="553" t="s">
        <v>1042</v>
      </c>
      <c r="C255" s="554">
        <f>Quarts!K246</f>
        <v>108.50800000000001</v>
      </c>
      <c r="D255" s="554">
        <f>Quarts!M246</f>
        <v>170.05599999999998</v>
      </c>
      <c r="E255" s="554" t="e">
        <f>Quarts!#REF!</f>
        <v>#REF!</v>
      </c>
      <c r="F255" s="554" t="e">
        <f>Quarts!#REF!</f>
        <v>#REF!</v>
      </c>
      <c r="G255" s="554" t="e">
        <f>Quarts!#REF!</f>
        <v>#REF!</v>
      </c>
      <c r="H255" s="554" t="e">
        <f>Quarts!#REF!</f>
        <v>#REF!</v>
      </c>
      <c r="I255" s="554"/>
      <c r="J255" s="554"/>
      <c r="K255" s="554" t="e">
        <f>Quarts!#REF!</f>
        <v>#REF!</v>
      </c>
      <c r="L255" s="554" t="e">
        <f>Quarts!T246</f>
        <v>#REF!</v>
      </c>
      <c r="M255" s="554" t="e">
        <f>Quarts!U246</f>
        <v>#REF!</v>
      </c>
    </row>
    <row r="256" spans="2:13" x14ac:dyDescent="0.5">
      <c r="B256" s="551" t="s">
        <v>559</v>
      </c>
      <c r="C256" s="552">
        <f>Quarts!K247</f>
        <v>-4.4150000000000009</v>
      </c>
      <c r="D256" s="552">
        <f>Quarts!M247</f>
        <v>-3.5449999999999999</v>
      </c>
      <c r="E256" s="552" t="e">
        <f>Quarts!#REF!</f>
        <v>#REF!</v>
      </c>
      <c r="F256" s="552" t="e">
        <f>Quarts!#REF!</f>
        <v>#REF!</v>
      </c>
      <c r="G256" s="552" t="e">
        <f>Quarts!#REF!</f>
        <v>#REF!</v>
      </c>
      <c r="H256" s="552" t="e">
        <f>Quarts!#REF!</f>
        <v>#REF!</v>
      </c>
      <c r="I256" s="552"/>
      <c r="J256" s="552"/>
      <c r="K256" s="552" t="e">
        <f>Quarts!#REF!</f>
        <v>#REF!</v>
      </c>
      <c r="L256" s="552">
        <f>Quarts!T247</f>
        <v>-4</v>
      </c>
      <c r="M256" s="552">
        <f>Quarts!U247</f>
        <v>-4</v>
      </c>
    </row>
    <row r="257" spans="2:13" x14ac:dyDescent="0.5">
      <c r="B257" s="550" t="s">
        <v>106</v>
      </c>
      <c r="C257" s="554">
        <f>Quarts!K248</f>
        <v>104.09299999999999</v>
      </c>
      <c r="D257" s="554">
        <f>Quarts!M248</f>
        <v>166.511</v>
      </c>
      <c r="E257" s="554" t="e">
        <f>Quarts!#REF!</f>
        <v>#REF!</v>
      </c>
      <c r="F257" s="554" t="e">
        <f>Quarts!#REF!</f>
        <v>#REF!</v>
      </c>
      <c r="G257" s="554" t="e">
        <f>Quarts!#REF!</f>
        <v>#REF!</v>
      </c>
      <c r="H257" s="554" t="e">
        <f>Quarts!#REF!</f>
        <v>#REF!</v>
      </c>
      <c r="I257" s="554"/>
      <c r="J257" s="554"/>
      <c r="K257" s="554" t="e">
        <f>Quarts!#REF!</f>
        <v>#REF!</v>
      </c>
      <c r="L257" s="554" t="e">
        <f>Quarts!T248</f>
        <v>#REF!</v>
      </c>
      <c r="M257" s="554" t="e">
        <f>Quarts!U248</f>
        <v>#REF!</v>
      </c>
    </row>
    <row r="258" spans="2:13" x14ac:dyDescent="0.5">
      <c r="B258" s="553"/>
      <c r="C258" s="834"/>
      <c r="D258" s="834"/>
      <c r="E258" s="834"/>
      <c r="F258" s="834"/>
      <c r="G258" s="834"/>
      <c r="H258" s="834"/>
      <c r="I258" s="834"/>
      <c r="J258" s="834"/>
      <c r="K258" s="834"/>
      <c r="L258" s="834"/>
      <c r="M258" s="834"/>
    </row>
    <row r="259" spans="2:13" x14ac:dyDescent="0.5">
      <c r="B259" s="550" t="s">
        <v>218</v>
      </c>
      <c r="C259" s="554"/>
      <c r="D259" s="554"/>
      <c r="E259" s="554"/>
      <c r="F259" s="554"/>
      <c r="G259" s="554"/>
      <c r="H259" s="554"/>
      <c r="I259" s="554"/>
      <c r="J259" s="554"/>
      <c r="K259" s="554"/>
      <c r="L259" s="554"/>
      <c r="M259" s="554"/>
    </row>
    <row r="260" spans="2:13" x14ac:dyDescent="0.5">
      <c r="B260" s="551" t="s">
        <v>556</v>
      </c>
      <c r="C260" s="555">
        <f>Quarts!K251</f>
        <v>113.989</v>
      </c>
      <c r="D260" s="555">
        <f>Quarts!M251</f>
        <v>181.959</v>
      </c>
      <c r="E260" s="555" t="e">
        <f>Quarts!#REF!</f>
        <v>#REF!</v>
      </c>
      <c r="F260" s="555" t="e">
        <f>Quarts!#REF!</f>
        <v>#REF!</v>
      </c>
      <c r="G260" s="555" t="e">
        <f>Quarts!#REF!</f>
        <v>#REF!</v>
      </c>
      <c r="H260" s="555" t="e">
        <f>Quarts!#REF!</f>
        <v>#REF!</v>
      </c>
      <c r="I260" s="555"/>
      <c r="J260" s="555"/>
      <c r="K260" s="555" t="e">
        <f>Quarts!#REF!</f>
        <v>#REF!</v>
      </c>
      <c r="L260" s="555" t="e">
        <f>Quarts!T251</f>
        <v>#REF!</v>
      </c>
      <c r="M260" s="555" t="e">
        <f>Quarts!U251</f>
        <v>#REF!</v>
      </c>
    </row>
    <row r="261" spans="2:13" x14ac:dyDescent="0.5">
      <c r="B261" s="551" t="s">
        <v>557</v>
      </c>
      <c r="C261" s="555">
        <f>Quarts!K252</f>
        <v>-18.221999999999998</v>
      </c>
      <c r="D261" s="555">
        <f>Quarts!M252</f>
        <v>-72.525999999999996</v>
      </c>
      <c r="E261" s="555" t="e">
        <f>Quarts!#REF!</f>
        <v>#REF!</v>
      </c>
      <c r="F261" s="555" t="e">
        <f>Quarts!#REF!</f>
        <v>#REF!</v>
      </c>
      <c r="G261" s="555" t="e">
        <f>Quarts!#REF!</f>
        <v>#REF!</v>
      </c>
      <c r="H261" s="555" t="e">
        <f>Quarts!#REF!</f>
        <v>#REF!</v>
      </c>
      <c r="I261" s="555"/>
      <c r="J261" s="555"/>
      <c r="K261" s="555" t="e">
        <f>Quarts!#REF!</f>
        <v>#REF!</v>
      </c>
      <c r="L261" s="555" t="e">
        <f>Quarts!T252</f>
        <v>#REF!</v>
      </c>
      <c r="M261" s="555" t="e">
        <f>Quarts!U252</f>
        <v>#REF!</v>
      </c>
    </row>
    <row r="262" spans="2:13" x14ac:dyDescent="0.5">
      <c r="B262" s="553" t="s">
        <v>1042</v>
      </c>
      <c r="C262" s="555">
        <f>Quarts!K253</f>
        <v>95.767000000000024</v>
      </c>
      <c r="D262" s="555">
        <f>Quarts!M253</f>
        <v>109.43300000000001</v>
      </c>
      <c r="E262" s="555" t="e">
        <f>Quarts!#REF!</f>
        <v>#REF!</v>
      </c>
      <c r="F262" s="555" t="e">
        <f>Quarts!#REF!</f>
        <v>#REF!</v>
      </c>
      <c r="G262" s="555" t="e">
        <f>Quarts!#REF!</f>
        <v>#REF!</v>
      </c>
      <c r="H262" s="555" t="e">
        <f>Quarts!#REF!</f>
        <v>#REF!</v>
      </c>
      <c r="I262" s="555"/>
      <c r="J262" s="555"/>
      <c r="K262" s="555" t="e">
        <f>Quarts!#REF!</f>
        <v>#REF!</v>
      </c>
      <c r="L262" s="555" t="e">
        <f>Quarts!T253</f>
        <v>#REF!</v>
      </c>
      <c r="M262" s="555" t="e">
        <f>Quarts!U253</f>
        <v>#REF!</v>
      </c>
    </row>
    <row r="263" spans="2:13" x14ac:dyDescent="0.5">
      <c r="B263" s="551" t="s">
        <v>559</v>
      </c>
      <c r="C263" s="556">
        <f>Quarts!K254</f>
        <v>-0.18400000000000005</v>
      </c>
      <c r="D263" s="556">
        <f>Quarts!M254</f>
        <v>-0.222</v>
      </c>
      <c r="E263" s="556" t="e">
        <f>Quarts!#REF!</f>
        <v>#REF!</v>
      </c>
      <c r="F263" s="556" t="e">
        <f>Quarts!#REF!</f>
        <v>#REF!</v>
      </c>
      <c r="G263" s="556" t="e">
        <f>Quarts!#REF!</f>
        <v>#REF!</v>
      </c>
      <c r="H263" s="556" t="e">
        <f>Quarts!#REF!</f>
        <v>#REF!</v>
      </c>
      <c r="I263" s="556"/>
      <c r="J263" s="556"/>
      <c r="K263" s="556" t="e">
        <f>Quarts!#REF!</f>
        <v>#REF!</v>
      </c>
      <c r="L263" s="556">
        <f>Quarts!T254</f>
        <v>0</v>
      </c>
      <c r="M263" s="556">
        <f>Quarts!U254</f>
        <v>0</v>
      </c>
    </row>
    <row r="264" spans="2:13" x14ac:dyDescent="0.5">
      <c r="B264" s="550" t="s">
        <v>1055</v>
      </c>
      <c r="C264" s="556">
        <f>Quarts!K255</f>
        <v>95.583000000000027</v>
      </c>
      <c r="D264" s="556">
        <f>Quarts!M255</f>
        <v>109.21100000000001</v>
      </c>
      <c r="E264" s="556" t="e">
        <f>Quarts!#REF!</f>
        <v>#REF!</v>
      </c>
      <c r="F264" s="556" t="e">
        <f>Quarts!#REF!</f>
        <v>#REF!</v>
      </c>
      <c r="G264" s="556" t="e">
        <f>Quarts!#REF!</f>
        <v>#REF!</v>
      </c>
      <c r="H264" s="556" t="e">
        <f>Quarts!#REF!</f>
        <v>#REF!</v>
      </c>
      <c r="I264" s="556"/>
      <c r="J264" s="556"/>
      <c r="K264" s="556" t="e">
        <f>Quarts!#REF!</f>
        <v>#REF!</v>
      </c>
      <c r="L264" s="556" t="e">
        <f>Quarts!T255</f>
        <v>#REF!</v>
      </c>
      <c r="M264" s="556" t="e">
        <f>Quarts!U255</f>
        <v>#REF!</v>
      </c>
    </row>
    <row r="265" spans="2:13" x14ac:dyDescent="0.5">
      <c r="B265" s="551"/>
      <c r="C265" s="556"/>
      <c r="D265" s="556"/>
      <c r="E265" s="556"/>
      <c r="F265" s="556"/>
      <c r="G265" s="556"/>
      <c r="H265" s="556"/>
      <c r="I265" s="556"/>
      <c r="J265" s="556"/>
      <c r="K265" s="556"/>
      <c r="L265" s="556"/>
      <c r="M265" s="556"/>
    </row>
    <row r="266" spans="2:13" x14ac:dyDescent="0.5">
      <c r="B266" s="550" t="s">
        <v>1056</v>
      </c>
      <c r="C266" s="840">
        <f>Quarts!K257</f>
        <v>-199.63400000000001</v>
      </c>
      <c r="D266" s="840">
        <f>Quarts!M257</f>
        <v>-275.72199999999998</v>
      </c>
      <c r="E266" s="840" t="e">
        <f>Quarts!#REF!</f>
        <v>#REF!</v>
      </c>
      <c r="F266" s="840" t="e">
        <f>Quarts!#REF!</f>
        <v>#REF!</v>
      </c>
      <c r="G266" s="840" t="e">
        <f>Quarts!#REF!</f>
        <v>#REF!</v>
      </c>
      <c r="H266" s="840" t="e">
        <f>Quarts!#REF!</f>
        <v>#REF!</v>
      </c>
      <c r="I266" s="840"/>
      <c r="J266" s="840"/>
      <c r="K266" s="840" t="e">
        <f>Quarts!#REF!</f>
        <v>#REF!</v>
      </c>
      <c r="L266" s="840" t="e">
        <f>Quarts!T257</f>
        <v>#REF!</v>
      </c>
      <c r="M266" s="840" t="e">
        <f>Quarts!U257</f>
        <v>#REF!</v>
      </c>
    </row>
    <row r="267" spans="2:13" x14ac:dyDescent="0.5">
      <c r="B267" s="551"/>
      <c r="C267" s="556"/>
      <c r="D267" s="556"/>
      <c r="E267" s="556"/>
      <c r="F267" s="556"/>
      <c r="G267" s="556"/>
      <c r="H267" s="556"/>
      <c r="I267" s="556"/>
      <c r="J267" s="556"/>
      <c r="K267" s="556"/>
      <c r="L267" s="556"/>
      <c r="M267" s="556"/>
    </row>
    <row r="268" spans="2:13" x14ac:dyDescent="0.5">
      <c r="B268" s="550" t="s">
        <v>1057</v>
      </c>
      <c r="C268" s="836">
        <f>G63</f>
        <v>0.13495024092644192</v>
      </c>
      <c r="D268" s="836">
        <f>H63</f>
        <v>0.12501693227622274</v>
      </c>
      <c r="E268" s="836">
        <f>I63</f>
        <v>0.15091224652287569</v>
      </c>
      <c r="F268" s="836">
        <f>J63</f>
        <v>0.15945748783220995</v>
      </c>
      <c r="G268" s="836" t="e">
        <f>N63</f>
        <v>#REF!</v>
      </c>
      <c r="H268" s="836" t="e">
        <f>O63</f>
        <v>#REF!</v>
      </c>
      <c r="I268" s="836"/>
      <c r="J268" s="836"/>
      <c r="K268" s="836" t="e">
        <f>P63</f>
        <v>#REF!</v>
      </c>
      <c r="L268" s="836">
        <f>Q63</f>
        <v>0.16941770267182188</v>
      </c>
      <c r="M268" s="836">
        <f>R63</f>
        <v>0.17159161446171187</v>
      </c>
    </row>
    <row r="269" spans="2:13" x14ac:dyDescent="0.5">
      <c r="B269" s="551"/>
      <c r="C269" s="556"/>
      <c r="D269" s="556"/>
      <c r="E269" s="556"/>
      <c r="F269" s="556"/>
      <c r="G269" s="556"/>
      <c r="H269" s="556"/>
      <c r="I269" s="556"/>
      <c r="J269" s="556"/>
      <c r="K269" s="556"/>
      <c r="L269" s="556"/>
      <c r="M269" s="556"/>
    </row>
    <row r="270" spans="2:13" x14ac:dyDescent="0.5">
      <c r="B270" s="823" t="s">
        <v>708</v>
      </c>
      <c r="C270" s="841">
        <f>G62</f>
        <v>0.3567742239833947</v>
      </c>
      <c r="D270" s="841">
        <f>H62</f>
        <v>0.33523887254393481</v>
      </c>
      <c r="E270" s="841">
        <f>I62</f>
        <v>0.31405083619783325</v>
      </c>
      <c r="F270" s="841">
        <f>J62</f>
        <v>0.32672737011247999</v>
      </c>
      <c r="G270" s="841" t="e">
        <f>N62</f>
        <v>#REF!</v>
      </c>
      <c r="H270" s="841" t="e">
        <f>O62</f>
        <v>#REF!</v>
      </c>
      <c r="I270" s="841"/>
      <c r="J270" s="841"/>
      <c r="K270" s="841" t="e">
        <f>P62</f>
        <v>#REF!</v>
      </c>
      <c r="L270" s="841">
        <f>Q62</f>
        <v>0.39995613011790343</v>
      </c>
      <c r="M270" s="841">
        <f>R62</f>
        <v>0.42269980051740069</v>
      </c>
    </row>
    <row r="275" spans="2:35" ht="14.4" x14ac:dyDescent="0.55000000000000004">
      <c r="B275" s="81" t="s">
        <v>522</v>
      </c>
      <c r="C275" s="852" t="s">
        <v>693</v>
      </c>
      <c r="D275" s="852" t="s">
        <v>694</v>
      </c>
      <c r="E275" s="852" t="s">
        <v>695</v>
      </c>
      <c r="F275" s="852" t="s">
        <v>561</v>
      </c>
      <c r="G275" s="852" t="s">
        <v>674</v>
      </c>
      <c r="H275" s="852" t="s">
        <v>375</v>
      </c>
      <c r="I275" s="852"/>
      <c r="J275" s="852"/>
      <c r="K275" s="852" t="s">
        <v>376</v>
      </c>
      <c r="L275" s="852" t="s">
        <v>377</v>
      </c>
      <c r="M275" s="852" t="s">
        <v>672</v>
      </c>
      <c r="N275" s="853" t="s">
        <v>870</v>
      </c>
      <c r="O275" s="854" t="s">
        <v>1010</v>
      </c>
    </row>
    <row r="276" spans="2:35" x14ac:dyDescent="0.5">
      <c r="B276" s="79" t="s">
        <v>1109</v>
      </c>
      <c r="C276" s="373">
        <v>4.2999999999999997E-2</v>
      </c>
      <c r="D276" s="373">
        <v>4.8000000000000001E-2</v>
      </c>
      <c r="E276" s="373">
        <v>5.9342254479473798E-2</v>
      </c>
      <c r="F276" s="373">
        <v>5.0506029842610892E-2</v>
      </c>
      <c r="G276" s="373">
        <v>3.4670244701173483E-2</v>
      </c>
      <c r="H276" s="373">
        <v>2.7E-2</v>
      </c>
      <c r="I276" s="373"/>
      <c r="J276" s="373"/>
      <c r="K276" s="373">
        <v>2.7819913807022121E-2</v>
      </c>
      <c r="L276" s="373">
        <v>3.2867885160314525E-2</v>
      </c>
      <c r="M276" s="373">
        <v>3.3895675197317766E-2</v>
      </c>
      <c r="N276" s="373">
        <v>3.6528016301340428E-2</v>
      </c>
      <c r="O276" s="373">
        <v>4.1961635862948952E-2</v>
      </c>
    </row>
    <row r="277" spans="2:35" x14ac:dyDescent="0.5">
      <c r="B277" s="79" t="s">
        <v>1110</v>
      </c>
      <c r="C277" s="373">
        <v>4.3000000000000031E-2</v>
      </c>
      <c r="D277" s="373">
        <v>4.7999999999999952E-2</v>
      </c>
      <c r="E277" s="373">
        <v>9.2497164889997735E-2</v>
      </c>
      <c r="F277" s="373">
        <v>7.5405532465762468E-2</v>
      </c>
      <c r="G277" s="373">
        <v>5.1292185936504746E-2</v>
      </c>
      <c r="H277" s="373">
        <v>2.699999999999993E-2</v>
      </c>
      <c r="I277" s="373"/>
      <c r="J277" s="373"/>
      <c r="K277" s="373">
        <v>3.6897499906851955E-2</v>
      </c>
      <c r="L277" s="373">
        <v>3.9527384217287867E-2</v>
      </c>
      <c r="M277" s="373">
        <v>3.9154364733900215E-2</v>
      </c>
      <c r="N277" s="373">
        <v>6.0319249773773606E-2</v>
      </c>
      <c r="O277" s="373">
        <v>9.4302349502301139E-2</v>
      </c>
    </row>
    <row r="278" spans="2:35" x14ac:dyDescent="0.5">
      <c r="B278" s="79" t="s">
        <v>1111</v>
      </c>
      <c r="C278" s="373">
        <f>Quarts!C333</f>
        <v>4.4999999999999998E-2</v>
      </c>
      <c r="D278" s="373">
        <f>Quarts!D333</f>
        <v>0.05</v>
      </c>
      <c r="E278" s="373">
        <f>Quarts!E333</f>
        <v>6.1999999999999986E-2</v>
      </c>
      <c r="F278" s="373">
        <f>Quarts!F333</f>
        <v>5.349397015738911E-2</v>
      </c>
      <c r="G278" s="373">
        <f>Quarts!G333</f>
        <v>3.9974781033685014E-2</v>
      </c>
      <c r="H278" s="373">
        <f>Quarts!H333</f>
        <v>3.1274352037559489E-2</v>
      </c>
      <c r="I278" s="373"/>
      <c r="J278" s="373"/>
      <c r="K278" s="373">
        <f>Quarts!I333</f>
        <v>3.2371911755959271E-2</v>
      </c>
      <c r="L278" s="373">
        <f>Quarts!J333</f>
        <v>3.6523872583593624E-2</v>
      </c>
      <c r="M278" s="373">
        <f>Quarts!K333</f>
        <v>3.6515835619399965E-2</v>
      </c>
      <c r="N278" s="373">
        <f>Quarts!M333</f>
        <v>3.9382025121960311E-2</v>
      </c>
      <c r="O278" s="373">
        <f>Quarts!N333</f>
        <v>4.4307573378263666E-2</v>
      </c>
    </row>
    <row r="279" spans="2:35" x14ac:dyDescent="0.5">
      <c r="B279" s="79" t="s">
        <v>1112</v>
      </c>
      <c r="C279" s="373">
        <f>Quarts!C334</f>
        <v>4.4999999999999998E-2</v>
      </c>
      <c r="D279" s="373">
        <f>Quarts!D334</f>
        <v>4.999999999999992E-2</v>
      </c>
      <c r="E279" s="373">
        <f>Quarts!E334</f>
        <v>6.2000000000000437E-2</v>
      </c>
      <c r="F279" s="373">
        <f>Quarts!F334</f>
        <v>2.8594467534237313E-2</v>
      </c>
      <c r="G279" s="373">
        <f>Quarts!G334</f>
        <v>-9.1609056918582274E-3</v>
      </c>
      <c r="H279" s="373">
        <f>Quarts!H334</f>
        <v>1.7445117261543554E-2</v>
      </c>
      <c r="I279" s="373"/>
      <c r="J279" s="373"/>
      <c r="K279" s="373">
        <f>Quarts!I334</f>
        <v>1.362499434695036E-2</v>
      </c>
      <c r="L279" s="373">
        <f>Quarts!J334</f>
        <v>1.0117081456105258E-2</v>
      </c>
      <c r="M279" s="373">
        <f>Quarts!K334</f>
        <v>1.0514162914611182E-2</v>
      </c>
      <c r="N279" s="373">
        <f>Quarts!M334</f>
        <v>2.0125324319147073E-2</v>
      </c>
      <c r="O279" s="373">
        <f>Quarts!N334</f>
        <v>2.8803753918062593E-2</v>
      </c>
    </row>
    <row r="281" spans="2:35" x14ac:dyDescent="0.5">
      <c r="B281" s="79" t="s">
        <v>1121</v>
      </c>
      <c r="C281" s="373">
        <f>Quarts!C323</f>
        <v>4.4999999999999998E-2</v>
      </c>
      <c r="D281" s="373">
        <f>Quarts!D323</f>
        <v>0.05</v>
      </c>
      <c r="E281" s="373">
        <f>Quarts!E323</f>
        <v>6.2E-2</v>
      </c>
      <c r="F281" s="373">
        <f>Quarts!F323</f>
        <v>5.1999999999999998E-2</v>
      </c>
      <c r="G281" s="373">
        <f>Quarts!G323</f>
        <v>3.6999999999999998E-2</v>
      </c>
      <c r="H281" s="373">
        <f>Quarts!H323</f>
        <v>0.03</v>
      </c>
      <c r="I281" s="373"/>
      <c r="J281" s="373"/>
      <c r="K281" s="373">
        <f>Quarts!I323</f>
        <v>0.03</v>
      </c>
      <c r="L281" s="373">
        <f>Quarts!J323</f>
        <v>3.2000000000000001E-2</v>
      </c>
      <c r="M281" s="373">
        <f>Quarts!K323</f>
        <v>3.1E-2</v>
      </c>
      <c r="N281" s="373">
        <f>Quarts!M323</f>
        <v>3.5000000000000003E-2</v>
      </c>
      <c r="O281" s="373">
        <f>Quarts!N323</f>
        <v>4.1000000000000002E-2</v>
      </c>
      <c r="AD281" s="814" t="s">
        <v>1065</v>
      </c>
      <c r="AE281" s="842" t="s">
        <v>1066</v>
      </c>
      <c r="AF281" s="842" t="s">
        <v>1065</v>
      </c>
      <c r="AG281" s="842" t="s">
        <v>1066</v>
      </c>
      <c r="AH281" s="842" t="s">
        <v>1065</v>
      </c>
      <c r="AI281" s="842" t="s">
        <v>1066</v>
      </c>
    </row>
    <row r="282" spans="2:35" x14ac:dyDescent="0.5">
      <c r="B282" s="79" t="s">
        <v>1122</v>
      </c>
      <c r="C282" s="373">
        <v>4.2999999999999997E-2</v>
      </c>
      <c r="D282" s="373">
        <v>4.8000000000000001E-2</v>
      </c>
      <c r="E282" s="373">
        <v>6.0999999999999999E-2</v>
      </c>
      <c r="F282" s="373">
        <v>5.1999999999999998E-2</v>
      </c>
      <c r="G282" s="373">
        <v>3.5999999999999997E-2</v>
      </c>
      <c r="H282" s="373">
        <v>2.7E-2</v>
      </c>
      <c r="I282" s="373"/>
      <c r="J282" s="373"/>
      <c r="K282" s="373">
        <v>2.9000000000000001E-2</v>
      </c>
      <c r="L282" s="373">
        <v>3.4000000000000002E-2</v>
      </c>
      <c r="M282" s="373">
        <v>3.5000000000000003E-2</v>
      </c>
      <c r="N282" s="373">
        <v>4.2000000000000003E-2</v>
      </c>
      <c r="O282" s="373">
        <v>5.3999999999999999E-2</v>
      </c>
      <c r="AD282" s="843">
        <v>1</v>
      </c>
      <c r="AE282" s="844">
        <v>0.96</v>
      </c>
      <c r="AF282" s="843">
        <v>11</v>
      </c>
      <c r="AG282" s="844">
        <v>0.63</v>
      </c>
      <c r="AH282" s="843">
        <v>21</v>
      </c>
      <c r="AI282" s="844">
        <v>0.3</v>
      </c>
    </row>
    <row r="283" spans="2:35" x14ac:dyDescent="0.5">
      <c r="AD283" s="843">
        <v>2</v>
      </c>
      <c r="AE283" s="844">
        <v>0.93</v>
      </c>
      <c r="AF283" s="843">
        <v>12</v>
      </c>
      <c r="AG283" s="844">
        <v>0.6</v>
      </c>
      <c r="AH283" s="843">
        <v>22</v>
      </c>
      <c r="AI283" s="844">
        <v>0.26</v>
      </c>
    </row>
    <row r="284" spans="2:35" x14ac:dyDescent="0.5">
      <c r="AD284" s="843">
        <v>3</v>
      </c>
      <c r="AE284" s="844">
        <v>0.9</v>
      </c>
      <c r="AF284" s="843">
        <v>13</v>
      </c>
      <c r="AG284" s="844">
        <v>0.56000000000000005</v>
      </c>
      <c r="AH284" s="843">
        <v>23</v>
      </c>
      <c r="AI284" s="844">
        <v>0.23</v>
      </c>
    </row>
    <row r="285" spans="2:35" x14ac:dyDescent="0.5">
      <c r="AD285" s="843">
        <v>4</v>
      </c>
      <c r="AE285" s="844">
        <f>AE284-4%</f>
        <v>0.86</v>
      </c>
      <c r="AF285" s="843">
        <v>14</v>
      </c>
      <c r="AG285" s="844">
        <v>0.53</v>
      </c>
      <c r="AH285" s="843">
        <v>24</v>
      </c>
      <c r="AI285" s="844">
        <v>0.2</v>
      </c>
    </row>
    <row r="286" spans="2:35" x14ac:dyDescent="0.5">
      <c r="AD286" s="843">
        <v>5</v>
      </c>
      <c r="AE286" s="844">
        <v>0.83</v>
      </c>
      <c r="AF286" s="843">
        <v>15</v>
      </c>
      <c r="AG286" s="844">
        <v>0.5</v>
      </c>
      <c r="AH286" s="843">
        <v>25</v>
      </c>
      <c r="AI286" s="844">
        <v>0.16</v>
      </c>
    </row>
    <row r="287" spans="2:35" x14ac:dyDescent="0.5">
      <c r="AD287" s="843">
        <v>6</v>
      </c>
      <c r="AE287" s="844">
        <v>0.8</v>
      </c>
      <c r="AF287" s="843">
        <v>16</v>
      </c>
      <c r="AG287" s="844">
        <v>0.46</v>
      </c>
      <c r="AH287" s="843">
        <v>26</v>
      </c>
      <c r="AI287" s="844">
        <v>0.13</v>
      </c>
    </row>
    <row r="288" spans="2:35" x14ac:dyDescent="0.5">
      <c r="AD288" s="843">
        <v>7</v>
      </c>
      <c r="AE288" s="844">
        <f>AE287-4%</f>
        <v>0.76</v>
      </c>
      <c r="AF288" s="843">
        <v>17</v>
      </c>
      <c r="AG288" s="844">
        <v>0.43</v>
      </c>
      <c r="AH288" s="843">
        <v>27</v>
      </c>
      <c r="AI288" s="844">
        <v>0.1</v>
      </c>
    </row>
    <row r="289" spans="30:35" x14ac:dyDescent="0.5">
      <c r="AD289" s="843">
        <v>8</v>
      </c>
      <c r="AE289" s="844">
        <v>0.73</v>
      </c>
      <c r="AF289" s="843">
        <v>18</v>
      </c>
      <c r="AG289" s="844">
        <v>0.4</v>
      </c>
      <c r="AH289" s="843">
        <v>28</v>
      </c>
      <c r="AI289" s="844">
        <v>0.06</v>
      </c>
    </row>
    <row r="290" spans="30:35" x14ac:dyDescent="0.5">
      <c r="AD290" s="843">
        <v>9</v>
      </c>
      <c r="AE290" s="844">
        <v>0.7</v>
      </c>
      <c r="AF290" s="843">
        <v>19</v>
      </c>
      <c r="AG290" s="844">
        <v>0.36</v>
      </c>
      <c r="AH290" s="843">
        <v>29</v>
      </c>
      <c r="AI290" s="844">
        <v>0.03</v>
      </c>
    </row>
    <row r="291" spans="30:35" x14ac:dyDescent="0.5">
      <c r="AD291" s="845">
        <v>10</v>
      </c>
      <c r="AE291" s="846">
        <f>AE290-4%</f>
        <v>0.65999999999999992</v>
      </c>
      <c r="AF291" s="845">
        <v>20</v>
      </c>
      <c r="AG291" s="846">
        <v>0.33</v>
      </c>
      <c r="AH291" s="845">
        <v>30</v>
      </c>
      <c r="AI291" s="846">
        <v>0</v>
      </c>
    </row>
    <row r="307" spans="2:24" ht="15.6" x14ac:dyDescent="0.6">
      <c r="B307" s="502" t="s">
        <v>1182</v>
      </c>
      <c r="C307"/>
      <c r="D307"/>
      <c r="E307"/>
      <c r="F307"/>
      <c r="G307"/>
      <c r="H307"/>
      <c r="I307"/>
      <c r="J307"/>
      <c r="K307"/>
      <c r="L307"/>
      <c r="M307"/>
      <c r="N307"/>
      <c r="O307"/>
      <c r="P307"/>
      <c r="Q307"/>
      <c r="R307"/>
      <c r="S307"/>
      <c r="T307"/>
      <c r="U307"/>
      <c r="V307"/>
      <c r="W307"/>
      <c r="X307"/>
    </row>
    <row r="308" spans="2:24" ht="15.6" x14ac:dyDescent="0.6">
      <c r="B308"/>
      <c r="C308"/>
      <c r="D308"/>
      <c r="E308"/>
      <c r="F308"/>
      <c r="G308"/>
      <c r="H308"/>
      <c r="I308"/>
      <c r="J308"/>
      <c r="K308"/>
      <c r="L308"/>
      <c r="M308"/>
      <c r="N308"/>
      <c r="O308"/>
      <c r="P308"/>
      <c r="Q308"/>
      <c r="R308"/>
      <c r="S308"/>
      <c r="T308"/>
      <c r="U308"/>
      <c r="V308"/>
      <c r="W308"/>
      <c r="X308"/>
    </row>
    <row r="309" spans="2:24" ht="15.6" x14ac:dyDescent="0.6">
      <c r="B309" t="s">
        <v>1169</v>
      </c>
      <c r="C309"/>
      <c r="D309"/>
      <c r="E309"/>
      <c r="F309"/>
      <c r="G309"/>
      <c r="H309"/>
      <c r="I309"/>
      <c r="J309"/>
      <c r="K309"/>
      <c r="L309"/>
      <c r="M309"/>
      <c r="N309"/>
      <c r="O309"/>
      <c r="P309"/>
      <c r="Q309"/>
      <c r="R309"/>
      <c r="S309"/>
      <c r="T309"/>
      <c r="U309"/>
      <c r="V309"/>
      <c r="W309"/>
      <c r="X309"/>
    </row>
    <row r="310" spans="2:24" ht="15.6" x14ac:dyDescent="0.6">
      <c r="B310"/>
      <c r="C310" t="s">
        <v>1168</v>
      </c>
      <c r="D310"/>
      <c r="E310"/>
      <c r="F310"/>
      <c r="G310"/>
      <c r="H310"/>
      <c r="I310"/>
      <c r="J310"/>
      <c r="K310"/>
      <c r="L310"/>
      <c r="M310"/>
      <c r="N310"/>
      <c r="O310"/>
      <c r="P310"/>
      <c r="Q310"/>
      <c r="R310"/>
      <c r="S310"/>
      <c r="T310"/>
      <c r="U310"/>
      <c r="V310"/>
      <c r="W310"/>
      <c r="X310"/>
    </row>
    <row r="311" spans="2:24" ht="15.6" x14ac:dyDescent="0.6">
      <c r="B311"/>
      <c r="C311" t="s">
        <v>1170</v>
      </c>
      <c r="D311"/>
      <c r="E311"/>
      <c r="F311"/>
      <c r="G311"/>
      <c r="H311"/>
      <c r="I311"/>
      <c r="J311"/>
      <c r="K311"/>
      <c r="L311"/>
      <c r="M311"/>
      <c r="N311"/>
      <c r="O311"/>
      <c r="P311"/>
      <c r="Q311"/>
      <c r="R311"/>
      <c r="S311"/>
      <c r="T311"/>
      <c r="U311"/>
      <c r="V311"/>
      <c r="W311"/>
      <c r="X311"/>
    </row>
    <row r="312" spans="2:24" ht="15.6" x14ac:dyDescent="0.6">
      <c r="B312"/>
      <c r="C312" t="s">
        <v>1171</v>
      </c>
      <c r="D312"/>
      <c r="E312"/>
      <c r="F312"/>
      <c r="G312"/>
      <c r="H312"/>
      <c r="I312"/>
      <c r="J312"/>
      <c r="K312"/>
      <c r="L312"/>
      <c r="M312"/>
      <c r="N312"/>
      <c r="O312"/>
      <c r="P312"/>
      <c r="Q312"/>
      <c r="R312"/>
      <c r="S312"/>
      <c r="T312"/>
      <c r="U312"/>
      <c r="V312"/>
      <c r="W312"/>
      <c r="X312"/>
    </row>
    <row r="313" spans="2:24" ht="15.6" x14ac:dyDescent="0.6">
      <c r="B313"/>
      <c r="C313"/>
      <c r="D313"/>
      <c r="E313"/>
      <c r="F313"/>
      <c r="G313"/>
      <c r="H313"/>
      <c r="I313"/>
      <c r="J313"/>
      <c r="K313"/>
      <c r="L313"/>
      <c r="M313"/>
      <c r="N313"/>
      <c r="O313"/>
      <c r="P313"/>
      <c r="Q313"/>
      <c r="R313"/>
      <c r="S313"/>
      <c r="T313"/>
      <c r="U313"/>
      <c r="V313"/>
      <c r="W313"/>
      <c r="X313"/>
    </row>
    <row r="314" spans="2:24" ht="15.6" x14ac:dyDescent="0.6">
      <c r="B314" s="579" t="s">
        <v>156</v>
      </c>
      <c r="C314" s="584" t="s">
        <v>1012</v>
      </c>
      <c r="D314" s="584"/>
      <c r="E314" s="584"/>
      <c r="F314" s="584"/>
      <c r="G314" s="584" t="s">
        <v>1011</v>
      </c>
      <c r="H314" s="584"/>
      <c r="I314" s="584"/>
      <c r="J314" s="584"/>
      <c r="K314" s="584"/>
      <c r="L314" s="584"/>
      <c r="M314" s="584" t="s">
        <v>1010</v>
      </c>
      <c r="N314" s="584"/>
      <c r="O314" s="584"/>
      <c r="P314" s="584"/>
      <c r="Q314" s="584" t="s">
        <v>870</v>
      </c>
      <c r="R314" s="584"/>
      <c r="S314" s="584"/>
      <c r="T314" s="334"/>
      <c r="U314" s="334" t="s">
        <v>672</v>
      </c>
      <c r="V314" s="20"/>
      <c r="W314" s="20"/>
      <c r="X314"/>
    </row>
    <row r="315" spans="2:24" ht="15.6" x14ac:dyDescent="0.6">
      <c r="B315" s="618" t="s">
        <v>106</v>
      </c>
      <c r="C315" s="998" t="s">
        <v>1175</v>
      </c>
      <c r="D315" s="998" t="s">
        <v>1261</v>
      </c>
      <c r="E315" s="998" t="s">
        <v>1176</v>
      </c>
      <c r="F315" s="557"/>
      <c r="G315" s="998" t="s">
        <v>1175</v>
      </c>
      <c r="H315" s="998" t="s">
        <v>1261</v>
      </c>
      <c r="I315" s="998"/>
      <c r="J315" s="998"/>
      <c r="K315" s="998" t="s">
        <v>1176</v>
      </c>
      <c r="L315" s="557"/>
      <c r="M315" s="998" t="s">
        <v>1175</v>
      </c>
      <c r="N315" s="998" t="s">
        <v>1261</v>
      </c>
      <c r="O315" s="998" t="s">
        <v>1176</v>
      </c>
      <c r="P315" s="557"/>
      <c r="Q315" s="998" t="s">
        <v>1175</v>
      </c>
      <c r="R315" s="998" t="s">
        <v>1261</v>
      </c>
      <c r="S315" s="998" t="s">
        <v>1176</v>
      </c>
      <c r="T315"/>
      <c r="U315" s="19" t="s">
        <v>1175</v>
      </c>
      <c r="V315" s="19" t="s">
        <v>1261</v>
      </c>
      <c r="W315" s="19" t="s">
        <v>1176</v>
      </c>
      <c r="X315"/>
    </row>
    <row r="316" spans="2:24" ht="15.6" x14ac:dyDescent="0.6">
      <c r="B316" s="557" t="s">
        <v>1172</v>
      </c>
      <c r="C316" s="573">
        <f>C319-C318-C317</f>
        <v>7769</v>
      </c>
      <c r="D316" s="573">
        <f>D319-D318-D317</f>
        <v>324</v>
      </c>
      <c r="E316" s="616">
        <f>D316/C316</f>
        <v>4.170420903591196E-2</v>
      </c>
      <c r="F316" s="557"/>
      <c r="G316" s="573">
        <f>G319-G318-G317</f>
        <v>6528.2719999999999</v>
      </c>
      <c r="H316" s="573">
        <f>H319-H318-H317</f>
        <v>220.32399999999996</v>
      </c>
      <c r="I316" s="573"/>
      <c r="J316" s="573"/>
      <c r="K316" s="616">
        <f>H316/G316</f>
        <v>3.374920652815936E-2</v>
      </c>
      <c r="L316" s="557"/>
      <c r="M316" s="573">
        <f>M319-M318-M317</f>
        <v>6114.5049999999992</v>
      </c>
      <c r="N316" s="573">
        <f>N319-N318-N317</f>
        <v>211.73299999999998</v>
      </c>
      <c r="O316" s="616">
        <f>N316/M316</f>
        <v>3.4627987057006253E-2</v>
      </c>
      <c r="P316" s="557"/>
      <c r="Q316" s="573">
        <f>Q319-Q318-Q317</f>
        <v>5867.4089999999997</v>
      </c>
      <c r="R316" s="573">
        <f>R319-R318-R317</f>
        <v>179.50899999999999</v>
      </c>
      <c r="S316" s="616">
        <f>R316/Q316</f>
        <v>3.0594253783910411E-2</v>
      </c>
      <c r="T316"/>
      <c r="U316" s="86">
        <f>U319-U318-U317</f>
        <v>4535.1790000000001</v>
      </c>
      <c r="V316" s="86">
        <f>V319-V318-V317</f>
        <v>127.67899999999997</v>
      </c>
      <c r="W316" s="362">
        <f>V316/U316</f>
        <v>2.815302328750419E-2</v>
      </c>
      <c r="X316"/>
    </row>
    <row r="317" spans="2:24" ht="15.6" x14ac:dyDescent="0.6">
      <c r="B317" s="557" t="s">
        <v>1177</v>
      </c>
      <c r="C317" s="573">
        <v>917</v>
      </c>
      <c r="D317" s="557">
        <v>254</v>
      </c>
      <c r="E317" s="616">
        <f>D317/C317</f>
        <v>0.27699018538713194</v>
      </c>
      <c r="F317" s="557"/>
      <c r="G317" s="573">
        <v>831.2</v>
      </c>
      <c r="H317" s="557">
        <v>265</v>
      </c>
      <c r="I317" s="557"/>
      <c r="J317" s="557"/>
      <c r="K317" s="616">
        <f>H317/G317</f>
        <v>0.31881616939364771</v>
      </c>
      <c r="L317" s="557"/>
      <c r="M317" s="573">
        <v>702.76099999999997</v>
      </c>
      <c r="N317" s="572">
        <v>223.07599999999999</v>
      </c>
      <c r="O317" s="616">
        <f>N317/M317</f>
        <v>0.31742797337928541</v>
      </c>
      <c r="P317" s="557"/>
      <c r="Q317" s="573">
        <v>666.1</v>
      </c>
      <c r="R317" s="572">
        <v>201.1</v>
      </c>
      <c r="S317" s="616">
        <f>R317/Q317</f>
        <v>0.30190662062753337</v>
      </c>
      <c r="T317"/>
      <c r="U317" s="86">
        <v>440</v>
      </c>
      <c r="V317" s="83">
        <v>126</v>
      </c>
      <c r="W317" s="362">
        <f>V317/U317</f>
        <v>0.28636363636363638</v>
      </c>
      <c r="X317"/>
    </row>
    <row r="318" spans="2:24" ht="15.6" x14ac:dyDescent="0.6">
      <c r="B318" s="623" t="s">
        <v>1178</v>
      </c>
      <c r="C318" s="999">
        <v>598</v>
      </c>
      <c r="D318" s="623">
        <v>473</v>
      </c>
      <c r="E318" s="617">
        <f>D318/C318</f>
        <v>0.79096989966555187</v>
      </c>
      <c r="F318" s="557"/>
      <c r="G318" s="999">
        <v>452.8</v>
      </c>
      <c r="H318" s="623">
        <v>339</v>
      </c>
      <c r="I318" s="623"/>
      <c r="J318" s="623"/>
      <c r="K318" s="617">
        <f>H318/G318</f>
        <v>0.74867491166077738</v>
      </c>
      <c r="L318" s="557"/>
      <c r="M318" s="999">
        <v>358.55099999999999</v>
      </c>
      <c r="N318" s="613">
        <v>262.53800000000001</v>
      </c>
      <c r="O318" s="617">
        <f>N318/M318</f>
        <v>0.73221940532867014</v>
      </c>
      <c r="P318" s="557"/>
      <c r="Q318" s="999">
        <v>280.89999999999998</v>
      </c>
      <c r="R318" s="613">
        <v>199.8</v>
      </c>
      <c r="S318" s="617">
        <f>R318/Q318</f>
        <v>0.71128515485938071</v>
      </c>
      <c r="T318"/>
      <c r="U318" s="902">
        <v>196</v>
      </c>
      <c r="V318" s="411">
        <v>137</v>
      </c>
      <c r="W318" s="903">
        <f>V318/U318</f>
        <v>0.69897959183673475</v>
      </c>
      <c r="X318"/>
    </row>
    <row r="319" spans="2:24" ht="15.9" thickBot="1" x14ac:dyDescent="0.65">
      <c r="B319" s="557"/>
      <c r="C319" s="573">
        <f>Quarts!P203</f>
        <v>9284</v>
      </c>
      <c r="D319" s="573">
        <f>Quarts!P209</f>
        <v>1051</v>
      </c>
      <c r="E319" s="616">
        <f>D319/C319</f>
        <v>0.11320551486428264</v>
      </c>
      <c r="F319" s="557"/>
      <c r="G319" s="573">
        <f>Quarts!O203</f>
        <v>7812.2719999999999</v>
      </c>
      <c r="H319" s="573">
        <f>Quarts!O209</f>
        <v>824.32399999999996</v>
      </c>
      <c r="I319" s="573"/>
      <c r="J319" s="573"/>
      <c r="K319" s="616">
        <f>H319/G319</f>
        <v>0.10551655139503591</v>
      </c>
      <c r="L319" s="557"/>
      <c r="M319" s="573">
        <f>Quarts!N203</f>
        <v>7175.817</v>
      </c>
      <c r="N319" s="573">
        <f>Quarts!N209</f>
        <v>697.34699999999998</v>
      </c>
      <c r="O319" s="616">
        <f>N319/M319</f>
        <v>9.7180153841715855E-2</v>
      </c>
      <c r="P319" s="557"/>
      <c r="Q319" s="573">
        <f>Quarts!M203</f>
        <v>6814.4089999999997</v>
      </c>
      <c r="R319" s="573">
        <f>Quarts!M209</f>
        <v>580.40899999999999</v>
      </c>
      <c r="S319" s="616">
        <f>R319/Q319</f>
        <v>8.5173783962776528E-2</v>
      </c>
      <c r="T319"/>
      <c r="U319" s="86">
        <f>Quarts!K203</f>
        <v>5171.1790000000001</v>
      </c>
      <c r="V319" s="86">
        <f>Quarts!K209</f>
        <v>390.67899999999997</v>
      </c>
      <c r="W319" s="362">
        <f>V319/U319</f>
        <v>7.5549308968032233E-2</v>
      </c>
      <c r="X319"/>
    </row>
    <row r="320" spans="2:24" ht="15.6" x14ac:dyDescent="0.6">
      <c r="B320" s="1000" t="s">
        <v>1179</v>
      </c>
      <c r="C320" s="1001"/>
      <c r="D320" s="1002">
        <f>D317/C319</f>
        <v>2.7358897027143472E-2</v>
      </c>
      <c r="E320" s="1002"/>
      <c r="F320" s="1003"/>
      <c r="G320" s="1001"/>
      <c r="H320" s="1002">
        <f>H317/G319</f>
        <v>3.3920989950170705E-2</v>
      </c>
      <c r="I320" s="1002"/>
      <c r="J320" s="1002"/>
      <c r="K320" s="1002"/>
      <c r="L320" s="1003"/>
      <c r="M320" s="1001"/>
      <c r="N320" s="1002">
        <f>N317/M319</f>
        <v>3.1087191883516538E-2</v>
      </c>
      <c r="O320" s="1002"/>
      <c r="P320" s="1003"/>
      <c r="Q320" s="1001"/>
      <c r="R320" s="1002">
        <f>R317/Q319</f>
        <v>2.9510996478197889E-2</v>
      </c>
      <c r="S320" s="1002"/>
      <c r="T320" s="907"/>
      <c r="U320" s="906"/>
      <c r="V320" s="908">
        <f>V317/U319</f>
        <v>2.4365816770218165E-2</v>
      </c>
      <c r="W320" s="362"/>
      <c r="X320"/>
    </row>
    <row r="321" spans="2:24" ht="15.9" thickBot="1" x14ac:dyDescent="0.65">
      <c r="B321" s="1004" t="s">
        <v>1180</v>
      </c>
      <c r="C321" s="1005"/>
      <c r="D321" s="1006">
        <f>D318/C319</f>
        <v>5.0947867298578198E-2</v>
      </c>
      <c r="E321" s="1005"/>
      <c r="F321" s="1005"/>
      <c r="G321" s="1005"/>
      <c r="H321" s="1006">
        <f>H318/G319</f>
        <v>4.3393266389086298E-2</v>
      </c>
      <c r="I321" s="1006"/>
      <c r="J321" s="1006"/>
      <c r="K321" s="1005"/>
      <c r="L321" s="1005"/>
      <c r="M321" s="1005"/>
      <c r="N321" s="1006">
        <f>N318/M319</f>
        <v>3.6586496004566448E-2</v>
      </c>
      <c r="O321" s="1005"/>
      <c r="P321" s="1005"/>
      <c r="Q321" s="1005"/>
      <c r="R321" s="1006">
        <f>R318/Q319</f>
        <v>2.932022424835375E-2</v>
      </c>
      <c r="S321" s="1005"/>
      <c r="T321" s="87"/>
      <c r="U321" s="87"/>
      <c r="V321" s="909">
        <f>V318/U319</f>
        <v>2.6492991250157846E-2</v>
      </c>
      <c r="W321"/>
      <c r="X321"/>
    </row>
    <row r="322" spans="2:24" ht="15.6" x14ac:dyDescent="0.6">
      <c r="B322" s="618" t="s">
        <v>1181</v>
      </c>
      <c r="C322" s="618"/>
      <c r="D322" s="620">
        <f>D320+D321</f>
        <v>7.8306764325721673E-2</v>
      </c>
      <c r="E322" s="618"/>
      <c r="F322" s="618"/>
      <c r="G322" s="618"/>
      <c r="H322" s="620">
        <f>H320+H321</f>
        <v>7.7314256339257009E-2</v>
      </c>
      <c r="I322" s="620"/>
      <c r="J322" s="620"/>
      <c r="K322" s="618"/>
      <c r="L322" s="618"/>
      <c r="M322" s="618"/>
      <c r="N322" s="620">
        <f>N320+N321</f>
        <v>6.7673687888082978E-2</v>
      </c>
      <c r="O322" s="618"/>
      <c r="P322" s="618"/>
      <c r="Q322" s="618"/>
      <c r="R322" s="620">
        <f>R320+R321</f>
        <v>5.8831220726551642E-2</v>
      </c>
      <c r="S322" s="618"/>
      <c r="T322" s="20"/>
      <c r="U322" s="20"/>
      <c r="V322" s="368">
        <f>V320+V321</f>
        <v>5.0858808020376012E-2</v>
      </c>
      <c r="W322"/>
      <c r="X322"/>
    </row>
    <row r="323" spans="2:24" ht="15.6" x14ac:dyDescent="0.6">
      <c r="B323" s="557"/>
      <c r="C323" s="557"/>
      <c r="D323" s="557"/>
      <c r="E323" s="557"/>
      <c r="F323" s="557"/>
      <c r="G323" s="557"/>
      <c r="H323" s="557"/>
      <c r="I323" s="557"/>
      <c r="J323" s="557"/>
      <c r="K323" s="557"/>
      <c r="L323" s="557"/>
      <c r="M323" s="557"/>
      <c r="N323" s="557"/>
      <c r="O323" s="557"/>
      <c r="P323" s="557"/>
      <c r="Q323" s="557"/>
      <c r="R323" s="557"/>
      <c r="S323" s="557"/>
      <c r="T323"/>
      <c r="U323"/>
      <c r="V323"/>
      <c r="W323"/>
      <c r="X323"/>
    </row>
    <row r="324" spans="2:24" ht="15.6" x14ac:dyDescent="0.6">
      <c r="B324" s="618" t="s">
        <v>218</v>
      </c>
      <c r="C324" s="998" t="s">
        <v>1175</v>
      </c>
      <c r="D324" s="998" t="s">
        <v>1261</v>
      </c>
      <c r="E324" s="998" t="s">
        <v>1176</v>
      </c>
      <c r="F324" s="557"/>
      <c r="G324" s="998" t="s">
        <v>1175</v>
      </c>
      <c r="H324" s="998" t="s">
        <v>1261</v>
      </c>
      <c r="I324" s="998"/>
      <c r="J324" s="998"/>
      <c r="K324" s="998" t="s">
        <v>1176</v>
      </c>
      <c r="L324" s="557"/>
      <c r="M324" s="998" t="s">
        <v>1175</v>
      </c>
      <c r="N324" s="998" t="s">
        <v>1261</v>
      </c>
      <c r="O324" s="998" t="s">
        <v>1176</v>
      </c>
      <c r="P324" s="557"/>
      <c r="Q324" s="998" t="s">
        <v>1175</v>
      </c>
      <c r="R324" s="998" t="s">
        <v>1261</v>
      </c>
      <c r="S324" s="998" t="s">
        <v>1176</v>
      </c>
      <c r="T324"/>
      <c r="U324" s="19" t="s">
        <v>1175</v>
      </c>
      <c r="V324" s="19" t="s">
        <v>1261</v>
      </c>
      <c r="W324" s="19" t="s">
        <v>1176</v>
      </c>
      <c r="X324"/>
    </row>
    <row r="325" spans="2:24" ht="15.6" x14ac:dyDescent="0.6">
      <c r="B325" s="557" t="s">
        <v>1172</v>
      </c>
      <c r="C325" s="573">
        <f>C328-C327-C326</f>
        <v>1518</v>
      </c>
      <c r="D325" s="573">
        <f>D328-D327-D326</f>
        <v>76</v>
      </c>
      <c r="E325" s="616">
        <f>D325/C325</f>
        <v>5.0065876152832672E-2</v>
      </c>
      <c r="F325" s="557"/>
      <c r="G325" s="573">
        <f>G328-G327-G326</f>
        <v>1412.201</v>
      </c>
      <c r="H325" s="573">
        <f>H328-H327-H326</f>
        <v>69.13</v>
      </c>
      <c r="I325" s="573"/>
      <c r="J325" s="573"/>
      <c r="K325" s="616">
        <f>H325/G325</f>
        <v>4.895195513953042E-2</v>
      </c>
      <c r="L325" s="557"/>
      <c r="M325" s="573">
        <f>M328-M327-M326</f>
        <v>1486.953</v>
      </c>
      <c r="N325" s="573">
        <f>N328-N327-N326</f>
        <v>70.376999999999981</v>
      </c>
      <c r="O325" s="616">
        <f>N325/M325</f>
        <v>4.7329673500103892E-2</v>
      </c>
      <c r="P325" s="557"/>
      <c r="Q325" s="573">
        <f>Q328-Q327-Q326</f>
        <v>1507.3999999999999</v>
      </c>
      <c r="R325" s="573">
        <f>R328-R327-R326</f>
        <v>81.299999999999983</v>
      </c>
      <c r="S325" s="616">
        <f>R325/Q325</f>
        <v>5.3933925965238154E-2</v>
      </c>
      <c r="T325"/>
      <c r="U325" s="86">
        <f>U328-U327-U326</f>
        <v>1129.5060000000001</v>
      </c>
      <c r="V325" s="86">
        <f>V328-V327-V326</f>
        <v>68.936000000000007</v>
      </c>
      <c r="W325" s="362">
        <f>V325/U325</f>
        <v>6.1031990976586223E-2</v>
      </c>
      <c r="X325"/>
    </row>
    <row r="326" spans="2:24" ht="15.6" x14ac:dyDescent="0.6">
      <c r="B326" s="557" t="s">
        <v>1173</v>
      </c>
      <c r="C326" s="573">
        <v>351</v>
      </c>
      <c r="D326" s="572">
        <v>148</v>
      </c>
      <c r="E326" s="616">
        <f>D326/C326</f>
        <v>0.42165242165242167</v>
      </c>
      <c r="F326" s="557"/>
      <c r="G326" s="573">
        <v>399.65</v>
      </c>
      <c r="H326" s="572">
        <v>165.7</v>
      </c>
      <c r="I326" s="572"/>
      <c r="J326" s="572"/>
      <c r="K326" s="616">
        <f>H326/G326</f>
        <v>0.41461278618791442</v>
      </c>
      <c r="L326" s="557"/>
      <c r="M326" s="573">
        <v>376.7</v>
      </c>
      <c r="N326" s="572">
        <v>142.4</v>
      </c>
      <c r="O326" s="616">
        <f>N326/M326</f>
        <v>0.37801964427926737</v>
      </c>
      <c r="P326" s="557"/>
      <c r="Q326" s="573">
        <v>364.7</v>
      </c>
      <c r="R326" s="572">
        <v>139.4</v>
      </c>
      <c r="S326" s="616">
        <f>R326/Q326</f>
        <v>0.38223197148341104</v>
      </c>
      <c r="T326"/>
      <c r="U326" s="86">
        <v>200.04</v>
      </c>
      <c r="V326" s="83">
        <v>72.900000000000006</v>
      </c>
      <c r="W326" s="362">
        <f>V326/U326</f>
        <v>0.3644271145770846</v>
      </c>
      <c r="X326"/>
    </row>
    <row r="327" spans="2:24" ht="15.6" x14ac:dyDescent="0.6">
      <c r="B327" s="623" t="s">
        <v>1174</v>
      </c>
      <c r="C327" s="999">
        <v>104</v>
      </c>
      <c r="D327" s="613">
        <v>76</v>
      </c>
      <c r="E327" s="617">
        <f>D327/C327</f>
        <v>0.73076923076923073</v>
      </c>
      <c r="F327" s="557"/>
      <c r="G327" s="999">
        <v>92.884</v>
      </c>
      <c r="H327" s="613">
        <v>66.8</v>
      </c>
      <c r="I327" s="613"/>
      <c r="J327" s="613"/>
      <c r="K327" s="617">
        <f>H327/G327</f>
        <v>0.71917660738124967</v>
      </c>
      <c r="L327" s="557"/>
      <c r="M327" s="999">
        <v>82.4</v>
      </c>
      <c r="N327" s="613">
        <v>57.5</v>
      </c>
      <c r="O327" s="617">
        <f>N327/M327</f>
        <v>0.69781553398058249</v>
      </c>
      <c r="P327" s="557"/>
      <c r="Q327" s="999">
        <v>135.4</v>
      </c>
      <c r="R327" s="613">
        <v>119.8</v>
      </c>
      <c r="S327" s="617">
        <f>R327/Q327</f>
        <v>0.88478581979320525</v>
      </c>
      <c r="T327"/>
      <c r="U327" s="902">
        <v>62.8</v>
      </c>
      <c r="V327" s="411">
        <v>55.7</v>
      </c>
      <c r="W327" s="903">
        <f>V327/U327</f>
        <v>0.88694267515923575</v>
      </c>
      <c r="X327"/>
    </row>
    <row r="328" spans="2:24" ht="15.9" thickBot="1" x14ac:dyDescent="0.65">
      <c r="B328" s="557"/>
      <c r="C328" s="573">
        <f>Quarts!P204</f>
        <v>1973</v>
      </c>
      <c r="D328" s="573">
        <f>Quarts!P210</f>
        <v>300</v>
      </c>
      <c r="E328" s="616">
        <f>D328/C328</f>
        <v>0.15205271160669032</v>
      </c>
      <c r="F328" s="557"/>
      <c r="G328" s="573">
        <f>Quarts!O204</f>
        <v>1904.7350000000001</v>
      </c>
      <c r="H328" s="573">
        <f>Quarts!O210</f>
        <v>301.63</v>
      </c>
      <c r="I328" s="573"/>
      <c r="J328" s="573"/>
      <c r="K328" s="616">
        <f>H328/G328</f>
        <v>0.15835798680656363</v>
      </c>
      <c r="L328" s="557"/>
      <c r="M328" s="573">
        <f>Quarts!N204</f>
        <v>1946.0530000000001</v>
      </c>
      <c r="N328" s="573">
        <f>Quarts!N210</f>
        <v>270.27699999999999</v>
      </c>
      <c r="O328" s="616">
        <f>N328/M328</f>
        <v>0.13888470663440305</v>
      </c>
      <c r="P328" s="557"/>
      <c r="Q328" s="573">
        <f>Quarts!M204</f>
        <v>2007.5</v>
      </c>
      <c r="R328" s="573">
        <f>Quarts!M210</f>
        <v>340.5</v>
      </c>
      <c r="S328" s="616">
        <f>R328/Q328</f>
        <v>0.16961394769613947</v>
      </c>
      <c r="T328"/>
      <c r="U328" s="86">
        <f>Quarts!K204</f>
        <v>1392.346</v>
      </c>
      <c r="V328" s="86">
        <f>Quarts!K210</f>
        <v>197.536</v>
      </c>
      <c r="W328" s="362">
        <f>V328/U328</f>
        <v>0.14187278162180952</v>
      </c>
      <c r="X328"/>
    </row>
    <row r="329" spans="2:24" ht="15.6" x14ac:dyDescent="0.6">
      <c r="B329" s="1000" t="s">
        <v>1179</v>
      </c>
      <c r="C329" s="1001"/>
      <c r="D329" s="1002">
        <f>D326/C328</f>
        <v>7.5012671059300554E-2</v>
      </c>
      <c r="E329" s="1002"/>
      <c r="F329" s="1003"/>
      <c r="G329" s="1001"/>
      <c r="H329" s="1002">
        <f>H326/G328</f>
        <v>8.6993728786419103E-2</v>
      </c>
      <c r="I329" s="1002"/>
      <c r="J329" s="1002"/>
      <c r="K329" s="1002"/>
      <c r="L329" s="1003"/>
      <c r="M329" s="1001"/>
      <c r="N329" s="1002">
        <f>N326/M328</f>
        <v>7.3173752205104386E-2</v>
      </c>
      <c r="O329" s="1002"/>
      <c r="P329" s="1003"/>
      <c r="Q329" s="1001"/>
      <c r="R329" s="1002">
        <f>R326/Q328</f>
        <v>6.9439601494396014E-2</v>
      </c>
      <c r="S329" s="1002"/>
      <c r="T329" s="907"/>
      <c r="U329" s="906"/>
      <c r="V329" s="908">
        <f>V326/U328</f>
        <v>5.2357675462851909E-2</v>
      </c>
      <c r="W329" s="362"/>
      <c r="X329"/>
    </row>
    <row r="330" spans="2:24" ht="15.9" thickBot="1" x14ac:dyDescent="0.65">
      <c r="B330" s="1004" t="s">
        <v>1180</v>
      </c>
      <c r="C330" s="1005"/>
      <c r="D330" s="1006">
        <f>D327/C328</f>
        <v>3.8520020273694881E-2</v>
      </c>
      <c r="E330" s="1005"/>
      <c r="F330" s="1005"/>
      <c r="G330" s="1005"/>
      <c r="H330" s="1006">
        <f>H327/G328</f>
        <v>3.5070495370747107E-2</v>
      </c>
      <c r="I330" s="1006"/>
      <c r="J330" s="1006"/>
      <c r="K330" s="1005"/>
      <c r="L330" s="1005"/>
      <c r="M330" s="1005"/>
      <c r="N330" s="1006">
        <f>N327/M328</f>
        <v>2.95469856165274E-2</v>
      </c>
      <c r="O330" s="1005"/>
      <c r="P330" s="1005"/>
      <c r="Q330" s="1005"/>
      <c r="R330" s="1006">
        <f>R327/Q328</f>
        <v>5.967621419676214E-2</v>
      </c>
      <c r="S330" s="1005"/>
      <c r="T330" s="87"/>
      <c r="U330" s="87"/>
      <c r="V330" s="909">
        <f>V327/U328</f>
        <v>4.0004424187665998E-2</v>
      </c>
      <c r="W330"/>
      <c r="X330"/>
    </row>
    <row r="331" spans="2:24" ht="15.6" x14ac:dyDescent="0.6">
      <c r="B331" s="618" t="s">
        <v>1181</v>
      </c>
      <c r="C331" s="557"/>
      <c r="D331" s="620">
        <f>D329+D330</f>
        <v>0.11353269133299543</v>
      </c>
      <c r="E331" s="618"/>
      <c r="F331" s="618"/>
      <c r="G331" s="557"/>
      <c r="H331" s="620">
        <f>H329+H330</f>
        <v>0.12206422415716621</v>
      </c>
      <c r="I331" s="620"/>
      <c r="J331" s="620"/>
      <c r="K331" s="618"/>
      <c r="L331" s="618"/>
      <c r="M331" s="618"/>
      <c r="N331" s="620">
        <f>N329+N330</f>
        <v>0.10272073782163178</v>
      </c>
      <c r="O331" s="618"/>
      <c r="P331" s="618"/>
      <c r="Q331" s="618"/>
      <c r="R331" s="620">
        <f>R329+R330</f>
        <v>0.12911581569115815</v>
      </c>
      <c r="S331" s="618"/>
      <c r="T331" s="20"/>
      <c r="U331" s="20"/>
      <c r="V331" s="368">
        <f>V329+V330</f>
        <v>9.2362099650517906E-2</v>
      </c>
      <c r="W331"/>
      <c r="X331"/>
    </row>
    <row r="333" spans="2:24" ht="15.6" x14ac:dyDescent="0.6">
      <c r="B333" s="235" t="s">
        <v>1183</v>
      </c>
      <c r="C333" s="979" t="s">
        <v>1284</v>
      </c>
      <c r="D333" s="980"/>
      <c r="E333" s="981"/>
      <c r="F333" s="335"/>
      <c r="G333" s="979" t="s">
        <v>1285</v>
      </c>
      <c r="H333" s="980"/>
      <c r="I333" s="980"/>
      <c r="J333" s="980"/>
      <c r="K333" s="981"/>
      <c r="L333" s="335"/>
      <c r="M333" s="979" t="s">
        <v>1286</v>
      </c>
      <c r="N333" s="980"/>
      <c r="O333" s="981"/>
      <c r="P333" s="335"/>
      <c r="Q333" s="979" t="s">
        <v>1287</v>
      </c>
      <c r="R333" s="83"/>
      <c r="S333" s="362"/>
      <c r="T333"/>
      <c r="U333" s="910" t="s">
        <v>1185</v>
      </c>
      <c r="V333" s="83"/>
      <c r="W333" s="362"/>
      <c r="X333"/>
    </row>
    <row r="334" spans="2:24" ht="15.6" x14ac:dyDescent="0.6">
      <c r="B334" t="s">
        <v>346</v>
      </c>
      <c r="C334" s="86">
        <v>290.97399999999999</v>
      </c>
      <c r="D334" s="83"/>
      <c r="E334" s="362"/>
      <c r="F334"/>
      <c r="G334" s="86">
        <v>182.333</v>
      </c>
      <c r="H334" s="83"/>
      <c r="I334" s="83"/>
      <c r="J334" s="83"/>
      <c r="K334" s="362"/>
      <c r="L334"/>
      <c r="M334" s="86">
        <v>100.809</v>
      </c>
      <c r="N334" s="83"/>
      <c r="O334" s="362"/>
      <c r="P334"/>
      <c r="Q334" s="86">
        <v>50.607999999999997</v>
      </c>
      <c r="R334" s="83"/>
      <c r="S334" s="362"/>
      <c r="T334"/>
      <c r="U334" s="86">
        <v>118.518</v>
      </c>
      <c r="V334" s="83"/>
      <c r="W334" s="362"/>
      <c r="X334"/>
    </row>
    <row r="335" spans="2:24" ht="15.6" x14ac:dyDescent="0.6">
      <c r="B335" s="84" t="s">
        <v>548</v>
      </c>
      <c r="C335" s="902">
        <v>409</v>
      </c>
      <c r="D335" s="411"/>
      <c r="E335" s="903"/>
      <c r="F335" s="84"/>
      <c r="G335" s="902">
        <v>282.37400000000002</v>
      </c>
      <c r="H335" s="411"/>
      <c r="I335" s="411"/>
      <c r="J335" s="411"/>
      <c r="K335" s="903"/>
      <c r="L335" s="84"/>
      <c r="M335" s="902">
        <v>169.452</v>
      </c>
      <c r="N335" s="411"/>
      <c r="O335" s="903"/>
      <c r="P335" s="84"/>
      <c r="Q335" s="902">
        <v>11.696</v>
      </c>
      <c r="R335" s="411"/>
      <c r="S335" s="903"/>
      <c r="T335" s="84"/>
      <c r="U335" s="902">
        <v>13.223000000000001</v>
      </c>
      <c r="V335" s="83"/>
      <c r="W335" s="362"/>
      <c r="X335"/>
    </row>
    <row r="336" spans="2:24" ht="15.6" x14ac:dyDescent="0.6">
      <c r="B336" t="s">
        <v>354</v>
      </c>
      <c r="C336" s="86">
        <f>SUM(C334:C335)</f>
        <v>699.97399999999993</v>
      </c>
      <c r="D336" s="83"/>
      <c r="E336" s="362"/>
      <c r="F336"/>
      <c r="G336" s="86">
        <f>SUM(G334:G335)</f>
        <v>464.70699999999999</v>
      </c>
      <c r="H336" s="83"/>
      <c r="I336" s="83"/>
      <c r="J336" s="83"/>
      <c r="K336" s="362"/>
      <c r="L336"/>
      <c r="M336" s="86">
        <f>SUM(M334:M335)</f>
        <v>270.26099999999997</v>
      </c>
      <c r="N336" s="83"/>
      <c r="O336" s="362"/>
      <c r="P336"/>
      <c r="Q336" s="86">
        <f>SUM(Q334:Q335)</f>
        <v>62.303999999999995</v>
      </c>
      <c r="R336" s="83"/>
      <c r="S336" s="362"/>
      <c r="T336"/>
      <c r="U336" s="86">
        <f>SUM(U334:U335)</f>
        <v>131.74100000000001</v>
      </c>
      <c r="V336" s="83"/>
      <c r="W336" s="362"/>
      <c r="X336"/>
    </row>
    <row r="337" spans="2:22" ht="15.6" x14ac:dyDescent="0.6">
      <c r="B337"/>
      <c r="C337"/>
      <c r="D337"/>
      <c r="E337"/>
      <c r="F337"/>
      <c r="G337"/>
      <c r="H337"/>
      <c r="I337"/>
      <c r="J337"/>
      <c r="K337"/>
      <c r="L337"/>
      <c r="M337"/>
      <c r="N337"/>
      <c r="O337"/>
      <c r="P337"/>
      <c r="Q337"/>
      <c r="R337"/>
      <c r="S337"/>
      <c r="T337"/>
      <c r="U337"/>
      <c r="V337"/>
    </row>
    <row r="338" spans="2:22" ht="15.6" x14ac:dyDescent="0.6">
      <c r="B338" s="20" t="s">
        <v>1184</v>
      </c>
      <c r="C338" s="334" t="str">
        <f>C314</f>
        <v>Q4 22</v>
      </c>
      <c r="D338" s="334"/>
      <c r="E338" s="334"/>
      <c r="F338" s="334"/>
      <c r="G338" s="334" t="str">
        <f>G314</f>
        <v>Q3 22</v>
      </c>
      <c r="H338" s="334"/>
      <c r="I338" s="334"/>
      <c r="J338" s="334"/>
      <c r="K338" s="334"/>
      <c r="L338" s="334"/>
      <c r="M338" s="334" t="str">
        <f>M314</f>
        <v>Q2 22</v>
      </c>
      <c r="N338" s="334"/>
      <c r="O338" s="334"/>
      <c r="P338" s="334"/>
      <c r="Q338" s="334" t="str">
        <f>Q314</f>
        <v>Q1 22</v>
      </c>
      <c r="R338"/>
      <c r="S338"/>
      <c r="T338"/>
      <c r="U338"/>
      <c r="V338"/>
    </row>
    <row r="339" spans="2:22" ht="15.6" x14ac:dyDescent="0.6">
      <c r="B339" t="str">
        <f>B334</f>
        <v>Credit cards</v>
      </c>
      <c r="C339" s="86">
        <f>C334-G334</f>
        <v>108.64099999999999</v>
      </c>
      <c r="D339"/>
      <c r="E339"/>
      <c r="F339"/>
      <c r="G339" s="86">
        <f>G334-M334</f>
        <v>81.524000000000001</v>
      </c>
      <c r="H339"/>
      <c r="I339"/>
      <c r="J339"/>
      <c r="K339"/>
      <c r="L339"/>
      <c r="M339" s="86">
        <f>M334-Q334</f>
        <v>50.201000000000001</v>
      </c>
      <c r="N339"/>
      <c r="O339"/>
      <c r="P339"/>
      <c r="Q339" s="86">
        <f>Q334</f>
        <v>50.607999999999997</v>
      </c>
      <c r="R339"/>
      <c r="S339"/>
      <c r="T339"/>
      <c r="U339"/>
      <c r="V339"/>
    </row>
    <row r="340" spans="2:22" ht="15.6" x14ac:dyDescent="0.6">
      <c r="B340" s="84" t="str">
        <f>B335</f>
        <v>Loans</v>
      </c>
      <c r="C340" s="902">
        <f>C335-G335</f>
        <v>126.62599999999998</v>
      </c>
      <c r="D340" s="84"/>
      <c r="E340" s="84"/>
      <c r="F340" s="84"/>
      <c r="G340" s="902">
        <f>G335-M335</f>
        <v>112.92200000000003</v>
      </c>
      <c r="H340" s="84"/>
      <c r="I340" s="84"/>
      <c r="J340" s="84"/>
      <c r="K340" s="84"/>
      <c r="L340" s="84"/>
      <c r="M340" s="902">
        <f>M335-Q335</f>
        <v>157.756</v>
      </c>
      <c r="N340" s="84"/>
      <c r="O340" s="84"/>
      <c r="P340" s="84"/>
      <c r="Q340" s="902">
        <f>Q335</f>
        <v>11.696</v>
      </c>
      <c r="R340" s="84"/>
      <c r="S340" s="84"/>
      <c r="T340" s="84"/>
      <c r="U340" s="84"/>
      <c r="V340"/>
    </row>
    <row r="341" spans="2:22" ht="15.6" x14ac:dyDescent="0.6">
      <c r="B341" t="s">
        <v>354</v>
      </c>
      <c r="C341" s="86">
        <f>SUM(C339:C340)</f>
        <v>235.26699999999997</v>
      </c>
      <c r="D341" s="83"/>
      <c r="E341" s="362"/>
      <c r="F341"/>
      <c r="G341" s="86">
        <f>SUM(G339:G340)</f>
        <v>194.44600000000003</v>
      </c>
      <c r="H341" s="83"/>
      <c r="I341" s="83"/>
      <c r="J341" s="83"/>
      <c r="K341" s="362"/>
      <c r="L341"/>
      <c r="M341" s="86">
        <f>SUM(M339:M340)</f>
        <v>207.95699999999999</v>
      </c>
      <c r="N341" s="83"/>
      <c r="O341" s="362"/>
      <c r="P341"/>
      <c r="Q341" s="86">
        <f>SUM(Q339:Q340)</f>
        <v>62.303999999999995</v>
      </c>
      <c r="R341"/>
      <c r="S341"/>
      <c r="T341"/>
      <c r="U341"/>
      <c r="V341"/>
    </row>
    <row r="342" spans="2:22" ht="15.6" x14ac:dyDescent="0.6">
      <c r="B342"/>
      <c r="C342"/>
      <c r="D342"/>
      <c r="E342"/>
      <c r="F342"/>
      <c r="G342"/>
      <c r="H342"/>
      <c r="I342"/>
      <c r="J342"/>
      <c r="K342"/>
      <c r="L342"/>
      <c r="M342"/>
      <c r="N342"/>
      <c r="O342"/>
      <c r="P342"/>
      <c r="Q342"/>
      <c r="R342"/>
      <c r="S342"/>
      <c r="T342"/>
      <c r="U342"/>
      <c r="V342"/>
    </row>
    <row r="343" spans="2:22" ht="15.6" x14ac:dyDescent="0.6">
      <c r="B343" s="20" t="s">
        <v>1186</v>
      </c>
      <c r="C343" s="910" t="s">
        <v>1185</v>
      </c>
      <c r="D343" s="20"/>
      <c r="E343" s="20"/>
      <c r="F343" s="20"/>
      <c r="G343" s="910" t="str">
        <f>G333</f>
        <v>9m 2022</v>
      </c>
      <c r="H343" s="20"/>
      <c r="I343" s="20"/>
      <c r="J343" s="20"/>
      <c r="K343" s="20"/>
      <c r="L343" s="20"/>
      <c r="M343" s="910" t="str">
        <f>M333</f>
        <v>6m 2022</v>
      </c>
      <c r="N343" s="20"/>
      <c r="O343" s="20"/>
      <c r="P343" s="20"/>
      <c r="Q343" s="910" t="str">
        <f>Q333</f>
        <v>3m 2022</v>
      </c>
      <c r="R343"/>
      <c r="S343"/>
      <c r="T343"/>
      <c r="U343"/>
      <c r="V343"/>
    </row>
    <row r="344" spans="2:22" ht="15.6" x14ac:dyDescent="0.6">
      <c r="B344" t="str">
        <f>B334</f>
        <v>Credit cards</v>
      </c>
      <c r="C344" s="86">
        <f>C318-V318+C334</f>
        <v>751.97399999999993</v>
      </c>
      <c r="D344"/>
      <c r="E344"/>
      <c r="F344"/>
      <c r="G344" s="86">
        <f>G318-U318+G334</f>
        <v>439.13300000000004</v>
      </c>
      <c r="H344"/>
      <c r="I344"/>
      <c r="J344"/>
      <c r="K344"/>
      <c r="L344"/>
      <c r="M344" s="86">
        <f>M318-U318+M334</f>
        <v>263.36</v>
      </c>
      <c r="N344"/>
      <c r="O344"/>
      <c r="P344"/>
      <c r="Q344" s="86">
        <f>Q318-U318+Q334</f>
        <v>135.50799999999998</v>
      </c>
      <c r="R344"/>
      <c r="S344"/>
      <c r="T344"/>
      <c r="U344"/>
      <c r="V344"/>
    </row>
    <row r="345" spans="2:22" ht="15.6" x14ac:dyDescent="0.6">
      <c r="B345" s="84" t="str">
        <f>B335</f>
        <v>Loans</v>
      </c>
      <c r="C345" s="902">
        <f>C327-V327+C335</f>
        <v>457.3</v>
      </c>
      <c r="D345" s="84"/>
      <c r="E345" s="84"/>
      <c r="F345" s="84"/>
      <c r="G345" s="902">
        <f>G327-U327+G335</f>
        <v>312.45800000000003</v>
      </c>
      <c r="H345" s="84"/>
      <c r="I345" s="84"/>
      <c r="J345" s="84"/>
      <c r="K345" s="84"/>
      <c r="L345" s="84"/>
      <c r="M345" s="902">
        <f>M327-U327+M335</f>
        <v>189.05200000000002</v>
      </c>
      <c r="N345" s="84"/>
      <c r="O345" s="84"/>
      <c r="P345" s="84"/>
      <c r="Q345" s="902">
        <f>Q327-U327+Q335</f>
        <v>84.296000000000006</v>
      </c>
      <c r="R345" s="84"/>
      <c r="S345" s="84"/>
      <c r="T345" s="84"/>
      <c r="U345" s="84"/>
      <c r="V345"/>
    </row>
    <row r="346" spans="2:22" ht="15.6" x14ac:dyDescent="0.6">
      <c r="B346" t="str">
        <f>B336</f>
        <v>Total</v>
      </c>
      <c r="C346" s="86">
        <f>SUM(C344:C345)</f>
        <v>1209.2739999999999</v>
      </c>
      <c r="D346"/>
      <c r="E346"/>
      <c r="F346"/>
      <c r="G346" s="86">
        <f>SUM(G344:G345)</f>
        <v>751.59100000000012</v>
      </c>
      <c r="H346"/>
      <c r="I346"/>
      <c r="J346"/>
      <c r="K346"/>
      <c r="L346"/>
      <c r="M346" s="86">
        <f>SUM(M344:M345)</f>
        <v>452.41200000000003</v>
      </c>
      <c r="N346"/>
      <c r="O346"/>
      <c r="P346"/>
      <c r="Q346" s="86">
        <f>SUM(Q344:Q345)</f>
        <v>219.80399999999997</v>
      </c>
      <c r="R346"/>
      <c r="S346"/>
      <c r="T346"/>
      <c r="U346"/>
      <c r="V346"/>
    </row>
    <row r="347" spans="2:22" ht="15.9" thickBot="1" x14ac:dyDescent="0.65">
      <c r="B347"/>
      <c r="C347"/>
      <c r="D347"/>
      <c r="E347"/>
      <c r="F347"/>
      <c r="G347"/>
      <c r="H347"/>
      <c r="I347"/>
      <c r="J347"/>
      <c r="K347"/>
      <c r="L347"/>
      <c r="M347"/>
      <c r="N347"/>
      <c r="O347"/>
      <c r="P347"/>
      <c r="Q347"/>
      <c r="R347"/>
      <c r="S347"/>
      <c r="T347"/>
      <c r="U347"/>
      <c r="V347"/>
    </row>
    <row r="348" spans="2:22" ht="15.6" x14ac:dyDescent="0.6">
      <c r="B348" s="982" t="s">
        <v>1187</v>
      </c>
      <c r="C348" s="983" t="str">
        <f>C338</f>
        <v>Q4 22</v>
      </c>
      <c r="D348" s="983"/>
      <c r="E348" s="983"/>
      <c r="F348" s="983"/>
      <c r="G348" s="983" t="str">
        <f>G338</f>
        <v>Q3 22</v>
      </c>
      <c r="H348" s="983"/>
      <c r="I348" s="983"/>
      <c r="J348" s="983"/>
      <c r="K348" s="983"/>
      <c r="L348" s="983"/>
      <c r="M348" s="983" t="str">
        <f>M338</f>
        <v>Q2 22</v>
      </c>
      <c r="N348" s="983"/>
      <c r="O348" s="983"/>
      <c r="P348" s="983"/>
      <c r="Q348" s="984" t="str">
        <f>Q338</f>
        <v>Q1 22</v>
      </c>
      <c r="R348"/>
      <c r="S348"/>
      <c r="T348"/>
      <c r="U348"/>
      <c r="V348"/>
    </row>
    <row r="349" spans="2:22" ht="15.6" x14ac:dyDescent="0.6">
      <c r="B349" s="985" t="str">
        <f>B344</f>
        <v>Credit cards</v>
      </c>
      <c r="C349" s="86">
        <f>C344-G344</f>
        <v>312.84099999999989</v>
      </c>
      <c r="D349"/>
      <c r="E349"/>
      <c r="F349"/>
      <c r="G349" s="86">
        <f>G344-M344</f>
        <v>175.77300000000002</v>
      </c>
      <c r="H349"/>
      <c r="I349"/>
      <c r="J349"/>
      <c r="K349"/>
      <c r="L349"/>
      <c r="M349" s="86">
        <f>M344-Q344</f>
        <v>127.85200000000003</v>
      </c>
      <c r="N349"/>
      <c r="O349"/>
      <c r="P349"/>
      <c r="Q349" s="986">
        <f>Q344</f>
        <v>135.50799999999998</v>
      </c>
      <c r="R349"/>
      <c r="S349"/>
      <c r="T349"/>
      <c r="U349"/>
      <c r="V349"/>
    </row>
    <row r="350" spans="2:22" ht="15.6" x14ac:dyDescent="0.6">
      <c r="B350" s="987" t="str">
        <f>B345</f>
        <v>Loans</v>
      </c>
      <c r="C350" s="902">
        <f>C345-G345</f>
        <v>144.84199999999998</v>
      </c>
      <c r="D350" s="84"/>
      <c r="E350" s="84"/>
      <c r="F350" s="84"/>
      <c r="G350" s="902">
        <f>G345-M345</f>
        <v>123.40600000000001</v>
      </c>
      <c r="H350" s="84"/>
      <c r="I350" s="84"/>
      <c r="J350" s="84"/>
      <c r="K350" s="84"/>
      <c r="L350" s="84"/>
      <c r="M350" s="902">
        <f>M345-Q345</f>
        <v>104.75600000000001</v>
      </c>
      <c r="N350" s="84"/>
      <c r="O350" s="84"/>
      <c r="P350" s="84"/>
      <c r="Q350" s="988">
        <f>Q345</f>
        <v>84.296000000000006</v>
      </c>
      <c r="R350"/>
      <c r="S350"/>
      <c r="T350"/>
      <c r="U350"/>
      <c r="V350"/>
    </row>
    <row r="351" spans="2:22" ht="15.9" thickBot="1" x14ac:dyDescent="0.65">
      <c r="B351" s="989" t="s">
        <v>354</v>
      </c>
      <c r="C351" s="990">
        <f>SUM(C349:C350)</f>
        <v>457.68299999999988</v>
      </c>
      <c r="D351" s="991"/>
      <c r="E351" s="992"/>
      <c r="F351" s="101"/>
      <c r="G351" s="990">
        <f>SUM(G349:G350)</f>
        <v>299.17900000000003</v>
      </c>
      <c r="H351" s="991"/>
      <c r="I351" s="991"/>
      <c r="J351" s="991"/>
      <c r="K351" s="992"/>
      <c r="L351" s="101"/>
      <c r="M351" s="990">
        <f>SUM(M349:M350)</f>
        <v>232.60800000000006</v>
      </c>
      <c r="N351" s="991"/>
      <c r="O351" s="992"/>
      <c r="P351" s="101"/>
      <c r="Q351" s="993">
        <f>SUM(Q349:Q350)</f>
        <v>219.80399999999997</v>
      </c>
      <c r="R351"/>
      <c r="S351"/>
      <c r="T351"/>
      <c r="U351"/>
      <c r="V351"/>
    </row>
    <row r="352" spans="2:22" ht="15.6" x14ac:dyDescent="0.6">
      <c r="B352"/>
      <c r="C352"/>
      <c r="D352"/>
      <c r="E352"/>
      <c r="F352"/>
      <c r="G352"/>
      <c r="H352"/>
      <c r="I352"/>
      <c r="J352"/>
      <c r="K352"/>
      <c r="L352"/>
      <c r="M352"/>
      <c r="N352"/>
      <c r="O352"/>
      <c r="P352"/>
      <c r="Q352"/>
      <c r="R352"/>
      <c r="S352"/>
      <c r="T352"/>
      <c r="U352"/>
      <c r="V352"/>
    </row>
    <row r="353" spans="2:22" ht="15.6" x14ac:dyDescent="0.6">
      <c r="B353" s="20" t="s">
        <v>1188</v>
      </c>
      <c r="C353" s="334" t="str">
        <f>C348</f>
        <v>Q4 22</v>
      </c>
      <c r="D353" s="334"/>
      <c r="E353" s="334"/>
      <c r="F353" s="334"/>
      <c r="G353" s="334" t="str">
        <f>G348</f>
        <v>Q3 22</v>
      </c>
      <c r="H353" s="334"/>
      <c r="I353" s="334"/>
      <c r="J353" s="334"/>
      <c r="K353" s="334"/>
      <c r="L353" s="334"/>
      <c r="M353" s="334" t="str">
        <f>M348</f>
        <v>Q2 22</v>
      </c>
      <c r="N353" s="334"/>
      <c r="O353" s="334"/>
      <c r="P353" s="334"/>
      <c r="Q353" s="334" t="str">
        <f>Q348</f>
        <v>Q1 22</v>
      </c>
      <c r="R353"/>
      <c r="S353"/>
      <c r="T353"/>
      <c r="U353"/>
      <c r="V353"/>
    </row>
    <row r="354" spans="2:22" ht="15.6" x14ac:dyDescent="0.6">
      <c r="B354" t="str">
        <f>B349</f>
        <v>Credit cards</v>
      </c>
      <c r="C354" s="86">
        <f>C339+C349</f>
        <v>421.48199999999986</v>
      </c>
      <c r="D354"/>
      <c r="E354"/>
      <c r="F354"/>
      <c r="G354" s="86">
        <f>G339+G349</f>
        <v>257.29700000000003</v>
      </c>
      <c r="H354"/>
      <c r="I354"/>
      <c r="J354"/>
      <c r="K354"/>
      <c r="L354"/>
      <c r="M354" s="86">
        <f>M339+M349</f>
        <v>178.05300000000003</v>
      </c>
      <c r="N354"/>
      <c r="O354"/>
      <c r="P354"/>
      <c r="Q354" s="86">
        <f>Q339+Q349</f>
        <v>186.11599999999999</v>
      </c>
      <c r="R354"/>
      <c r="S354"/>
      <c r="T354"/>
      <c r="U354"/>
      <c r="V354"/>
    </row>
    <row r="355" spans="2:22" ht="15.6" x14ac:dyDescent="0.6">
      <c r="B355" s="84" t="str">
        <f>B350</f>
        <v>Loans</v>
      </c>
      <c r="C355" s="902">
        <f>C340+C350</f>
        <v>271.46799999999996</v>
      </c>
      <c r="D355" s="84"/>
      <c r="E355" s="84"/>
      <c r="F355" s="84"/>
      <c r="G355" s="902">
        <f>G340+G350</f>
        <v>236.32800000000003</v>
      </c>
      <c r="H355" s="84"/>
      <c r="I355" s="84"/>
      <c r="J355" s="84"/>
      <c r="K355" s="84"/>
      <c r="L355" s="84"/>
      <c r="M355" s="902">
        <f>M340+M350</f>
        <v>262.512</v>
      </c>
      <c r="N355" s="84"/>
      <c r="O355" s="84"/>
      <c r="P355" s="84"/>
      <c r="Q355" s="902">
        <f>Q340+Q350</f>
        <v>95.992000000000004</v>
      </c>
      <c r="R355"/>
      <c r="S355"/>
      <c r="T355"/>
      <c r="U355"/>
      <c r="V355"/>
    </row>
    <row r="356" spans="2:22" ht="15.6" x14ac:dyDescent="0.6">
      <c r="B356" t="str">
        <f>B351</f>
        <v>Total</v>
      </c>
      <c r="C356" s="86">
        <f>C341+C351</f>
        <v>692.94999999999982</v>
      </c>
      <c r="D356"/>
      <c r="E356"/>
      <c r="F356"/>
      <c r="G356" s="86">
        <f>G341+G351</f>
        <v>493.62500000000006</v>
      </c>
      <c r="H356"/>
      <c r="I356"/>
      <c r="J356"/>
      <c r="K356"/>
      <c r="L356"/>
      <c r="M356" s="86">
        <f>M341+M351</f>
        <v>440.56500000000005</v>
      </c>
      <c r="N356"/>
      <c r="O356"/>
      <c r="P356"/>
      <c r="Q356" s="86">
        <f>Q341+Q351</f>
        <v>282.10799999999995</v>
      </c>
      <c r="R356"/>
      <c r="S356"/>
      <c r="T356"/>
      <c r="U356"/>
      <c r="V356"/>
    </row>
    <row r="357" spans="2:22" ht="15.6" x14ac:dyDescent="0.6">
      <c r="B357"/>
      <c r="C357" s="86"/>
      <c r="D357"/>
      <c r="E357"/>
      <c r="F357"/>
      <c r="G357" s="86"/>
      <c r="H357"/>
      <c r="I357"/>
      <c r="J357"/>
      <c r="K357"/>
      <c r="L357"/>
      <c r="M357" s="86"/>
      <c r="N357"/>
      <c r="O357"/>
      <c r="P357"/>
      <c r="Q357"/>
      <c r="R357"/>
    </row>
    <row r="358" spans="2:22" ht="15.6" x14ac:dyDescent="0.6">
      <c r="B358" t="s">
        <v>1189</v>
      </c>
      <c r="C358" s="86"/>
      <c r="D358"/>
      <c r="E358"/>
      <c r="F358"/>
      <c r="G358" s="86"/>
      <c r="H358"/>
      <c r="I358"/>
      <c r="J358"/>
      <c r="K358"/>
      <c r="L358"/>
      <c r="M358" s="86"/>
      <c r="N358"/>
      <c r="O358"/>
      <c r="P358"/>
      <c r="Q358"/>
      <c r="R358"/>
    </row>
    <row r="359" spans="2:22" ht="15.6" x14ac:dyDescent="0.6">
      <c r="B359" t="str">
        <f>B354</f>
        <v>Credit cards</v>
      </c>
      <c r="C359" s="86"/>
      <c r="D359"/>
      <c r="E359"/>
      <c r="F359"/>
      <c r="G359" s="86"/>
      <c r="H359"/>
      <c r="I359"/>
      <c r="J359"/>
      <c r="K359"/>
      <c r="L359"/>
      <c r="M359" s="86"/>
      <c r="N359"/>
      <c r="O359"/>
      <c r="P359"/>
      <c r="Q359"/>
      <c r="R359"/>
    </row>
    <row r="360" spans="2:22" ht="15.6" x14ac:dyDescent="0.6">
      <c r="B360" t="str">
        <f>B355</f>
        <v>Loans</v>
      </c>
      <c r="C360" s="86"/>
      <c r="D360"/>
      <c r="E360"/>
      <c r="F360"/>
      <c r="G360" s="86"/>
      <c r="H360"/>
      <c r="I360"/>
      <c r="J360"/>
      <c r="K360"/>
      <c r="L360"/>
      <c r="M360" s="86"/>
      <c r="N360"/>
      <c r="O360"/>
      <c r="P360"/>
      <c r="Q360"/>
      <c r="R360"/>
    </row>
    <row r="361" spans="2:22" ht="15.6" x14ac:dyDescent="0.6">
      <c r="B361" t="str">
        <f>B356</f>
        <v>Total</v>
      </c>
      <c r="C361" s="86"/>
      <c r="D361"/>
      <c r="E361"/>
      <c r="F361"/>
      <c r="G361" s="86"/>
      <c r="H361"/>
      <c r="I361"/>
      <c r="J361"/>
      <c r="K361"/>
      <c r="L361"/>
      <c r="M361" s="86"/>
      <c r="N361"/>
      <c r="O361"/>
      <c r="P361"/>
      <c r="Q361"/>
      <c r="R361"/>
    </row>
    <row r="362" spans="2:22" ht="15.6" x14ac:dyDescent="0.6">
      <c r="B362"/>
      <c r="C362" s="86"/>
      <c r="D362"/>
      <c r="E362"/>
      <c r="F362"/>
      <c r="G362" s="86"/>
      <c r="H362"/>
      <c r="I362"/>
      <c r="J362"/>
      <c r="K362"/>
      <c r="L362"/>
      <c r="M362" s="86"/>
      <c r="N362"/>
      <c r="O362"/>
      <c r="P362"/>
      <c r="Q362"/>
      <c r="R362"/>
    </row>
    <row r="363" spans="2:22" ht="15.6" x14ac:dyDescent="0.6">
      <c r="B363"/>
      <c r="C363" s="86"/>
      <c r="D363"/>
      <c r="E363"/>
      <c r="F363"/>
      <c r="G363" s="86"/>
      <c r="H363"/>
      <c r="I363"/>
      <c r="J363"/>
      <c r="K363"/>
      <c r="L363"/>
      <c r="M363" s="86"/>
      <c r="N363"/>
      <c r="O363"/>
      <c r="P363"/>
      <c r="Q363"/>
      <c r="R363"/>
    </row>
    <row r="364" spans="2:22" ht="14.1" x14ac:dyDescent="0.5">
      <c r="B364" s="579" t="s">
        <v>1477</v>
      </c>
      <c r="C364" s="584" t="str">
        <f>Quarts!H2</f>
        <v>Q1 21</v>
      </c>
      <c r="D364" s="584" t="str">
        <f>Quarts!I2</f>
        <v>Q2 21</v>
      </c>
      <c r="E364" s="584" t="str">
        <f>Quarts!J2</f>
        <v>Q3 21</v>
      </c>
      <c r="F364" s="584" t="str">
        <f>Quarts!K2</f>
        <v>Q4 21</v>
      </c>
      <c r="G364" s="584" t="str">
        <f>Quarts!M2</f>
        <v>Q1 22</v>
      </c>
      <c r="H364" s="584" t="str">
        <f>Quarts!N2</f>
        <v>Q2 22</v>
      </c>
      <c r="I364" s="584" t="str">
        <f>Quarts!O2</f>
        <v>Q3 22</v>
      </c>
      <c r="J364" s="584" t="str">
        <f>Quarts!P2</f>
        <v>Q4 22</v>
      </c>
      <c r="K364" s="584" t="str">
        <f>Quarts!R2</f>
        <v>Q1 23</v>
      </c>
      <c r="L364" s="584" t="str">
        <f>Quarts!S2</f>
        <v>Q2 23</v>
      </c>
    </row>
    <row r="365" spans="2:22" ht="14.1" x14ac:dyDescent="0.5">
      <c r="B365" s="1168" t="str">
        <f>Quarts!B237</f>
        <v>Credit cards</v>
      </c>
      <c r="C365" s="1169">
        <f>Quarts!H237</f>
        <v>16872.931499999999</v>
      </c>
      <c r="D365" s="1169">
        <f>Quarts!I237</f>
        <v>20310.7552</v>
      </c>
      <c r="E365" s="1169">
        <f>Quarts!J237</f>
        <v>23774.587199999998</v>
      </c>
      <c r="F365" s="1169">
        <f>Quarts!K237</f>
        <v>28833.4598682</v>
      </c>
      <c r="G365" s="1169">
        <f>Quarts!M237</f>
        <v>32300.29866</v>
      </c>
      <c r="H365" s="1169">
        <f>Quarts!N237</f>
        <v>37744.797419999995</v>
      </c>
      <c r="I365" s="1169">
        <f>Quarts!O237</f>
        <v>42307.359015999995</v>
      </c>
      <c r="J365" s="1169">
        <f>Quarts!P237</f>
        <v>49019.520000000004</v>
      </c>
      <c r="K365" s="1169">
        <f>Quarts!R237</f>
        <v>52998.439999999995</v>
      </c>
      <c r="L365" s="1169">
        <f>Quarts!S237</f>
        <v>57776.98</v>
      </c>
    </row>
    <row r="366" spans="2:22" ht="14.1" x14ac:dyDescent="0.5">
      <c r="B366" s="623" t="str">
        <f>Quarts!B238</f>
        <v>Personal loans</v>
      </c>
      <c r="C366" s="999">
        <f>Quarts!H238</f>
        <v>1712.6448</v>
      </c>
      <c r="D366" s="999">
        <f>Quarts!I238</f>
        <v>2942.0032000000001</v>
      </c>
      <c r="E366" s="999">
        <f>Quarts!J238</f>
        <v>4914.9386999999997</v>
      </c>
      <c r="F366" s="999">
        <f>Quarts!K238</f>
        <v>7763.4428268000001</v>
      </c>
      <c r="G366" s="999">
        <f>Quarts!M238</f>
        <v>9515.5500000000011</v>
      </c>
      <c r="H366" s="999">
        <f>Quarts!N238</f>
        <v>10236.23878</v>
      </c>
      <c r="I366" s="999">
        <f>Quarts!O238</f>
        <v>10315.092392500001</v>
      </c>
      <c r="J366" s="999">
        <f>Quarts!P238</f>
        <v>10417.44</v>
      </c>
      <c r="K366" s="999">
        <f>Quarts!R238</f>
        <v>11820.16</v>
      </c>
      <c r="L366" s="999">
        <f>Quarts!S238</f>
        <v>13373.68</v>
      </c>
    </row>
    <row r="367" spans="2:22" ht="14.1" x14ac:dyDescent="0.5">
      <c r="B367" s="1168" t="s">
        <v>354</v>
      </c>
      <c r="C367" s="1169">
        <f t="shared" ref="C367:L367" si="30">C365+C366</f>
        <v>18585.576300000001</v>
      </c>
      <c r="D367" s="1169">
        <f t="shared" si="30"/>
        <v>23252.758399999999</v>
      </c>
      <c r="E367" s="1169">
        <f t="shared" si="30"/>
        <v>28689.525899999997</v>
      </c>
      <c r="F367" s="1169">
        <f t="shared" si="30"/>
        <v>36596.902694999997</v>
      </c>
      <c r="G367" s="1169">
        <f t="shared" si="30"/>
        <v>41815.848660000003</v>
      </c>
      <c r="H367" s="1169">
        <f t="shared" si="30"/>
        <v>47981.036199999995</v>
      </c>
      <c r="I367" s="1169">
        <f t="shared" si="30"/>
        <v>52622.451408499997</v>
      </c>
      <c r="J367" s="1169">
        <f t="shared" si="30"/>
        <v>59436.960000000006</v>
      </c>
      <c r="K367" s="1169">
        <f t="shared" si="30"/>
        <v>64818.599999999991</v>
      </c>
      <c r="L367" s="1169">
        <f t="shared" si="30"/>
        <v>71150.66</v>
      </c>
    </row>
    <row r="368" spans="2:22" ht="14.1" x14ac:dyDescent="0.5">
      <c r="B368" s="572"/>
      <c r="C368" s="573"/>
      <c r="D368" s="573"/>
      <c r="E368" s="573"/>
      <c r="F368" s="573"/>
      <c r="G368" s="573"/>
      <c r="H368" s="573"/>
      <c r="I368" s="573"/>
      <c r="J368" s="573"/>
      <c r="K368" s="573"/>
      <c r="L368" s="573"/>
    </row>
    <row r="369" spans="2:12" ht="14.1" x14ac:dyDescent="0.5">
      <c r="B369" s="1168" t="s">
        <v>1478</v>
      </c>
      <c r="C369" s="1169"/>
      <c r="D369" s="1169">
        <f>Quarts!I180</f>
        <v>4969.5999999999995</v>
      </c>
      <c r="E369" s="1169">
        <f>Quarts!J180</f>
        <v>7620.0599999999995</v>
      </c>
      <c r="F369" s="1169">
        <f>Quarts!K180</f>
        <v>11151.6</v>
      </c>
      <c r="G369" s="1169">
        <f>Quarts!M180</f>
        <v>14694</v>
      </c>
      <c r="H369" s="1169">
        <f>Quarts!N180</f>
        <v>16832</v>
      </c>
      <c r="I369" s="1169">
        <f>Quarts!O180</f>
        <v>18954.25</v>
      </c>
      <c r="J369" s="1169">
        <f>Quarts!P180</f>
        <v>21120</v>
      </c>
      <c r="K369" s="1169">
        <f>Quarts!R180</f>
        <v>26311.999999999996</v>
      </c>
      <c r="L369" s="1169">
        <f>Quarts!S180</f>
        <v>30177</v>
      </c>
    </row>
    <row r="370" spans="2:12" ht="14.1" x14ac:dyDescent="0.5">
      <c r="B370" s="557" t="s">
        <v>1479</v>
      </c>
      <c r="C370" s="573"/>
      <c r="D370" s="573">
        <f t="shared" ref="D370:L370" si="31">D369-D366</f>
        <v>2027.5967999999993</v>
      </c>
      <c r="E370" s="573">
        <f t="shared" si="31"/>
        <v>2705.1212999999998</v>
      </c>
      <c r="F370" s="573">
        <f t="shared" si="31"/>
        <v>3388.1571732000002</v>
      </c>
      <c r="G370" s="573">
        <f t="shared" si="31"/>
        <v>5178.4499999999989</v>
      </c>
      <c r="H370" s="573">
        <f t="shared" si="31"/>
        <v>6595.7612200000003</v>
      </c>
      <c r="I370" s="573">
        <f t="shared" si="31"/>
        <v>8639.1576074999994</v>
      </c>
      <c r="J370" s="573">
        <f t="shared" si="31"/>
        <v>10702.56</v>
      </c>
      <c r="K370" s="573">
        <f t="shared" si="31"/>
        <v>14491.839999999997</v>
      </c>
      <c r="L370" s="573">
        <f t="shared" si="31"/>
        <v>16803.32</v>
      </c>
    </row>
    <row r="371" spans="2:12" ht="14.1" x14ac:dyDescent="0.5">
      <c r="B371" s="1168" t="s">
        <v>1480</v>
      </c>
      <c r="C371" s="1168"/>
      <c r="D371" s="1169">
        <f t="shared" ref="D371:L371" si="32">D365-D370</f>
        <v>18283.1584</v>
      </c>
      <c r="E371" s="1169">
        <f t="shared" si="32"/>
        <v>21069.465899999999</v>
      </c>
      <c r="F371" s="1169">
        <f t="shared" si="32"/>
        <v>25445.302694999998</v>
      </c>
      <c r="G371" s="1169">
        <f t="shared" si="32"/>
        <v>27121.848660000003</v>
      </c>
      <c r="H371" s="1169">
        <f t="shared" si="32"/>
        <v>31149.036199999995</v>
      </c>
      <c r="I371" s="1169">
        <f t="shared" si="32"/>
        <v>33668.201408499997</v>
      </c>
      <c r="J371" s="1169">
        <f t="shared" si="32"/>
        <v>38316.960000000006</v>
      </c>
      <c r="K371" s="1169">
        <f t="shared" si="32"/>
        <v>38506.6</v>
      </c>
      <c r="L371" s="1169">
        <f t="shared" si="32"/>
        <v>40973.660000000003</v>
      </c>
    </row>
    <row r="372" spans="2:12" ht="14.1" x14ac:dyDescent="0.5">
      <c r="B372" s="623" t="s">
        <v>1481</v>
      </c>
      <c r="C372" s="623"/>
      <c r="D372" s="731">
        <f t="shared" ref="D372:L372" si="33">D370/D371</f>
        <v>0.11089970100570803</v>
      </c>
      <c r="E372" s="731">
        <f t="shared" si="33"/>
        <v>0.12839059674502712</v>
      </c>
      <c r="F372" s="731">
        <f t="shared" si="33"/>
        <v>0.1331545241890863</v>
      </c>
      <c r="G372" s="731">
        <f t="shared" si="33"/>
        <v>0.1909327813497208</v>
      </c>
      <c r="H372" s="731">
        <f t="shared" si="33"/>
        <v>0.21174848485360204</v>
      </c>
      <c r="I372" s="731">
        <f t="shared" si="33"/>
        <v>0.25659694447826742</v>
      </c>
      <c r="J372" s="731">
        <f t="shared" si="33"/>
        <v>0.27931652197877904</v>
      </c>
      <c r="K372" s="731">
        <f t="shared" si="33"/>
        <v>0.37634691195795</v>
      </c>
      <c r="L372" s="731">
        <f t="shared" si="33"/>
        <v>0.41010053776011218</v>
      </c>
    </row>
    <row r="373" spans="2:12" ht="14.1" x14ac:dyDescent="0.5">
      <c r="B373" s="557"/>
      <c r="C373" s="557"/>
      <c r="D373" s="557"/>
      <c r="E373" s="557"/>
      <c r="F373" s="557"/>
      <c r="G373" s="572"/>
      <c r="H373" s="572"/>
      <c r="I373" s="572"/>
      <c r="J373" s="572"/>
      <c r="K373" s="572"/>
      <c r="L373" s="572"/>
    </row>
    <row r="374" spans="2:12" ht="14.1" x14ac:dyDescent="0.5">
      <c r="B374" s="579" t="s">
        <v>228</v>
      </c>
      <c r="C374" s="584" t="str">
        <f t="shared" ref="C374:L374" si="34">C364</f>
        <v>Q1 21</v>
      </c>
      <c r="D374" s="584" t="str">
        <f t="shared" si="34"/>
        <v>Q2 21</v>
      </c>
      <c r="E374" s="584" t="str">
        <f t="shared" si="34"/>
        <v>Q3 21</v>
      </c>
      <c r="F374" s="584" t="str">
        <f t="shared" si="34"/>
        <v>Q4 21</v>
      </c>
      <c r="G374" s="584" t="str">
        <f t="shared" si="34"/>
        <v>Q1 22</v>
      </c>
      <c r="H374" s="584" t="str">
        <f t="shared" si="34"/>
        <v>Q2 22</v>
      </c>
      <c r="I374" s="584" t="str">
        <f t="shared" si="34"/>
        <v>Q3 22</v>
      </c>
      <c r="J374" s="584" t="str">
        <f t="shared" si="34"/>
        <v>Q4 22</v>
      </c>
      <c r="K374" s="584" t="str">
        <f t="shared" si="34"/>
        <v>Q1 23</v>
      </c>
      <c r="L374" s="584" t="str">
        <f t="shared" si="34"/>
        <v>Q2 23</v>
      </c>
    </row>
    <row r="375" spans="2:12" ht="14.1" x14ac:dyDescent="0.5">
      <c r="B375" s="1168" t="s">
        <v>1495</v>
      </c>
      <c r="C375" s="1170">
        <v>211</v>
      </c>
      <c r="D375" s="1170">
        <v>274</v>
      </c>
      <c r="E375" s="1170">
        <v>374.6</v>
      </c>
      <c r="F375" s="1170">
        <v>422.8</v>
      </c>
      <c r="G375" s="1170">
        <v>542.29999999999995</v>
      </c>
      <c r="H375" s="1170">
        <v>711.8</v>
      </c>
      <c r="I375" s="1170">
        <v>777.8</v>
      </c>
      <c r="J375" s="1170">
        <v>957.6</v>
      </c>
      <c r="K375" s="1170">
        <v>1086.5</v>
      </c>
      <c r="L375" s="1170"/>
    </row>
    <row r="376" spans="2:12" ht="14.1" x14ac:dyDescent="0.5">
      <c r="B376" s="557" t="s">
        <v>1496</v>
      </c>
      <c r="C376" s="572">
        <v>143.69999999999999</v>
      </c>
      <c r="D376" s="572">
        <v>171.8</v>
      </c>
      <c r="E376" s="572">
        <v>245.7</v>
      </c>
      <c r="F376" s="572">
        <v>289.89999999999998</v>
      </c>
      <c r="G376" s="572">
        <v>325.7</v>
      </c>
      <c r="H376" s="572">
        <v>384.6</v>
      </c>
      <c r="I376" s="572">
        <v>418.2</v>
      </c>
      <c r="J376" s="572">
        <v>392.8</v>
      </c>
      <c r="K376" s="572">
        <v>401.4</v>
      </c>
      <c r="L376" s="572"/>
    </row>
    <row r="377" spans="2:12" ht="14.1" x14ac:dyDescent="0.5">
      <c r="B377" s="1168" t="s">
        <v>1498</v>
      </c>
      <c r="C377" s="1171">
        <f t="shared" ref="C377:L377" si="35">C376/C375</f>
        <v>0.681042654028436</v>
      </c>
      <c r="D377" s="1171">
        <f t="shared" si="35"/>
        <v>0.62700729927007304</v>
      </c>
      <c r="E377" s="1171">
        <f t="shared" si="35"/>
        <v>0.65589962626801912</v>
      </c>
      <c r="F377" s="1171">
        <f t="shared" si="35"/>
        <v>0.68566698202459786</v>
      </c>
      <c r="G377" s="1171">
        <f t="shared" si="35"/>
        <v>0.60059007929190489</v>
      </c>
      <c r="H377" s="1171">
        <f t="shared" si="35"/>
        <v>0.54032031469513919</v>
      </c>
      <c r="I377" s="1171">
        <f t="shared" si="35"/>
        <v>0.5376703522756493</v>
      </c>
      <c r="J377" s="1171">
        <f t="shared" si="35"/>
        <v>0.41019214703425227</v>
      </c>
      <c r="K377" s="1171">
        <f t="shared" si="35"/>
        <v>0.36944316612977446</v>
      </c>
      <c r="L377" s="1171" t="e">
        <f t="shared" si="35"/>
        <v>#DIV/0!</v>
      </c>
    </row>
    <row r="378" spans="2:12" ht="14.1" x14ac:dyDescent="0.5">
      <c r="B378" s="557" t="s">
        <v>24</v>
      </c>
      <c r="C378" s="557"/>
      <c r="D378" s="557"/>
      <c r="E378" s="557"/>
      <c r="F378" s="557"/>
      <c r="G378" s="572">
        <v>13</v>
      </c>
      <c r="H378" s="572">
        <v>48</v>
      </c>
      <c r="I378" s="572">
        <v>64</v>
      </c>
      <c r="J378" s="572">
        <v>158</v>
      </c>
      <c r="K378" s="572">
        <v>171</v>
      </c>
      <c r="L378" s="572"/>
    </row>
    <row r="379" spans="2:12" ht="14.1" x14ac:dyDescent="0.5">
      <c r="B379" s="1172" t="s">
        <v>1308</v>
      </c>
      <c r="C379" s="1173" t="str">
        <f t="shared" ref="C379:L379" si="36">C374</f>
        <v>Q1 21</v>
      </c>
      <c r="D379" s="1173" t="str">
        <f t="shared" si="36"/>
        <v>Q2 21</v>
      </c>
      <c r="E379" s="1173" t="str">
        <f t="shared" si="36"/>
        <v>Q3 21</v>
      </c>
      <c r="F379" s="1173" t="str">
        <f t="shared" si="36"/>
        <v>Q4 21</v>
      </c>
      <c r="G379" s="1173" t="str">
        <f t="shared" si="36"/>
        <v>Q1 22</v>
      </c>
      <c r="H379" s="1173" t="str">
        <f t="shared" si="36"/>
        <v>Q2 22</v>
      </c>
      <c r="I379" s="1173" t="str">
        <f t="shared" si="36"/>
        <v>Q3 22</v>
      </c>
      <c r="J379" s="1173" t="str">
        <f t="shared" si="36"/>
        <v>Q4 22</v>
      </c>
      <c r="K379" s="1173" t="str">
        <f t="shared" si="36"/>
        <v>Q1 23</v>
      </c>
      <c r="L379" s="1173" t="str">
        <f t="shared" si="36"/>
        <v>Q2 23</v>
      </c>
    </row>
    <row r="380" spans="2:12" ht="14.1" x14ac:dyDescent="0.5">
      <c r="B380" s="557" t="str">
        <f>B375</f>
        <v>NII + F&amp;C</v>
      </c>
      <c r="C380" s="572">
        <f>Quarts!H63+Quarts!H14</f>
        <v>213.3</v>
      </c>
      <c r="D380" s="572">
        <f>Quarts!I63+Quarts!I14</f>
        <v>278.89999999999998</v>
      </c>
      <c r="E380" s="572">
        <f>Quarts!J63+Quarts!J14</f>
        <v>379.5</v>
      </c>
      <c r="F380" s="572">
        <f>Quarts!K63+Quarts!K14</f>
        <v>458.94000000000005</v>
      </c>
      <c r="G380" s="572">
        <f>Quarts!M63+Quarts!M14</f>
        <v>604.26400000000001</v>
      </c>
      <c r="H380" s="572">
        <f>Quarts!N63+Quarts!N14</f>
        <v>750.06100000000004</v>
      </c>
      <c r="I380" s="572">
        <f>Quarts!O63+Quarts!O14</f>
        <v>847</v>
      </c>
      <c r="J380" s="572">
        <f>Quarts!P63+Quarts!P14</f>
        <v>1043.6749999999997</v>
      </c>
      <c r="K380" s="572">
        <f>Quarts!R63+Quarts!R14</f>
        <v>1178.3330000000001</v>
      </c>
      <c r="L380" s="572">
        <f>Quarts!S63+Quarts!S14</f>
        <v>1415.2000000000003</v>
      </c>
    </row>
    <row r="381" spans="2:12" ht="14.1" x14ac:dyDescent="0.5">
      <c r="B381" s="1168" t="str">
        <f>B376</f>
        <v>Costs (inc SBC)</v>
      </c>
      <c r="C381" s="1170">
        <f>-Quarts!H83-Quarts!H36</f>
        <v>195.4</v>
      </c>
      <c r="D381" s="1170">
        <f>-Quarts!I83-Quarts!I36</f>
        <v>201.9</v>
      </c>
      <c r="E381" s="1170">
        <f>-Quarts!J83-Quarts!J36</f>
        <v>274.3</v>
      </c>
      <c r="F381" s="1170">
        <f>-Quarts!K83-Quarts!K36</f>
        <v>347.81699999999989</v>
      </c>
      <c r="G381" s="1170">
        <f>-Quarts!M83-Quarts!M36</f>
        <v>396.19299999999998</v>
      </c>
      <c r="H381" s="1170">
        <f>-Quarts!N83-Quarts!N36</f>
        <v>436.18099999999998</v>
      </c>
      <c r="I381" s="1170">
        <f>-Quarts!O83-Quarts!O36</f>
        <v>466.40000000000003</v>
      </c>
      <c r="J381" s="1170">
        <f>-Quarts!P83-Quarts!P36-355</f>
        <v>494.22599999999989</v>
      </c>
      <c r="K381" s="1170">
        <f>-Quarts!R83-Quarts!R36</f>
        <v>459</v>
      </c>
      <c r="L381" s="1170">
        <f>-Quarts!S83-Quarts!S36</f>
        <v>500.8</v>
      </c>
    </row>
    <row r="382" spans="2:12" ht="14.1" x14ac:dyDescent="0.5">
      <c r="B382" s="557" t="s">
        <v>1498</v>
      </c>
      <c r="C382" s="616">
        <f t="shared" ref="C382:L382" si="37">C381/C380</f>
        <v>0.91608063759962488</v>
      </c>
      <c r="D382" s="616">
        <f t="shared" si="37"/>
        <v>0.72391538185729665</v>
      </c>
      <c r="E382" s="616">
        <f t="shared" si="37"/>
        <v>0.72279314888010548</v>
      </c>
      <c r="F382" s="616">
        <f t="shared" si="37"/>
        <v>0.75787030984442383</v>
      </c>
      <c r="G382" s="616">
        <f t="shared" si="37"/>
        <v>0.65566209471356884</v>
      </c>
      <c r="H382" s="616">
        <f t="shared" si="37"/>
        <v>0.58152736910731251</v>
      </c>
      <c r="I382" s="616">
        <f t="shared" si="37"/>
        <v>0.55064935064935072</v>
      </c>
      <c r="J382" s="616">
        <f t="shared" si="37"/>
        <v>0.47354396723117831</v>
      </c>
      <c r="K382" s="616">
        <f t="shared" si="37"/>
        <v>0.38953334923149907</v>
      </c>
      <c r="L382" s="616">
        <f t="shared" si="37"/>
        <v>0.35387224420576591</v>
      </c>
    </row>
    <row r="383" spans="2:12" ht="14.1" x14ac:dyDescent="0.5">
      <c r="B383" s="1168" t="s">
        <v>24</v>
      </c>
      <c r="C383" s="1168"/>
      <c r="D383" s="1168"/>
      <c r="E383" s="1168"/>
      <c r="F383" s="1168"/>
      <c r="G383" s="1170">
        <f>Quarts!M102</f>
        <v>10.1</v>
      </c>
      <c r="H383" s="1170">
        <f>Quarts!N102</f>
        <v>17</v>
      </c>
      <c r="I383" s="1170">
        <f>Quarts!O102</f>
        <v>73</v>
      </c>
      <c r="J383" s="1170">
        <f>Quarts!P102</f>
        <v>114</v>
      </c>
      <c r="K383" s="1170">
        <f>Quarts!R102</f>
        <v>182</v>
      </c>
      <c r="L383" s="1170">
        <f>Quarts!S102</f>
        <v>262.7</v>
      </c>
    </row>
    <row r="384" spans="2:12" ht="14.1" x14ac:dyDescent="0.5">
      <c r="B384" s="618" t="s">
        <v>1497</v>
      </c>
      <c r="C384" s="619" t="str">
        <f t="shared" ref="C384:L384" si="38">C379</f>
        <v>Q1 21</v>
      </c>
      <c r="D384" s="619" t="str">
        <f t="shared" si="38"/>
        <v>Q2 21</v>
      </c>
      <c r="E384" s="619" t="str">
        <f t="shared" si="38"/>
        <v>Q3 21</v>
      </c>
      <c r="F384" s="619" t="str">
        <f t="shared" si="38"/>
        <v>Q4 21</v>
      </c>
      <c r="G384" s="619" t="str">
        <f t="shared" si="38"/>
        <v>Q1 22</v>
      </c>
      <c r="H384" s="619" t="str">
        <f t="shared" si="38"/>
        <v>Q2 22</v>
      </c>
      <c r="I384" s="619" t="str">
        <f t="shared" si="38"/>
        <v>Q3 22</v>
      </c>
      <c r="J384" s="619" t="str">
        <f t="shared" si="38"/>
        <v>Q4 22</v>
      </c>
      <c r="K384" s="619" t="str">
        <f t="shared" si="38"/>
        <v>Q1 23</v>
      </c>
      <c r="L384" s="619" t="str">
        <f t="shared" si="38"/>
        <v>Q2 23</v>
      </c>
    </row>
    <row r="385" spans="2:12" ht="14.1" x14ac:dyDescent="0.5">
      <c r="B385" s="1168" t="str">
        <f>B380</f>
        <v>NII + F&amp;C</v>
      </c>
      <c r="C385" s="1170">
        <f t="shared" ref="C385:L385" si="39">C380-C375</f>
        <v>2.3000000000000114</v>
      </c>
      <c r="D385" s="1170">
        <f t="shared" si="39"/>
        <v>4.8999999999999773</v>
      </c>
      <c r="E385" s="1170">
        <f t="shared" si="39"/>
        <v>4.8999999999999773</v>
      </c>
      <c r="F385" s="1170">
        <f t="shared" si="39"/>
        <v>36.140000000000043</v>
      </c>
      <c r="G385" s="1170">
        <f t="shared" si="39"/>
        <v>61.964000000000055</v>
      </c>
      <c r="H385" s="1170">
        <f t="shared" si="39"/>
        <v>38.261000000000081</v>
      </c>
      <c r="I385" s="1170">
        <f t="shared" si="39"/>
        <v>69.200000000000045</v>
      </c>
      <c r="J385" s="1170">
        <f t="shared" si="39"/>
        <v>86.074999999999704</v>
      </c>
      <c r="K385" s="1170">
        <f t="shared" si="39"/>
        <v>91.833000000000084</v>
      </c>
      <c r="L385" s="1170">
        <f t="shared" si="39"/>
        <v>1415.2000000000003</v>
      </c>
    </row>
    <row r="386" spans="2:12" ht="14.1" x14ac:dyDescent="0.5">
      <c r="B386" s="557" t="str">
        <f>B381</f>
        <v>Costs (inc SBC)</v>
      </c>
      <c r="C386" s="572">
        <f t="shared" ref="C386:L386" si="40">C381-C376</f>
        <v>51.700000000000017</v>
      </c>
      <c r="D386" s="572">
        <f t="shared" si="40"/>
        <v>30.099999999999994</v>
      </c>
      <c r="E386" s="572">
        <f t="shared" si="40"/>
        <v>28.600000000000023</v>
      </c>
      <c r="F386" s="572">
        <f t="shared" si="40"/>
        <v>57.916999999999916</v>
      </c>
      <c r="G386" s="572">
        <f t="shared" si="40"/>
        <v>70.492999999999995</v>
      </c>
      <c r="H386" s="572">
        <f t="shared" si="40"/>
        <v>51.58099999999996</v>
      </c>
      <c r="I386" s="572">
        <f t="shared" si="40"/>
        <v>48.200000000000045</v>
      </c>
      <c r="J386" s="572">
        <f t="shared" si="40"/>
        <v>101.42599999999987</v>
      </c>
      <c r="K386" s="572">
        <f t="shared" si="40"/>
        <v>57.600000000000023</v>
      </c>
      <c r="L386" s="572">
        <f t="shared" si="40"/>
        <v>500.8</v>
      </c>
    </row>
    <row r="387" spans="2:12" ht="14.1" x14ac:dyDescent="0.5">
      <c r="B387" s="1168" t="s">
        <v>1498</v>
      </c>
      <c r="C387" s="1171">
        <f t="shared" ref="C387:L387" si="41">C386/C385</f>
        <v>22.478260869565112</v>
      </c>
      <c r="D387" s="1171">
        <f t="shared" si="41"/>
        <v>6.1428571428571699</v>
      </c>
      <c r="E387" s="1171">
        <f t="shared" si="41"/>
        <v>5.8367346938775828</v>
      </c>
      <c r="F387" s="1171">
        <f t="shared" si="41"/>
        <v>1.6025733259546167</v>
      </c>
      <c r="G387" s="1171">
        <f t="shared" si="41"/>
        <v>1.1376444387063445</v>
      </c>
      <c r="H387" s="1171">
        <f t="shared" si="41"/>
        <v>1.3481351768118934</v>
      </c>
      <c r="I387" s="1171">
        <f t="shared" si="41"/>
        <v>0.69653179190751469</v>
      </c>
      <c r="J387" s="1171">
        <f t="shared" si="41"/>
        <v>1.1783444670345655</v>
      </c>
      <c r="K387" s="1171">
        <f t="shared" si="41"/>
        <v>0.62722550717062464</v>
      </c>
      <c r="L387" s="1171">
        <f t="shared" si="41"/>
        <v>0.35387224420576591</v>
      </c>
    </row>
    <row r="388" spans="2:12" ht="14.1" x14ac:dyDescent="0.5">
      <c r="B388" s="557" t="s">
        <v>24</v>
      </c>
      <c r="C388" s="557"/>
      <c r="D388" s="557"/>
      <c r="E388" s="557"/>
      <c r="F388" s="557"/>
      <c r="G388" s="572">
        <f t="shared" ref="G388:L388" si="42">G383-G378</f>
        <v>-2.9000000000000004</v>
      </c>
      <c r="H388" s="572">
        <f t="shared" si="42"/>
        <v>-31</v>
      </c>
      <c r="I388" s="572">
        <f t="shared" si="42"/>
        <v>9</v>
      </c>
      <c r="J388" s="572">
        <f t="shared" si="42"/>
        <v>-44</v>
      </c>
      <c r="K388" s="572">
        <f t="shared" si="42"/>
        <v>11</v>
      </c>
      <c r="L388" s="572">
        <f t="shared" si="42"/>
        <v>262.7</v>
      </c>
    </row>
    <row r="389" spans="2:12" ht="14.1" x14ac:dyDescent="0.5">
      <c r="B389" s="1172" t="s">
        <v>1532</v>
      </c>
      <c r="C389" s="1174"/>
      <c r="D389" s="1174"/>
      <c r="E389" s="1174"/>
      <c r="F389" s="1174"/>
      <c r="G389" s="1174"/>
      <c r="H389" s="1174"/>
      <c r="I389" s="1174"/>
      <c r="J389" s="1174"/>
      <c r="K389" s="1174"/>
      <c r="L389" s="1174"/>
    </row>
    <row r="390" spans="2:12" ht="14.1" x14ac:dyDescent="0.5">
      <c r="B390" s="623" t="str">
        <f>B385</f>
        <v>NII + F&amp;C</v>
      </c>
      <c r="C390" s="617">
        <f t="shared" ref="C390:L390" si="43">C385/C380</f>
        <v>1.0782934833567797E-2</v>
      </c>
      <c r="D390" s="617">
        <f t="shared" si="43"/>
        <v>1.7569021154535597E-2</v>
      </c>
      <c r="E390" s="617">
        <f t="shared" si="43"/>
        <v>1.2911725955204156E-2</v>
      </c>
      <c r="F390" s="617">
        <f t="shared" si="43"/>
        <v>7.8746677125550266E-2</v>
      </c>
      <c r="G390" s="617">
        <f t="shared" si="43"/>
        <v>0.10254458316232649</v>
      </c>
      <c r="H390" s="617">
        <f t="shared" si="43"/>
        <v>5.1010517811218126E-2</v>
      </c>
      <c r="I390" s="617">
        <f t="shared" si="43"/>
        <v>8.1700118063754476E-2</v>
      </c>
      <c r="J390" s="617">
        <f t="shared" si="43"/>
        <v>8.2472992071286291E-2</v>
      </c>
      <c r="K390" s="617">
        <f t="shared" si="43"/>
        <v>7.7934675511930909E-2</v>
      </c>
      <c r="L390" s="617">
        <f t="shared" si="43"/>
        <v>1</v>
      </c>
    </row>
  </sheetData>
  <phoneticPr fontId="81" type="noConversion"/>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6242E-31F1-4B2F-BEBD-6BEC46CBB2B0}">
  <dimension ref="A1:X520"/>
  <sheetViews>
    <sheetView zoomScale="80" zoomScaleNormal="80" workbookViewId="0">
      <pane xSplit="1" ySplit="4" topLeftCell="B335" activePane="bottomRight" state="frozen"/>
      <selection pane="topRight" activeCell="B1" sqref="B1"/>
      <selection pane="bottomLeft" activeCell="A5" sqref="A5"/>
      <selection pane="bottomRight" activeCell="G4" sqref="G4"/>
    </sheetView>
  </sheetViews>
  <sheetFormatPr defaultRowHeight="15.6" x14ac:dyDescent="0.6"/>
  <cols>
    <col min="1" max="1" width="61.19921875" bestFit="1" customWidth="1"/>
    <col min="2" max="2" width="10.59765625" bestFit="1" customWidth="1"/>
    <col min="3" max="15" width="7.5" customWidth="1"/>
    <col min="18" max="18" width="9" customWidth="1"/>
    <col min="19" max="19" width="25.5" bestFit="1" customWidth="1"/>
    <col min="20" max="20" width="17.09765625" bestFit="1" customWidth="1"/>
    <col min="21" max="22" width="6.5" bestFit="1" customWidth="1"/>
    <col min="23" max="23" width="7.19921875" bestFit="1" customWidth="1"/>
    <col min="24" max="24" width="6.5" bestFit="1" customWidth="1"/>
  </cols>
  <sheetData>
    <row r="1" spans="1:15" x14ac:dyDescent="0.6">
      <c r="A1" s="96" t="s">
        <v>135</v>
      </c>
      <c r="B1" s="17">
        <v>2017</v>
      </c>
      <c r="C1" s="17">
        <v>2018</v>
      </c>
      <c r="D1" s="17">
        <v>2019</v>
      </c>
      <c r="E1" s="17">
        <v>2020</v>
      </c>
      <c r="F1" s="17">
        <v>2021</v>
      </c>
      <c r="G1" s="17">
        <v>2022</v>
      </c>
      <c r="H1" s="18">
        <v>2023</v>
      </c>
      <c r="I1" s="18">
        <v>2024</v>
      </c>
      <c r="J1" s="18">
        <v>2025</v>
      </c>
      <c r="K1" s="18">
        <v>2026</v>
      </c>
      <c r="L1" s="18">
        <v>2027</v>
      </c>
      <c r="M1" s="18">
        <v>2028</v>
      </c>
      <c r="N1" s="18">
        <v>2029</v>
      </c>
      <c r="O1" s="18">
        <v>2030</v>
      </c>
    </row>
    <row r="2" spans="1:15" x14ac:dyDescent="0.6">
      <c r="A2" s="20" t="s">
        <v>136</v>
      </c>
      <c r="B2" s="20"/>
      <c r="C2" s="21" t="s">
        <v>7</v>
      </c>
      <c r="D2" s="21" t="s">
        <v>7</v>
      </c>
      <c r="E2" s="21" t="s">
        <v>7</v>
      </c>
      <c r="F2" s="21" t="s">
        <v>7</v>
      </c>
      <c r="G2" s="21" t="s">
        <v>8</v>
      </c>
      <c r="H2" s="21" t="s">
        <v>8</v>
      </c>
      <c r="I2" s="21" t="s">
        <v>8</v>
      </c>
      <c r="J2" s="21" t="s">
        <v>8</v>
      </c>
      <c r="K2" s="21" t="s">
        <v>8</v>
      </c>
      <c r="L2" s="21" t="s">
        <v>8</v>
      </c>
      <c r="M2" s="21" t="s">
        <v>8</v>
      </c>
      <c r="N2" s="21" t="s">
        <v>8</v>
      </c>
      <c r="O2" s="21" t="s">
        <v>8</v>
      </c>
    </row>
    <row r="3" spans="1:15" x14ac:dyDescent="0.6">
      <c r="A3" s="20"/>
      <c r="B3" s="20"/>
      <c r="C3" s="21"/>
      <c r="D3" s="21"/>
      <c r="E3" s="21"/>
      <c r="F3" s="21"/>
      <c r="G3" s="21"/>
      <c r="H3" s="21"/>
      <c r="I3" s="21"/>
      <c r="J3" s="21"/>
      <c r="K3" s="21"/>
      <c r="L3" s="21"/>
      <c r="M3" s="21"/>
      <c r="N3" s="21"/>
      <c r="O3" s="21"/>
    </row>
    <row r="4" spans="1:15" x14ac:dyDescent="0.6">
      <c r="A4" s="40" t="s">
        <v>256</v>
      </c>
      <c r="B4" s="40"/>
      <c r="C4" s="1097">
        <f>Macro!C5</f>
        <v>3.6558000000000002</v>
      </c>
      <c r="D4" s="1097">
        <f>Macro!D5</f>
        <v>3.9460999999999999</v>
      </c>
      <c r="E4" s="1097">
        <f>Macro!E5</f>
        <v>5.1551999999999998</v>
      </c>
      <c r="F4" s="1097">
        <f>Macro!F5</f>
        <v>5.3956</v>
      </c>
      <c r="G4" s="1097">
        <f>Macro!G5</f>
        <v>5.16</v>
      </c>
      <c r="H4" s="1097">
        <f>Macro!H5</f>
        <v>5.0149999999999997</v>
      </c>
      <c r="I4" s="1097">
        <f>Macro!I5</f>
        <v>5.17</v>
      </c>
      <c r="J4" s="1097">
        <f>Macro!J5</f>
        <v>5.04</v>
      </c>
      <c r="K4" s="1097">
        <f>Macro!K5</f>
        <v>5.17</v>
      </c>
      <c r="L4" s="1097">
        <f>Macro!L5</f>
        <v>5.17</v>
      </c>
      <c r="M4" s="1097">
        <f>Macro!M5</f>
        <v>5.17</v>
      </c>
      <c r="N4" s="1097">
        <f>Macro!N5</f>
        <v>5.17</v>
      </c>
      <c r="O4" s="1097">
        <f>Macro!O5</f>
        <v>5.17</v>
      </c>
    </row>
    <row r="5" spans="1:15" x14ac:dyDescent="0.6">
      <c r="A5" s="40"/>
      <c r="B5" s="40"/>
      <c r="C5" s="1039"/>
      <c r="D5" s="1039"/>
      <c r="E5" s="1039"/>
      <c r="F5" s="1039"/>
      <c r="G5" s="1040"/>
      <c r="H5" s="1040"/>
      <c r="I5" s="1040"/>
      <c r="J5" s="1040"/>
      <c r="K5" s="1040"/>
      <c r="L5" s="1040"/>
      <c r="M5" s="1040"/>
      <c r="N5" s="1040"/>
      <c r="O5" s="1040"/>
    </row>
    <row r="6" spans="1:15" ht="15.9" thickBot="1" x14ac:dyDescent="0.65">
      <c r="A6" s="65" t="s">
        <v>1308</v>
      </c>
      <c r="B6" s="65"/>
      <c r="C6" s="109"/>
      <c r="D6" s="109"/>
      <c r="E6" s="109"/>
      <c r="F6" s="109"/>
      <c r="G6" s="109"/>
      <c r="H6" s="109"/>
      <c r="I6" s="109"/>
      <c r="J6" s="109"/>
      <c r="K6" s="109"/>
      <c r="L6" s="109"/>
      <c r="M6" s="109"/>
      <c r="N6" s="109"/>
      <c r="O6" s="109"/>
    </row>
    <row r="7" spans="1:15" x14ac:dyDescent="0.6">
      <c r="A7" s="40"/>
      <c r="B7" s="40"/>
      <c r="C7" s="126"/>
      <c r="D7" s="126"/>
      <c r="E7" s="126"/>
      <c r="F7" s="1021"/>
      <c r="G7" s="126"/>
      <c r="H7" s="126"/>
      <c r="I7" s="126"/>
      <c r="J7" s="126"/>
      <c r="K7" s="126"/>
      <c r="L7" s="126"/>
      <c r="M7" s="126"/>
      <c r="N7" s="126"/>
      <c r="O7" s="126"/>
    </row>
    <row r="8" spans="1:15" x14ac:dyDescent="0.6">
      <c r="A8" s="1022" t="s">
        <v>710</v>
      </c>
      <c r="B8" s="1022"/>
      <c r="C8" s="1021">
        <f>Subs!B9</f>
        <v>5.0999999999999996</v>
      </c>
      <c r="D8" s="1021">
        <f>Subs!C9</f>
        <v>12.1</v>
      </c>
      <c r="E8" s="1021">
        <f>E16</f>
        <v>21.8</v>
      </c>
      <c r="F8" s="1021">
        <f>F16</f>
        <v>41.1</v>
      </c>
      <c r="G8" s="1021">
        <f>G16</f>
        <v>61.2</v>
      </c>
      <c r="H8" s="1021">
        <f t="shared" ref="H8:O8" si="0">H76+H129+H160</f>
        <v>75.7</v>
      </c>
      <c r="I8" s="1021">
        <f t="shared" si="0"/>
        <v>87.2</v>
      </c>
      <c r="J8" s="1021">
        <f t="shared" si="0"/>
        <v>99.2</v>
      </c>
      <c r="K8" s="1021">
        <f t="shared" si="0"/>
        <v>109.2</v>
      </c>
      <c r="L8" s="1021">
        <f t="shared" si="0"/>
        <v>117.2</v>
      </c>
      <c r="M8" s="1021">
        <f t="shared" si="0"/>
        <v>122.7</v>
      </c>
      <c r="N8" s="1021">
        <f t="shared" si="0"/>
        <v>127.2</v>
      </c>
      <c r="O8" s="1021">
        <f t="shared" si="0"/>
        <v>130.70000000000002</v>
      </c>
    </row>
    <row r="9" spans="1:15" x14ac:dyDescent="0.6">
      <c r="A9" s="1023" t="s">
        <v>261</v>
      </c>
      <c r="B9" s="1023"/>
      <c r="C9" s="149"/>
      <c r="D9" s="1024">
        <f t="shared" ref="D9:O9" si="1">D8/C8-1</f>
        <v>1.3725490196078431</v>
      </c>
      <c r="E9" s="1025">
        <f t="shared" si="1"/>
        <v>0.80165289256198369</v>
      </c>
      <c r="F9" s="1025">
        <f t="shared" si="1"/>
        <v>0.8853211009174311</v>
      </c>
      <c r="G9" s="1024">
        <f t="shared" si="1"/>
        <v>0.48905109489051091</v>
      </c>
      <c r="H9" s="1024">
        <f t="shared" si="1"/>
        <v>0.23692810457516345</v>
      </c>
      <c r="I9" s="1024">
        <f t="shared" si="1"/>
        <v>0.15191545574636733</v>
      </c>
      <c r="J9" s="1024">
        <f t="shared" si="1"/>
        <v>0.13761467889908263</v>
      </c>
      <c r="K9" s="1024">
        <f t="shared" si="1"/>
        <v>0.10080645161290325</v>
      </c>
      <c r="L9" s="1024">
        <f t="shared" si="1"/>
        <v>7.3260073260073222E-2</v>
      </c>
      <c r="M9" s="1024">
        <f t="shared" si="1"/>
        <v>4.6928327645051171E-2</v>
      </c>
      <c r="N9" s="1024">
        <f t="shared" si="1"/>
        <v>3.6674816625916762E-2</v>
      </c>
      <c r="O9" s="1024">
        <f t="shared" si="1"/>
        <v>2.7515723270440384E-2</v>
      </c>
    </row>
    <row r="10" spans="1:15" x14ac:dyDescent="0.6">
      <c r="A10" s="1023"/>
      <c r="B10" s="1023"/>
      <c r="C10" s="149"/>
      <c r="D10" s="1024"/>
      <c r="E10" s="1025"/>
      <c r="F10" s="1025"/>
      <c r="G10" s="1024"/>
      <c r="H10" s="1024"/>
      <c r="I10" s="1024"/>
      <c r="J10" s="1024"/>
      <c r="K10" s="1024"/>
      <c r="L10" s="1024"/>
      <c r="M10" s="1024"/>
      <c r="N10" s="1024"/>
      <c r="O10" s="1024"/>
    </row>
    <row r="11" spans="1:15" x14ac:dyDescent="0.6">
      <c r="A11" s="1016" t="s">
        <v>175</v>
      </c>
      <c r="B11" s="1026">
        <v>0</v>
      </c>
      <c r="C11" s="1026">
        <v>6</v>
      </c>
      <c r="D11" s="1026">
        <v>20.100000000000001</v>
      </c>
      <c r="E11" s="1026">
        <v>33.299999999999997</v>
      </c>
      <c r="F11" s="1026">
        <v>53.9</v>
      </c>
      <c r="G11" s="1026">
        <v>74.599999999999994</v>
      </c>
      <c r="H11" s="1027">
        <f>H16/H18</f>
        <v>92.274836601307186</v>
      </c>
      <c r="I11" s="1027">
        <f t="shared" ref="I11:O11" si="2">I16/I18</f>
        <v>106.29281045751632</v>
      </c>
      <c r="J11" s="1027">
        <f t="shared" si="2"/>
        <v>120.92026143790848</v>
      </c>
      <c r="K11" s="1027">
        <f t="shared" si="2"/>
        <v>133.10980392156861</v>
      </c>
      <c r="L11" s="1027">
        <f t="shared" si="2"/>
        <v>142.86143790849673</v>
      </c>
      <c r="M11" s="1027">
        <f t="shared" si="2"/>
        <v>149.5656862745098</v>
      </c>
      <c r="N11" s="1027">
        <f t="shared" si="2"/>
        <v>155.05098039215684</v>
      </c>
      <c r="O11" s="1027">
        <f t="shared" si="2"/>
        <v>159.31732026143791</v>
      </c>
    </row>
    <row r="12" spans="1:15" x14ac:dyDescent="0.6">
      <c r="A12" s="1019" t="s">
        <v>711</v>
      </c>
      <c r="B12" s="1026">
        <v>0</v>
      </c>
      <c r="C12" s="1026">
        <v>6</v>
      </c>
      <c r="D12" s="1026">
        <v>20.100000000000001</v>
      </c>
      <c r="E12" s="1026">
        <v>33.299999999999997</v>
      </c>
      <c r="F12" s="1026">
        <v>52.4</v>
      </c>
      <c r="G12" s="1026">
        <v>70.900000000000006</v>
      </c>
      <c r="H12" s="1027">
        <f>H19/H$18</f>
        <v>81.26111111111112</v>
      </c>
      <c r="I12" s="1027">
        <f t="shared" ref="I12:O12" si="3">I19/I$18</f>
        <v>87.35588235294118</v>
      </c>
      <c r="J12" s="1027">
        <f t="shared" si="3"/>
        <v>93.450653594771254</v>
      </c>
      <c r="K12" s="1027">
        <f t="shared" si="3"/>
        <v>98.326470588235296</v>
      </c>
      <c r="L12" s="1027">
        <f t="shared" si="3"/>
        <v>101.98333333333333</v>
      </c>
      <c r="M12" s="1027">
        <f t="shared" si="3"/>
        <v>104.42124183006537</v>
      </c>
      <c r="N12" s="1027">
        <f t="shared" si="3"/>
        <v>106.85915032679739</v>
      </c>
      <c r="O12" s="1027">
        <f t="shared" si="3"/>
        <v>109.29705882352941</v>
      </c>
    </row>
    <row r="13" spans="1:15" x14ac:dyDescent="0.6">
      <c r="A13" s="1019" t="s">
        <v>712</v>
      </c>
      <c r="B13" s="172"/>
      <c r="C13" s="1028"/>
      <c r="D13" s="1029"/>
      <c r="E13" s="1026"/>
      <c r="F13" s="1026">
        <v>1.4</v>
      </c>
      <c r="G13" s="1026">
        <v>3.2</v>
      </c>
      <c r="H13" s="1027">
        <f>H20/H$18</f>
        <v>9.2947712418300643</v>
      </c>
      <c r="I13" s="1027">
        <f t="shared" ref="I13:O13" si="4">I20/I$18</f>
        <v>15.389542483660128</v>
      </c>
      <c r="J13" s="1027">
        <f t="shared" si="4"/>
        <v>21.484313725490193</v>
      </c>
      <c r="K13" s="1027">
        <f t="shared" si="4"/>
        <v>27.579084967320256</v>
      </c>
      <c r="L13" s="1027">
        <f t="shared" si="4"/>
        <v>32.454901960784312</v>
      </c>
      <c r="M13" s="1027">
        <f t="shared" si="4"/>
        <v>36.111764705882351</v>
      </c>
      <c r="N13" s="1027">
        <f t="shared" si="4"/>
        <v>38.549673202614372</v>
      </c>
      <c r="O13" s="1027">
        <f t="shared" si="4"/>
        <v>39.768627450980389</v>
      </c>
    </row>
    <row r="14" spans="1:15" x14ac:dyDescent="0.6">
      <c r="A14" s="1019" t="s">
        <v>713</v>
      </c>
      <c r="B14" s="172"/>
      <c r="C14" s="1028"/>
      <c r="D14" s="1029"/>
      <c r="E14" s="1026"/>
      <c r="F14" s="211">
        <f>F11-F12-F13</f>
        <v>0.10000000000000009</v>
      </c>
      <c r="G14" s="211">
        <f>G11-G12-G13</f>
        <v>0.49999999999998845</v>
      </c>
      <c r="H14" s="1027">
        <f>H21/H$18</f>
        <v>1.7189542483660012</v>
      </c>
      <c r="I14" s="1027">
        <f t="shared" ref="I14:O14" si="5">I21/I$18</f>
        <v>3.547385620915021</v>
      </c>
      <c r="J14" s="1027">
        <f t="shared" si="5"/>
        <v>5.9852941176470464</v>
      </c>
      <c r="K14" s="1027">
        <f t="shared" si="5"/>
        <v>7.2042483660130596</v>
      </c>
      <c r="L14" s="1027">
        <f t="shared" si="5"/>
        <v>8.4232026143790719</v>
      </c>
      <c r="M14" s="1027">
        <f t="shared" si="5"/>
        <v>9.032679738562079</v>
      </c>
      <c r="N14" s="1027">
        <f t="shared" si="5"/>
        <v>9.642156862745086</v>
      </c>
      <c r="O14" s="1027">
        <f t="shared" si="5"/>
        <v>10.251633986928091</v>
      </c>
    </row>
    <row r="15" spans="1:15" x14ac:dyDescent="0.6">
      <c r="A15" s="1019"/>
      <c r="B15" s="178"/>
      <c r="C15" s="1030"/>
      <c r="D15" s="1031"/>
      <c r="E15" s="1030"/>
      <c r="F15" s="1030"/>
      <c r="G15" s="1030"/>
      <c r="H15" s="1030"/>
      <c r="I15" s="1032"/>
      <c r="J15" s="1033"/>
      <c r="K15" s="1033"/>
      <c r="L15" s="1033"/>
      <c r="M15" s="1033"/>
      <c r="N15" s="1033"/>
      <c r="O15" s="1033"/>
    </row>
    <row r="16" spans="1:15" x14ac:dyDescent="0.6">
      <c r="A16" s="1016" t="s">
        <v>177</v>
      </c>
      <c r="B16" s="1026">
        <v>0</v>
      </c>
      <c r="C16" s="1026">
        <v>5.0999999999999996</v>
      </c>
      <c r="D16" s="1026">
        <v>12.1</v>
      </c>
      <c r="E16" s="1026">
        <v>21.8</v>
      </c>
      <c r="F16" s="1026">
        <v>41.1</v>
      </c>
      <c r="G16" s="1026">
        <v>61.2</v>
      </c>
      <c r="H16" s="211">
        <f>H19+H20+H21</f>
        <v>75.7</v>
      </c>
      <c r="I16" s="211">
        <f t="shared" ref="I16:O16" si="6">I19+I20+I21</f>
        <v>87.2</v>
      </c>
      <c r="J16" s="211">
        <f t="shared" si="6"/>
        <v>99.2</v>
      </c>
      <c r="K16" s="211">
        <f t="shared" si="6"/>
        <v>109.2</v>
      </c>
      <c r="L16" s="211">
        <f t="shared" si="6"/>
        <v>117.2</v>
      </c>
      <c r="M16" s="211">
        <f t="shared" si="6"/>
        <v>122.7</v>
      </c>
      <c r="N16" s="211">
        <f t="shared" si="6"/>
        <v>127.2</v>
      </c>
      <c r="O16" s="211">
        <f t="shared" si="6"/>
        <v>130.70000000000002</v>
      </c>
    </row>
    <row r="17" spans="1:15" x14ac:dyDescent="0.6">
      <c r="A17" s="1019" t="s">
        <v>679</v>
      </c>
      <c r="B17" s="211"/>
      <c r="C17" s="211">
        <f>C16-B16</f>
        <v>5.0999999999999996</v>
      </c>
      <c r="D17" s="211">
        <f>D16-C16</f>
        <v>7</v>
      </c>
      <c r="E17" s="211">
        <f>E16-D16</f>
        <v>9.7000000000000011</v>
      </c>
      <c r="F17" s="211">
        <f>F16-E16</f>
        <v>19.3</v>
      </c>
      <c r="G17" s="211">
        <f>G16-F16</f>
        <v>20.100000000000001</v>
      </c>
      <c r="H17" s="211">
        <f t="shared" ref="H17:O17" si="7">H16-G16</f>
        <v>14.5</v>
      </c>
      <c r="I17" s="211">
        <f t="shared" si="7"/>
        <v>11.5</v>
      </c>
      <c r="J17" s="211">
        <f t="shared" si="7"/>
        <v>12</v>
      </c>
      <c r="K17" s="211">
        <f t="shared" si="7"/>
        <v>10</v>
      </c>
      <c r="L17" s="211">
        <f t="shared" si="7"/>
        <v>8</v>
      </c>
      <c r="M17" s="211">
        <f t="shared" si="7"/>
        <v>5.5</v>
      </c>
      <c r="N17" s="211">
        <f t="shared" si="7"/>
        <v>4.5</v>
      </c>
      <c r="O17" s="211">
        <f t="shared" si="7"/>
        <v>3.5000000000000142</v>
      </c>
    </row>
    <row r="18" spans="1:15" x14ac:dyDescent="0.6">
      <c r="A18" s="1019" t="s">
        <v>714</v>
      </c>
      <c r="B18" s="1024"/>
      <c r="C18" s="1024">
        <f>C16/C11</f>
        <v>0.85</v>
      </c>
      <c r="D18" s="1024">
        <f>D16/D11</f>
        <v>0.60199004975124371</v>
      </c>
      <c r="E18" s="1024">
        <f>E16/E11</f>
        <v>0.65465465465465478</v>
      </c>
      <c r="F18" s="1024">
        <f>F16/F11</f>
        <v>0.76252319109461975</v>
      </c>
      <c r="G18" s="1024">
        <f>G16/G11</f>
        <v>0.82037533512064353</v>
      </c>
      <c r="H18" s="1034">
        <f>G18</f>
        <v>0.82037533512064353</v>
      </c>
      <c r="I18" s="1034">
        <f t="shared" ref="I18:O18" si="8">H18</f>
        <v>0.82037533512064353</v>
      </c>
      <c r="J18" s="1034">
        <f t="shared" si="8"/>
        <v>0.82037533512064353</v>
      </c>
      <c r="K18" s="1034">
        <f t="shared" si="8"/>
        <v>0.82037533512064353</v>
      </c>
      <c r="L18" s="1034">
        <f t="shared" si="8"/>
        <v>0.82037533512064353</v>
      </c>
      <c r="M18" s="1034">
        <f t="shared" si="8"/>
        <v>0.82037533512064353</v>
      </c>
      <c r="N18" s="1034">
        <f t="shared" si="8"/>
        <v>0.82037533512064353</v>
      </c>
      <c r="O18" s="1034">
        <f t="shared" si="8"/>
        <v>0.82037533512064353</v>
      </c>
    </row>
    <row r="19" spans="1:15" x14ac:dyDescent="0.6">
      <c r="A19" s="1019" t="s">
        <v>715</v>
      </c>
      <c r="B19" s="211"/>
      <c r="C19" s="211">
        <f t="shared" ref="C19:F21" si="9">C$18*C12</f>
        <v>5.0999999999999996</v>
      </c>
      <c r="D19" s="211">
        <f t="shared" si="9"/>
        <v>12.1</v>
      </c>
      <c r="E19" s="211">
        <f t="shared" si="9"/>
        <v>21.8</v>
      </c>
      <c r="F19" s="211">
        <f t="shared" si="9"/>
        <v>39.956215213358071</v>
      </c>
      <c r="G19" s="211">
        <f>G$18*G12</f>
        <v>58.164611260053633</v>
      </c>
      <c r="H19" s="211">
        <f>H76</f>
        <v>66.664611260053633</v>
      </c>
      <c r="I19" s="211">
        <f t="shared" ref="I19:O19" si="10">I76</f>
        <v>71.664611260053633</v>
      </c>
      <c r="J19" s="211">
        <f t="shared" si="10"/>
        <v>76.664611260053633</v>
      </c>
      <c r="K19" s="211">
        <f t="shared" si="10"/>
        <v>80.664611260053633</v>
      </c>
      <c r="L19" s="211">
        <f t="shared" si="10"/>
        <v>83.664611260053633</v>
      </c>
      <c r="M19" s="211">
        <f t="shared" si="10"/>
        <v>85.664611260053633</v>
      </c>
      <c r="N19" s="211">
        <f t="shared" si="10"/>
        <v>87.664611260053633</v>
      </c>
      <c r="O19" s="211">
        <f t="shared" si="10"/>
        <v>89.664611260053633</v>
      </c>
    </row>
    <row r="20" spans="1:15" x14ac:dyDescent="0.6">
      <c r="A20" s="1019" t="s">
        <v>716</v>
      </c>
      <c r="B20" s="211"/>
      <c r="C20" s="211">
        <f t="shared" si="9"/>
        <v>0</v>
      </c>
      <c r="D20" s="211">
        <f t="shared" si="9"/>
        <v>0</v>
      </c>
      <c r="E20" s="211">
        <f t="shared" si="9"/>
        <v>0</v>
      </c>
      <c r="F20" s="211">
        <f t="shared" si="9"/>
        <v>1.0675324675324676</v>
      </c>
      <c r="G20" s="211">
        <f>G$18*G13</f>
        <v>2.6252010723860595</v>
      </c>
      <c r="H20" s="211">
        <f>H129</f>
        <v>7.6252010723860595</v>
      </c>
      <c r="I20" s="211">
        <f t="shared" ref="I20:O20" si="11">I129</f>
        <v>12.625201072386059</v>
      </c>
      <c r="J20" s="211">
        <f t="shared" si="11"/>
        <v>17.625201072386059</v>
      </c>
      <c r="K20" s="211">
        <f t="shared" si="11"/>
        <v>22.625201072386059</v>
      </c>
      <c r="L20" s="211">
        <f t="shared" si="11"/>
        <v>26.625201072386059</v>
      </c>
      <c r="M20" s="211">
        <f t="shared" si="11"/>
        <v>29.625201072386059</v>
      </c>
      <c r="N20" s="211">
        <f t="shared" si="11"/>
        <v>31.625201072386059</v>
      </c>
      <c r="O20" s="211">
        <f t="shared" si="11"/>
        <v>32.625201072386062</v>
      </c>
    </row>
    <row r="21" spans="1:15" x14ac:dyDescent="0.6">
      <c r="A21" s="1019" t="s">
        <v>717</v>
      </c>
      <c r="B21" s="211"/>
      <c r="C21" s="211">
        <f t="shared" si="9"/>
        <v>0</v>
      </c>
      <c r="D21" s="211">
        <f t="shared" si="9"/>
        <v>0</v>
      </c>
      <c r="E21" s="211">
        <f t="shared" si="9"/>
        <v>0</v>
      </c>
      <c r="F21" s="211">
        <f t="shared" si="9"/>
        <v>7.6252319109462036E-2</v>
      </c>
      <c r="G21" s="211">
        <f>G$18*G14</f>
        <v>0.41018766756031227</v>
      </c>
      <c r="H21" s="211">
        <f>H160</f>
        <v>1.4101876675603122</v>
      </c>
      <c r="I21" s="211">
        <f t="shared" ref="I21:O21" si="12">I160</f>
        <v>2.9101876675603124</v>
      </c>
      <c r="J21" s="211">
        <f t="shared" si="12"/>
        <v>4.9101876675603124</v>
      </c>
      <c r="K21" s="211">
        <f t="shared" si="12"/>
        <v>5.9101876675603124</v>
      </c>
      <c r="L21" s="211">
        <f t="shared" si="12"/>
        <v>6.9101876675603124</v>
      </c>
      <c r="M21" s="211">
        <f t="shared" si="12"/>
        <v>7.4101876675603124</v>
      </c>
      <c r="N21" s="211">
        <f t="shared" si="12"/>
        <v>7.9101876675603124</v>
      </c>
      <c r="O21" s="211">
        <f t="shared" si="12"/>
        <v>8.4101876675603116</v>
      </c>
    </row>
    <row r="22" spans="1:15" x14ac:dyDescent="0.6">
      <c r="A22" s="1023"/>
      <c r="B22" s="1023"/>
      <c r="C22" s="149"/>
      <c r="D22" s="1024"/>
      <c r="E22" s="1025"/>
      <c r="F22" s="1025"/>
      <c r="G22" s="1025"/>
      <c r="H22" s="1025"/>
      <c r="I22" s="1025"/>
      <c r="J22" s="1025"/>
      <c r="K22" s="1025"/>
      <c r="L22" s="1025"/>
      <c r="M22" s="1025"/>
      <c r="N22" s="1025"/>
      <c r="O22" s="1025"/>
    </row>
    <row r="23" spans="1:15" x14ac:dyDescent="0.6">
      <c r="A23" s="1019" t="s">
        <v>270</v>
      </c>
      <c r="B23" s="1024"/>
      <c r="C23" s="1024">
        <f t="shared" ref="C23:F25" si="13">C19/C$16</f>
        <v>1</v>
      </c>
      <c r="D23" s="1024">
        <f t="shared" si="13"/>
        <v>1</v>
      </c>
      <c r="E23" s="1024">
        <f t="shared" si="13"/>
        <v>1</v>
      </c>
      <c r="F23" s="1024">
        <f t="shared" si="13"/>
        <v>0.9721706864564007</v>
      </c>
      <c r="G23" s="1024">
        <f t="shared" ref="G23:O23" si="14">G19/G$16</f>
        <v>0.95040214477211815</v>
      </c>
      <c r="H23" s="1024">
        <f t="shared" si="14"/>
        <v>0.88064215667177848</v>
      </c>
      <c r="I23" s="1024">
        <f t="shared" si="14"/>
        <v>0.8218418722483215</v>
      </c>
      <c r="J23" s="1024">
        <f t="shared" si="14"/>
        <v>0.7728287425408632</v>
      </c>
      <c r="K23" s="1024">
        <f t="shared" si="14"/>
        <v>0.73868691630085748</v>
      </c>
      <c r="L23" s="1024">
        <f t="shared" si="14"/>
        <v>0.7138618708195702</v>
      </c>
      <c r="M23" s="1024">
        <f t="shared" si="14"/>
        <v>0.69816309095398232</v>
      </c>
      <c r="N23" s="1024">
        <f t="shared" si="14"/>
        <v>0.68918719544067319</v>
      </c>
      <c r="O23" s="1024">
        <f t="shared" si="14"/>
        <v>0.68603375103330999</v>
      </c>
    </row>
    <row r="24" spans="1:15" x14ac:dyDescent="0.6">
      <c r="A24" s="1019" t="s">
        <v>276</v>
      </c>
      <c r="B24" s="1024"/>
      <c r="C24" s="1038">
        <f t="shared" si="13"/>
        <v>0</v>
      </c>
      <c r="D24" s="1038">
        <f t="shared" si="13"/>
        <v>0</v>
      </c>
      <c r="E24" s="1038">
        <f t="shared" si="13"/>
        <v>0</v>
      </c>
      <c r="F24" s="1038">
        <f t="shared" si="13"/>
        <v>2.5974025974025972E-2</v>
      </c>
      <c r="G24" s="1038">
        <f t="shared" ref="G24:O24" si="15">G20/G$16</f>
        <v>4.2895442359249338E-2</v>
      </c>
      <c r="H24" s="1038">
        <f t="shared" si="15"/>
        <v>0.1007292083538449</v>
      </c>
      <c r="I24" s="1038">
        <f t="shared" si="15"/>
        <v>0.14478441596773003</v>
      </c>
      <c r="J24" s="1038">
        <f t="shared" si="15"/>
        <v>0.17767339790711753</v>
      </c>
      <c r="K24" s="1038">
        <f t="shared" si="15"/>
        <v>0.20719048601086135</v>
      </c>
      <c r="L24" s="1038">
        <f t="shared" si="15"/>
        <v>0.22717748355278206</v>
      </c>
      <c r="M24" s="1038">
        <f t="shared" si="15"/>
        <v>0.24144418151903876</v>
      </c>
      <c r="N24" s="1038">
        <f t="shared" si="15"/>
        <v>0.24862579459423001</v>
      </c>
      <c r="O24" s="1038">
        <f t="shared" si="15"/>
        <v>0.24961898295628202</v>
      </c>
    </row>
    <row r="25" spans="1:15" x14ac:dyDescent="0.6">
      <c r="A25" s="1019" t="s">
        <v>277</v>
      </c>
      <c r="B25" s="1024"/>
      <c r="C25" s="1038">
        <f t="shared" si="13"/>
        <v>0</v>
      </c>
      <c r="D25" s="1038">
        <f t="shared" si="13"/>
        <v>0</v>
      </c>
      <c r="E25" s="1038">
        <f t="shared" si="13"/>
        <v>0</v>
      </c>
      <c r="F25" s="1038">
        <f t="shared" si="13"/>
        <v>1.8552875695732854E-3</v>
      </c>
      <c r="G25" s="1038">
        <f t="shared" ref="G25:O25" si="16">G21/G$16</f>
        <v>6.7024128686325535E-3</v>
      </c>
      <c r="H25" s="1038">
        <f t="shared" si="16"/>
        <v>1.8628634974376647E-2</v>
      </c>
      <c r="I25" s="1038">
        <f t="shared" si="16"/>
        <v>3.3373711783948538E-2</v>
      </c>
      <c r="J25" s="1038">
        <f t="shared" si="16"/>
        <v>4.9497859552019276E-2</v>
      </c>
      <c r="K25" s="1038">
        <f t="shared" si="16"/>
        <v>5.4122597688281246E-2</v>
      </c>
      <c r="L25" s="1038">
        <f t="shared" si="16"/>
        <v>5.8960645627647718E-2</v>
      </c>
      <c r="M25" s="1038">
        <f t="shared" si="16"/>
        <v>6.0392727526978912E-2</v>
      </c>
      <c r="N25" s="1038">
        <f t="shared" si="16"/>
        <v>6.2187009965096796E-2</v>
      </c>
      <c r="O25" s="1038">
        <f t="shared" si="16"/>
        <v>6.4347266010407883E-2</v>
      </c>
    </row>
    <row r="26" spans="1:15" x14ac:dyDescent="0.6">
      <c r="A26" s="1022"/>
      <c r="B26" s="1022"/>
      <c r="C26" s="1035"/>
      <c r="D26" s="1035"/>
      <c r="E26" s="1035"/>
      <c r="F26" s="1035"/>
      <c r="G26" s="1035"/>
      <c r="H26" s="1035"/>
      <c r="I26" s="1035"/>
      <c r="J26" s="1035"/>
      <c r="K26" s="1035"/>
      <c r="L26" s="1035"/>
      <c r="M26" s="1035"/>
      <c r="N26" s="1035"/>
      <c r="O26" s="1035"/>
    </row>
    <row r="27" spans="1:15" x14ac:dyDescent="0.6">
      <c r="A27" s="1022" t="s">
        <v>1306</v>
      </c>
      <c r="B27" s="1022"/>
      <c r="C27" s="1021">
        <f>C79+C132+C163</f>
        <v>3.6974999999999998</v>
      </c>
      <c r="D27" s="1021">
        <f>D79+D132+D163</f>
        <v>8.7724999999999991</v>
      </c>
      <c r="E27" s="1021">
        <f>E79+E132+E163</f>
        <v>15.805</v>
      </c>
      <c r="F27" s="1021">
        <f>F79+F132+F163</f>
        <v>24.66</v>
      </c>
      <c r="G27" s="170">
        <v>34</v>
      </c>
      <c r="H27" s="1021">
        <f t="shared" ref="H27:O27" si="17">H79+H132+H163</f>
        <v>45.42</v>
      </c>
      <c r="I27" s="1021">
        <f t="shared" si="17"/>
        <v>56.680000000000007</v>
      </c>
      <c r="J27" s="1021">
        <f t="shared" si="17"/>
        <v>69.440000000000012</v>
      </c>
      <c r="K27" s="1021">
        <f t="shared" si="17"/>
        <v>76.439999999999984</v>
      </c>
      <c r="L27" s="1021">
        <f t="shared" si="17"/>
        <v>82.039999999999992</v>
      </c>
      <c r="M27" s="1021">
        <f t="shared" si="17"/>
        <v>85.89</v>
      </c>
      <c r="N27" s="1021">
        <f t="shared" si="17"/>
        <v>89.039999999999992</v>
      </c>
      <c r="O27" s="1021">
        <f t="shared" si="17"/>
        <v>91.49</v>
      </c>
    </row>
    <row r="28" spans="1:15" x14ac:dyDescent="0.6">
      <c r="A28" s="1022" t="s">
        <v>1307</v>
      </c>
      <c r="B28" s="1022"/>
      <c r="C28" s="1021"/>
      <c r="D28" s="1021"/>
      <c r="E28" s="1021"/>
      <c r="F28" s="1021"/>
      <c r="G28" s="1037">
        <f>G27/G16</f>
        <v>0.55555555555555558</v>
      </c>
      <c r="H28" s="1021"/>
      <c r="I28" s="1021"/>
      <c r="J28" s="1021"/>
      <c r="K28" s="1021"/>
      <c r="L28" s="1021"/>
      <c r="M28" s="1021"/>
      <c r="N28" s="1021"/>
      <c r="O28" s="1021"/>
    </row>
    <row r="29" spans="1:15" x14ac:dyDescent="0.6">
      <c r="A29" s="1022"/>
      <c r="B29" s="1022"/>
      <c r="C29" s="1035"/>
      <c r="D29" s="1035"/>
      <c r="E29" s="1035"/>
      <c r="F29" s="1035"/>
      <c r="G29" s="1035"/>
      <c r="H29" s="1035"/>
      <c r="I29" s="1035"/>
      <c r="J29" s="1035"/>
      <c r="K29" s="1035"/>
      <c r="L29" s="1035"/>
      <c r="M29" s="1035"/>
      <c r="N29" s="1035"/>
      <c r="O29" s="1035"/>
    </row>
    <row r="30" spans="1:15" x14ac:dyDescent="0.6">
      <c r="A30" s="1022" t="s">
        <v>1305</v>
      </c>
      <c r="B30" s="1022"/>
      <c r="C30" s="1035"/>
      <c r="D30" s="1035"/>
      <c r="E30" s="1035"/>
      <c r="F30" s="1035"/>
      <c r="G30" s="170">
        <v>5</v>
      </c>
      <c r="H30" s="1035"/>
      <c r="I30" s="1035"/>
      <c r="J30" s="1035"/>
      <c r="K30" s="1035"/>
      <c r="L30" s="1035"/>
      <c r="M30" s="1035"/>
      <c r="N30" s="1035"/>
      <c r="O30" s="1035"/>
    </row>
    <row r="31" spans="1:15" x14ac:dyDescent="0.6">
      <c r="A31" s="1022" t="s">
        <v>1307</v>
      </c>
      <c r="B31" s="1022"/>
      <c r="C31" s="1035"/>
      <c r="D31" s="1035"/>
      <c r="E31" s="1035"/>
      <c r="F31" s="1035"/>
      <c r="G31" s="1035">
        <f>G30/G16</f>
        <v>8.1699346405228759E-2</v>
      </c>
      <c r="H31" s="1035"/>
      <c r="I31" s="1035"/>
      <c r="J31" s="1035"/>
      <c r="K31" s="1035"/>
      <c r="L31" s="1035"/>
      <c r="M31" s="1035"/>
      <c r="N31" s="1035"/>
      <c r="O31" s="1035"/>
    </row>
    <row r="32" spans="1:15" x14ac:dyDescent="0.6">
      <c r="A32" s="1022"/>
      <c r="B32" s="1022"/>
      <c r="C32" s="1035"/>
      <c r="D32" s="1035"/>
      <c r="E32" s="1035"/>
      <c r="F32" s="1035"/>
      <c r="G32" s="1035"/>
      <c r="H32" s="1035"/>
      <c r="I32" s="1035"/>
      <c r="J32" s="1035"/>
      <c r="K32" s="1035"/>
      <c r="L32" s="1035"/>
      <c r="M32" s="1035"/>
      <c r="N32" s="1035"/>
      <c r="O32" s="1035"/>
    </row>
    <row r="33" spans="1:16" x14ac:dyDescent="0.6">
      <c r="A33" s="1016" t="s">
        <v>1319</v>
      </c>
      <c r="B33" s="1022"/>
      <c r="C33" s="509">
        <f>C35+C37</f>
        <v>1623.8</v>
      </c>
      <c r="D33" s="509">
        <f>D35+D37</f>
        <v>2844.5</v>
      </c>
      <c r="E33" s="509">
        <f>E35+E37</f>
        <v>3111.2255813953489</v>
      </c>
      <c r="F33" s="509">
        <f>F35+F37</f>
        <v>5975.3099999999995</v>
      </c>
      <c r="G33" s="509">
        <f>G35+G37</f>
        <v>9906</v>
      </c>
      <c r="H33" s="509">
        <f>H35+H37+H39</f>
        <v>15589.409829558052</v>
      </c>
      <c r="I33" s="509">
        <f t="shared" ref="I33:O33" si="18">I35+I37+I39</f>
        <v>22002.246705654736</v>
      </c>
      <c r="J33" s="509">
        <f t="shared" si="18"/>
        <v>28586.617254301316</v>
      </c>
      <c r="K33" s="509">
        <f t="shared" si="18"/>
        <v>34283.848068371932</v>
      </c>
      <c r="L33" s="509">
        <f t="shared" si="18"/>
        <v>39567.914551340175</v>
      </c>
      <c r="M33" s="509">
        <f t="shared" si="18"/>
        <v>44424.619231292512</v>
      </c>
      <c r="N33" s="509">
        <f t="shared" si="18"/>
        <v>48678.033953562932</v>
      </c>
      <c r="O33" s="509">
        <f t="shared" si="18"/>
        <v>52908.3782853421</v>
      </c>
      <c r="P33" s="476"/>
    </row>
    <row r="34" spans="1:16" x14ac:dyDescent="0.6">
      <c r="A34" s="1019" t="s">
        <v>977</v>
      </c>
      <c r="B34" s="1022"/>
      <c r="C34" s="1036"/>
      <c r="D34" s="1031">
        <f>D33/C33-1</f>
        <v>0.75175514225889883</v>
      </c>
      <c r="E34" s="1031">
        <f t="shared" ref="E34:O34" si="19">E33/D33-1</f>
        <v>9.376888078584944E-2</v>
      </c>
      <c r="F34" s="1031">
        <f t="shared" si="19"/>
        <v>0.92056469184730139</v>
      </c>
      <c r="G34" s="1031">
        <f t="shared" si="19"/>
        <v>0.65782193727187388</v>
      </c>
      <c r="H34" s="1031">
        <f t="shared" si="19"/>
        <v>0.57373408333919351</v>
      </c>
      <c r="I34" s="1031">
        <f t="shared" si="19"/>
        <v>0.41135854058681098</v>
      </c>
      <c r="J34" s="1031">
        <f t="shared" si="19"/>
        <v>0.29925900916992942</v>
      </c>
      <c r="K34" s="1031">
        <f t="shared" si="19"/>
        <v>0.19929713136007288</v>
      </c>
      <c r="L34" s="1031">
        <f t="shared" si="19"/>
        <v>0.1541269950919828</v>
      </c>
      <c r="M34" s="1031">
        <f t="shared" si="19"/>
        <v>0.12274350910383869</v>
      </c>
      <c r="N34" s="1031">
        <f t="shared" si="19"/>
        <v>9.5744539759033742E-2</v>
      </c>
      <c r="O34" s="1031">
        <f t="shared" si="19"/>
        <v>8.6904584844465171E-2</v>
      </c>
      <c r="P34" s="476"/>
    </row>
    <row r="35" spans="1:16" x14ac:dyDescent="0.6">
      <c r="A35" s="1018" t="s">
        <v>179</v>
      </c>
      <c r="B35" s="1022"/>
      <c r="C35" s="509">
        <f>C90+C140+C171</f>
        <v>0</v>
      </c>
      <c r="D35" s="509">
        <f>D90+D140+D171</f>
        <v>58</v>
      </c>
      <c r="E35" s="50">
        <v>202.32558139534882</v>
      </c>
      <c r="F35" s="50">
        <v>1194.81</v>
      </c>
      <c r="G35" s="50">
        <v>1673</v>
      </c>
      <c r="H35" s="509">
        <f>H90+H140+H171</f>
        <v>3073.7838046249276</v>
      </c>
      <c r="I35" s="509">
        <f t="shared" ref="I35:O35" si="20">I90+I140+I171</f>
        <v>4345.3200144218608</v>
      </c>
      <c r="J35" s="509">
        <f t="shared" si="20"/>
        <v>6029.4757547159606</v>
      </c>
      <c r="K35" s="509">
        <f t="shared" si="20"/>
        <v>7933.6431269120003</v>
      </c>
      <c r="L35" s="509">
        <f t="shared" si="20"/>
        <v>9737.6918370352851</v>
      </c>
      <c r="M35" s="509">
        <f t="shared" si="20"/>
        <v>11546.22763565226</v>
      </c>
      <c r="N35" s="509">
        <f t="shared" si="20"/>
        <v>13005.924106116374</v>
      </c>
      <c r="O35" s="509">
        <f t="shared" si="20"/>
        <v>14520.224548828932</v>
      </c>
    </row>
    <row r="36" spans="1:16" x14ac:dyDescent="0.6">
      <c r="A36" s="1019" t="s">
        <v>977</v>
      </c>
      <c r="B36" s="1022"/>
      <c r="C36" s="1036"/>
      <c r="D36" s="1031"/>
      <c r="E36" s="1031">
        <f t="shared" ref="E36:O36" si="21">E35/D35-1</f>
        <v>2.4883720930232553</v>
      </c>
      <c r="F36" s="1031">
        <f t="shared" si="21"/>
        <v>4.9053827586206902</v>
      </c>
      <c r="G36" s="1031">
        <f t="shared" si="21"/>
        <v>0.40022262953942467</v>
      </c>
      <c r="H36" s="1031">
        <f t="shared" si="21"/>
        <v>0.8372885861475956</v>
      </c>
      <c r="I36" s="1031">
        <f t="shared" si="21"/>
        <v>0.41367132193348577</v>
      </c>
      <c r="J36" s="1031">
        <f t="shared" si="21"/>
        <v>0.3875792196442347</v>
      </c>
      <c r="K36" s="1031">
        <f t="shared" si="21"/>
        <v>0.31580977346275807</v>
      </c>
      <c r="L36" s="1031">
        <f t="shared" si="21"/>
        <v>0.22739221833708467</v>
      </c>
      <c r="M36" s="1031">
        <f t="shared" si="21"/>
        <v>0.1857253062515889</v>
      </c>
      <c r="N36" s="1031">
        <f t="shared" si="21"/>
        <v>0.12642193766879206</v>
      </c>
      <c r="O36" s="1031">
        <f t="shared" si="21"/>
        <v>0.11643159150839733</v>
      </c>
    </row>
    <row r="37" spans="1:16" x14ac:dyDescent="0.6">
      <c r="A37" s="1018" t="s">
        <v>255</v>
      </c>
      <c r="B37" s="1022"/>
      <c r="C37" s="509">
        <f>C94+C143+C173</f>
        <v>1623.8</v>
      </c>
      <c r="D37" s="509">
        <f>D94+D143+D173</f>
        <v>2786.5</v>
      </c>
      <c r="E37" s="50">
        <v>2908.9</v>
      </c>
      <c r="F37" s="50">
        <v>4780.5</v>
      </c>
      <c r="G37" s="50">
        <v>8233</v>
      </c>
      <c r="H37" s="509">
        <f>H94+H143+H173</f>
        <v>12218.016153236456</v>
      </c>
      <c r="I37" s="509">
        <f t="shared" ref="I37:O37" si="22">I94+I143+I173</f>
        <v>16387.137596849418</v>
      </c>
      <c r="J37" s="509">
        <f t="shared" si="22"/>
        <v>19903.781491858783</v>
      </c>
      <c r="K37" s="509">
        <f t="shared" si="22"/>
        <v>22911.326359461033</v>
      </c>
      <c r="L37" s="509">
        <f t="shared" si="22"/>
        <v>25701.276827598027</v>
      </c>
      <c r="M37" s="509">
        <f t="shared" si="22"/>
        <v>28220.553063946394</v>
      </c>
      <c r="N37" s="509">
        <f t="shared" si="22"/>
        <v>30665.84751852004</v>
      </c>
      <c r="O37" s="509">
        <f t="shared" si="22"/>
        <v>33010.26982695995</v>
      </c>
    </row>
    <row r="38" spans="1:16" x14ac:dyDescent="0.6">
      <c r="A38" s="1019" t="s">
        <v>977</v>
      </c>
      <c r="B38" s="1022"/>
      <c r="C38" s="1036"/>
      <c r="D38" s="1031"/>
      <c r="E38" s="1031">
        <f t="shared" ref="E38:O38" si="23">E37/D37-1</f>
        <v>4.392607213350086E-2</v>
      </c>
      <c r="F38" s="1031">
        <f t="shared" si="23"/>
        <v>0.64340472343497535</v>
      </c>
      <c r="G38" s="1031">
        <f t="shared" si="23"/>
        <v>0.72220479029390239</v>
      </c>
      <c r="H38" s="1031">
        <f t="shared" si="23"/>
        <v>0.48402965543987087</v>
      </c>
      <c r="I38" s="1031">
        <f t="shared" si="23"/>
        <v>0.34122736386369845</v>
      </c>
      <c r="J38" s="1031">
        <f t="shared" si="23"/>
        <v>0.21459781332924632</v>
      </c>
      <c r="K38" s="1031">
        <f t="shared" si="23"/>
        <v>0.15110419438800715</v>
      </c>
      <c r="L38" s="1031">
        <f t="shared" si="23"/>
        <v>0.12177166980055287</v>
      </c>
      <c r="M38" s="1031">
        <f t="shared" si="23"/>
        <v>9.8021442796303759E-2</v>
      </c>
      <c r="N38" s="1031">
        <f t="shared" si="23"/>
        <v>8.6649416438888682E-2</v>
      </c>
      <c r="O38" s="1031">
        <f t="shared" si="23"/>
        <v>7.6450595634901086E-2</v>
      </c>
    </row>
    <row r="39" spans="1:16" x14ac:dyDescent="0.6">
      <c r="A39" s="1101" t="s">
        <v>420</v>
      </c>
      <c r="B39" s="1022"/>
      <c r="C39" s="1036"/>
      <c r="D39" s="1031"/>
      <c r="E39" s="1031"/>
      <c r="F39" s="1031"/>
      <c r="G39" s="1031"/>
      <c r="H39" s="509">
        <f>H103</f>
        <v>297.60987169666799</v>
      </c>
      <c r="I39" s="509">
        <f t="shared" ref="I39:O39" si="24">I103</f>
        <v>1269.7890943834561</v>
      </c>
      <c r="J39" s="509">
        <f t="shared" si="24"/>
        <v>2653.3600077265728</v>
      </c>
      <c r="K39" s="509">
        <f t="shared" si="24"/>
        <v>3438.8785819989016</v>
      </c>
      <c r="L39" s="509">
        <f t="shared" si="24"/>
        <v>4128.9458867068606</v>
      </c>
      <c r="M39" s="509">
        <f t="shared" si="24"/>
        <v>4657.8385316938584</v>
      </c>
      <c r="N39" s="509">
        <f t="shared" si="24"/>
        <v>5006.2623289265202</v>
      </c>
      <c r="O39" s="509">
        <f t="shared" si="24"/>
        <v>5377.8839095532148</v>
      </c>
    </row>
    <row r="40" spans="1:16" x14ac:dyDescent="0.6">
      <c r="A40" s="1018"/>
      <c r="B40" s="1022"/>
      <c r="C40" s="97"/>
      <c r="D40" s="97"/>
      <c r="E40" s="97"/>
      <c r="F40" s="97"/>
      <c r="G40" s="243"/>
      <c r="H40" s="243"/>
      <c r="I40" s="243"/>
      <c r="J40" s="243"/>
      <c r="K40" s="243"/>
      <c r="L40" s="243"/>
      <c r="M40" s="243"/>
      <c r="N40" s="243"/>
      <c r="O40" s="243"/>
    </row>
    <row r="41" spans="1:16" x14ac:dyDescent="0.6">
      <c r="A41" s="1016" t="s">
        <v>1320</v>
      </c>
      <c r="B41" s="1022"/>
      <c r="C41" s="97"/>
      <c r="D41" s="97"/>
      <c r="E41" s="97"/>
      <c r="F41" s="243">
        <f>F43+F45</f>
        <v>6563.5249999999996</v>
      </c>
      <c r="G41" s="243">
        <f>G43+G45</f>
        <v>11257</v>
      </c>
      <c r="H41" s="509">
        <f>H43+H45+H47</f>
        <v>18203.903484638256</v>
      </c>
      <c r="I41" s="509">
        <f t="shared" ref="I41:O41" si="25">I43+I45+I47</f>
        <v>25715.54903036388</v>
      </c>
      <c r="J41" s="509">
        <f t="shared" si="25"/>
        <v>33332.920080436808</v>
      </c>
      <c r="K41" s="509">
        <f t="shared" si="25"/>
        <v>39799.951854026884</v>
      </c>
      <c r="L41" s="509">
        <f t="shared" si="25"/>
        <v>45875.527122291191</v>
      </c>
      <c r="M41" s="509">
        <f t="shared" si="25"/>
        <v>51469.506187942301</v>
      </c>
      <c r="N41" s="509">
        <f t="shared" si="25"/>
        <v>56394.851490951565</v>
      </c>
      <c r="O41" s="509">
        <f t="shared" si="25"/>
        <v>61285.832081715445</v>
      </c>
    </row>
    <row r="42" spans="1:16" x14ac:dyDescent="0.6">
      <c r="A42" s="1019" t="s">
        <v>977</v>
      </c>
      <c r="B42" s="1022"/>
      <c r="C42" s="97"/>
      <c r="D42" s="97"/>
      <c r="E42" s="97"/>
      <c r="F42" s="97"/>
      <c r="G42" s="378">
        <f>G41/F41-1</f>
        <v>0.71508450108744936</v>
      </c>
      <c r="H42" s="378">
        <f t="shared" ref="H42:O42" si="26">H41/G41-1</f>
        <v>0.61711854709409764</v>
      </c>
      <c r="I42" s="378">
        <f t="shared" si="26"/>
        <v>0.41263927553035429</v>
      </c>
      <c r="J42" s="378">
        <f t="shared" si="26"/>
        <v>0.29621654358142013</v>
      </c>
      <c r="K42" s="378">
        <f t="shared" si="26"/>
        <v>0.19401335850517332</v>
      </c>
      <c r="L42" s="378">
        <f t="shared" si="26"/>
        <v>0.15265282959505866</v>
      </c>
      <c r="M42" s="378">
        <f t="shared" si="26"/>
        <v>0.12193819704216469</v>
      </c>
      <c r="N42" s="378">
        <f t="shared" si="26"/>
        <v>9.5694434778997639E-2</v>
      </c>
      <c r="O42" s="378">
        <f t="shared" si="26"/>
        <v>8.6727430988068566E-2</v>
      </c>
    </row>
    <row r="43" spans="1:16" x14ac:dyDescent="0.6">
      <c r="A43" s="1018" t="s">
        <v>179</v>
      </c>
      <c r="B43" s="1022"/>
      <c r="C43" s="97"/>
      <c r="D43" s="97"/>
      <c r="E43" s="97"/>
      <c r="F43" s="243">
        <f>Quarts!K204</f>
        <v>1392.346</v>
      </c>
      <c r="G43" s="243">
        <f>Quarts!P204</f>
        <v>1973</v>
      </c>
      <c r="H43" s="243">
        <f>H35/(1-H53)</f>
        <v>3616.2162407352089</v>
      </c>
      <c r="I43" s="243">
        <f>I35/(1-I53)</f>
        <v>5052.6976911882102</v>
      </c>
      <c r="J43" s="243">
        <f t="shared" ref="J43:O43" si="27">J35/(1-J53)</f>
        <v>6930.4319019723689</v>
      </c>
      <c r="K43" s="243">
        <f t="shared" si="27"/>
        <v>9015.5035533090904</v>
      </c>
      <c r="L43" s="243">
        <f t="shared" si="27"/>
        <v>11065.558905721915</v>
      </c>
      <c r="M43" s="243">
        <f t="shared" si="27"/>
        <v>13120.713222332113</v>
      </c>
      <c r="N43" s="243">
        <f t="shared" si="27"/>
        <v>14779.45921149588</v>
      </c>
      <c r="O43" s="243">
        <f t="shared" si="27"/>
        <v>16500.255169123786</v>
      </c>
    </row>
    <row r="44" spans="1:16" x14ac:dyDescent="0.6">
      <c r="A44" s="1019" t="s">
        <v>977</v>
      </c>
      <c r="B44" s="1022"/>
      <c r="C44" s="97"/>
      <c r="D44" s="97"/>
      <c r="E44" s="97"/>
      <c r="F44" s="97"/>
      <c r="G44" s="378">
        <f>G43/F43-1</f>
        <v>0.41703283522917434</v>
      </c>
      <c r="H44" s="378">
        <f t="shared" ref="H44:O44" si="28">H43/G43-1</f>
        <v>0.83285161719980172</v>
      </c>
      <c r="I44" s="378">
        <f t="shared" si="28"/>
        <v>0.39723328330635232</v>
      </c>
      <c r="J44" s="378">
        <f t="shared" si="28"/>
        <v>0.37163003321154253</v>
      </c>
      <c r="K44" s="378">
        <f t="shared" si="28"/>
        <v>0.30085738967340836</v>
      </c>
      <c r="L44" s="378">
        <f t="shared" si="28"/>
        <v>0.22739221833708489</v>
      </c>
      <c r="M44" s="378">
        <f t="shared" si="28"/>
        <v>0.18572530625158867</v>
      </c>
      <c r="N44" s="378">
        <f t="shared" si="28"/>
        <v>0.12642193766879206</v>
      </c>
      <c r="O44" s="378">
        <f t="shared" si="28"/>
        <v>0.1164315915083971</v>
      </c>
    </row>
    <row r="45" spans="1:16" x14ac:dyDescent="0.6">
      <c r="A45" s="1018" t="s">
        <v>255</v>
      </c>
      <c r="B45" s="1022"/>
      <c r="C45" s="97"/>
      <c r="D45" s="97"/>
      <c r="E45" s="97"/>
      <c r="F45" s="243">
        <f>Quarts!K203</f>
        <v>5171.1790000000001</v>
      </c>
      <c r="G45" s="243">
        <f>Quarts!P203</f>
        <v>9284</v>
      </c>
      <c r="H45" s="243">
        <f>H37/(1-H55)</f>
        <v>14290.077372206382</v>
      </c>
      <c r="I45" s="243">
        <f t="shared" ref="I45:O45" si="29">I37/(1-I55)</f>
        <v>19393.062244792211</v>
      </c>
      <c r="J45" s="243">
        <f t="shared" si="29"/>
        <v>23694.977966498551</v>
      </c>
      <c r="K45" s="243">
        <f t="shared" si="29"/>
        <v>27275.388523167898</v>
      </c>
      <c r="L45" s="243">
        <f t="shared" si="29"/>
        <v>30596.75812809289</v>
      </c>
      <c r="M45" s="243">
        <f t="shared" si="29"/>
        <v>33595.896504698088</v>
      </c>
      <c r="N45" s="243">
        <f t="shared" si="29"/>
        <v>36506.961331571481</v>
      </c>
      <c r="O45" s="243">
        <f t="shared" si="29"/>
        <v>39297.940270190418</v>
      </c>
    </row>
    <row r="46" spans="1:16" x14ac:dyDescent="0.6">
      <c r="A46" s="1019" t="s">
        <v>977</v>
      </c>
      <c r="B46" s="1022"/>
      <c r="C46" s="97"/>
      <c r="D46" s="97"/>
      <c r="E46" s="97"/>
      <c r="F46" s="97"/>
      <c r="G46" s="378">
        <f>G45/F45-1</f>
        <v>0.79533526106909069</v>
      </c>
      <c r="H46" s="378">
        <f t="shared" ref="H46:O46" si="30">H45/G45-1</f>
        <v>0.53921557218939919</v>
      </c>
      <c r="I46" s="378">
        <f t="shared" si="30"/>
        <v>0.35709987704551738</v>
      </c>
      <c r="J46" s="378">
        <f t="shared" si="30"/>
        <v>0.22182756221811073</v>
      </c>
      <c r="K46" s="378">
        <f t="shared" si="30"/>
        <v>0.15110419438800737</v>
      </c>
      <c r="L46" s="378">
        <f t="shared" si="30"/>
        <v>0.12177166980055287</v>
      </c>
      <c r="M46" s="378">
        <f t="shared" si="30"/>
        <v>9.8021442796303759E-2</v>
      </c>
      <c r="N46" s="378">
        <f t="shared" si="30"/>
        <v>8.6649416438888682E-2</v>
      </c>
      <c r="O46" s="378">
        <f t="shared" si="30"/>
        <v>7.6450595634900864E-2</v>
      </c>
    </row>
    <row r="47" spans="1:16" x14ac:dyDescent="0.6">
      <c r="A47" s="1101" t="s">
        <v>420</v>
      </c>
      <c r="B47" s="1022"/>
      <c r="C47" s="97"/>
      <c r="D47" s="97"/>
      <c r="E47" s="97"/>
      <c r="F47" s="97"/>
      <c r="G47" s="378"/>
      <c r="H47" s="243">
        <f t="shared" ref="H47:O47" si="31">H39/(1-H57)</f>
        <v>297.60987169666799</v>
      </c>
      <c r="I47" s="243">
        <f t="shared" si="31"/>
        <v>1269.7890943834561</v>
      </c>
      <c r="J47" s="243">
        <f t="shared" si="31"/>
        <v>2707.5102119658904</v>
      </c>
      <c r="K47" s="243">
        <f t="shared" si="31"/>
        <v>3509.0597775498995</v>
      </c>
      <c r="L47" s="243">
        <f t="shared" si="31"/>
        <v>4213.2100884763886</v>
      </c>
      <c r="M47" s="243">
        <f t="shared" si="31"/>
        <v>4752.8964609121003</v>
      </c>
      <c r="N47" s="243">
        <f t="shared" si="31"/>
        <v>5108.4309478842042</v>
      </c>
      <c r="O47" s="243">
        <f t="shared" si="31"/>
        <v>5487.6366424012394</v>
      </c>
    </row>
    <row r="48" spans="1:16" x14ac:dyDescent="0.6">
      <c r="A48" s="1018"/>
      <c r="B48" s="1022"/>
      <c r="C48" s="97"/>
      <c r="D48" s="97"/>
      <c r="E48" s="97"/>
      <c r="F48" s="97"/>
      <c r="G48" s="243"/>
      <c r="H48" s="378"/>
      <c r="I48" s="378">
        <f t="shared" ref="I48:O48" si="32">I47/H47-1</f>
        <v>3.2666229018023278</v>
      </c>
      <c r="J48" s="378">
        <f t="shared" si="32"/>
        <v>1.1322519022582385</v>
      </c>
      <c r="K48" s="378">
        <f t="shared" si="32"/>
        <v>0.29604673771553891</v>
      </c>
      <c r="L48" s="378">
        <f t="shared" si="32"/>
        <v>0.20066637662643116</v>
      </c>
      <c r="M48" s="378">
        <f t="shared" si="32"/>
        <v>0.1280938669333902</v>
      </c>
      <c r="N48" s="378">
        <f t="shared" si="32"/>
        <v>7.4803751753488745E-2</v>
      </c>
      <c r="O48" s="378">
        <f t="shared" si="32"/>
        <v>7.423134390689845E-2</v>
      </c>
    </row>
    <row r="49" spans="1:15" x14ac:dyDescent="0.6">
      <c r="A49" s="1018"/>
      <c r="B49" s="1022"/>
      <c r="C49" s="97"/>
      <c r="D49" s="97"/>
      <c r="E49" s="97"/>
      <c r="F49" s="97"/>
      <c r="G49" s="243"/>
      <c r="H49" s="243"/>
      <c r="I49" s="243"/>
      <c r="J49" s="243"/>
      <c r="K49" s="243"/>
      <c r="L49" s="243"/>
      <c r="M49" s="243"/>
      <c r="N49" s="243"/>
      <c r="O49" s="243"/>
    </row>
    <row r="50" spans="1:15" x14ac:dyDescent="0.6">
      <c r="A50" s="1016" t="s">
        <v>1321</v>
      </c>
      <c r="B50" s="1022"/>
      <c r="C50" s="97"/>
      <c r="D50" s="97"/>
      <c r="E50" s="97"/>
      <c r="F50" s="97">
        <f>F41-F33</f>
        <v>588.21500000000015</v>
      </c>
      <c r="G50" s="97">
        <f>G41-G33</f>
        <v>1351</v>
      </c>
      <c r="H50" s="243">
        <f>H52+H54+H56</f>
        <v>2614.4936550802072</v>
      </c>
      <c r="I50" s="243">
        <f t="shared" ref="I50:O50" si="33">I52+I54+I56</f>
        <v>3713.3023247091423</v>
      </c>
      <c r="J50" s="243">
        <f t="shared" si="33"/>
        <v>4746.3028261354939</v>
      </c>
      <c r="K50" s="243">
        <f t="shared" si="33"/>
        <v>5516.1037856549538</v>
      </c>
      <c r="L50" s="243">
        <f t="shared" si="33"/>
        <v>6307.6125709510206</v>
      </c>
      <c r="M50" s="243">
        <f t="shared" si="33"/>
        <v>7044.8869566497897</v>
      </c>
      <c r="N50" s="243">
        <f t="shared" si="33"/>
        <v>7716.8175373886306</v>
      </c>
      <c r="O50" s="243">
        <f t="shared" si="33"/>
        <v>8377.4537963733474</v>
      </c>
    </row>
    <row r="51" spans="1:15" x14ac:dyDescent="0.6">
      <c r="A51" s="1016" t="s">
        <v>1322</v>
      </c>
      <c r="B51" s="1022"/>
      <c r="C51" s="97"/>
      <c r="D51" s="97"/>
      <c r="E51" s="97"/>
      <c r="F51" s="378">
        <f>F50/F41</f>
        <v>8.961876430728917E-2</v>
      </c>
      <c r="G51" s="378">
        <f>G50/G41</f>
        <v>0.12001421337834237</v>
      </c>
      <c r="H51" s="378">
        <f>H50/H41</f>
        <v>0.14362269374183961</v>
      </c>
      <c r="I51" s="378">
        <f t="shared" ref="I51:O51" si="34">I50/I41</f>
        <v>0.14439910733870101</v>
      </c>
      <c r="J51" s="378">
        <f t="shared" si="34"/>
        <v>0.14239085008700192</v>
      </c>
      <c r="K51" s="378">
        <f t="shared" si="34"/>
        <v>0.13859574016285764</v>
      </c>
      <c r="L51" s="378">
        <f t="shared" si="34"/>
        <v>0.13749406201124856</v>
      </c>
      <c r="M51" s="378">
        <f t="shared" si="34"/>
        <v>0.13687496691585097</v>
      </c>
      <c r="N51" s="378">
        <f t="shared" si="34"/>
        <v>0.13683549709545342</v>
      </c>
      <c r="O51" s="378">
        <f t="shared" si="34"/>
        <v>0.13669478755225631</v>
      </c>
    </row>
    <row r="52" spans="1:15" x14ac:dyDescent="0.6">
      <c r="A52" s="1016" t="str">
        <f>A43</f>
        <v>Personal Loans</v>
      </c>
      <c r="B52" s="1022"/>
      <c r="C52" s="97"/>
      <c r="D52" s="97"/>
      <c r="E52" s="97"/>
      <c r="F52" s="97">
        <f>F43-F35</f>
        <v>197.53600000000006</v>
      </c>
      <c r="G52" s="97">
        <f>G43-G35</f>
        <v>300</v>
      </c>
      <c r="H52" s="243">
        <f>H43-H35</f>
        <v>542.43243611028129</v>
      </c>
      <c r="I52" s="243">
        <f>I43-I35</f>
        <v>707.3776767663494</v>
      </c>
      <c r="J52" s="243">
        <f t="shared" ref="J52:O52" si="35">J43-J35</f>
        <v>900.95614725640826</v>
      </c>
      <c r="K52" s="243">
        <f t="shared" si="35"/>
        <v>1081.8604263970901</v>
      </c>
      <c r="L52" s="243">
        <f t="shared" si="35"/>
        <v>1327.8670686866299</v>
      </c>
      <c r="M52" s="243">
        <f t="shared" si="35"/>
        <v>1574.4855866798534</v>
      </c>
      <c r="N52" s="243">
        <f t="shared" si="35"/>
        <v>1773.5351053795057</v>
      </c>
      <c r="O52" s="243">
        <f t="shared" si="35"/>
        <v>1980.0306202948541</v>
      </c>
    </row>
    <row r="53" spans="1:15" x14ac:dyDescent="0.6">
      <c r="A53" s="1016" t="s">
        <v>1322</v>
      </c>
      <c r="B53" s="1022"/>
      <c r="C53" s="97"/>
      <c r="D53" s="97"/>
      <c r="E53" s="97"/>
      <c r="F53" s="378">
        <f>F52/F43</f>
        <v>0.14187278162180955</v>
      </c>
      <c r="G53" s="378">
        <f>G52/G43</f>
        <v>0.15205271160669032</v>
      </c>
      <c r="H53" s="1073">
        <v>0.15</v>
      </c>
      <c r="I53" s="1073">
        <v>0.14000000000000001</v>
      </c>
      <c r="J53" s="1073">
        <v>0.13</v>
      </c>
      <c r="K53" s="1073">
        <v>0.12</v>
      </c>
      <c r="L53" s="1073">
        <v>0.12</v>
      </c>
      <c r="M53" s="1073">
        <v>0.12</v>
      </c>
      <c r="N53" s="1073">
        <v>0.12</v>
      </c>
      <c r="O53" s="1073">
        <v>0.12</v>
      </c>
    </row>
    <row r="54" spans="1:15" x14ac:dyDescent="0.6">
      <c r="A54" s="1016" t="str">
        <f>A45</f>
        <v>Credit card loan portfolio</v>
      </c>
      <c r="B54" s="1022"/>
      <c r="C54" s="97"/>
      <c r="D54" s="97"/>
      <c r="E54" s="97"/>
      <c r="F54" s="97">
        <f>F45-F37</f>
        <v>390.67900000000009</v>
      </c>
      <c r="G54" s="97">
        <f>G45-G37</f>
        <v>1051</v>
      </c>
      <c r="H54" s="243">
        <f>H45-H37</f>
        <v>2072.0612189699259</v>
      </c>
      <c r="I54" s="243">
        <f t="shared" ref="I54:O54" si="36">I45-I37</f>
        <v>3005.9246479427929</v>
      </c>
      <c r="J54" s="243">
        <f t="shared" si="36"/>
        <v>3791.196474639768</v>
      </c>
      <c r="K54" s="243">
        <f t="shared" si="36"/>
        <v>4364.0621637068652</v>
      </c>
      <c r="L54" s="243">
        <f t="shared" si="36"/>
        <v>4895.4813004948628</v>
      </c>
      <c r="M54" s="243">
        <f t="shared" si="36"/>
        <v>5375.3434407516943</v>
      </c>
      <c r="N54" s="243">
        <f t="shared" si="36"/>
        <v>5841.113813051441</v>
      </c>
      <c r="O54" s="243">
        <f t="shared" si="36"/>
        <v>6287.6704432304687</v>
      </c>
    </row>
    <row r="55" spans="1:15" x14ac:dyDescent="0.6">
      <c r="A55" s="1016" t="s">
        <v>1322</v>
      </c>
      <c r="B55" s="1022"/>
      <c r="C55" s="97"/>
      <c r="D55" s="97"/>
      <c r="E55" s="97"/>
      <c r="F55" s="378">
        <f>F54/F45</f>
        <v>7.5549308968032261E-2</v>
      </c>
      <c r="G55" s="378">
        <f>G54/G45</f>
        <v>0.11320551486428264</v>
      </c>
      <c r="H55" s="1073">
        <v>0.14499999999999999</v>
      </c>
      <c r="I55" s="1073">
        <v>0.155</v>
      </c>
      <c r="J55" s="1073">
        <v>0.16</v>
      </c>
      <c r="K55" s="1073">
        <v>0.16</v>
      </c>
      <c r="L55" s="1073">
        <v>0.16</v>
      </c>
      <c r="M55" s="1073">
        <v>0.16</v>
      </c>
      <c r="N55" s="1073">
        <v>0.16</v>
      </c>
      <c r="O55" s="1073">
        <v>0.16</v>
      </c>
    </row>
    <row r="56" spans="1:15" x14ac:dyDescent="0.6">
      <c r="A56" s="1102" t="s">
        <v>420</v>
      </c>
      <c r="B56" s="1022"/>
      <c r="C56" s="97"/>
      <c r="D56" s="97"/>
      <c r="E56" s="97"/>
      <c r="F56" s="97"/>
      <c r="G56" s="97"/>
      <c r="H56" s="243">
        <f>H47-H39</f>
        <v>0</v>
      </c>
      <c r="I56" s="243">
        <f t="shared" ref="I56:O56" si="37">I47-I39</f>
        <v>0</v>
      </c>
      <c r="J56" s="243">
        <f t="shared" si="37"/>
        <v>54.150204239317645</v>
      </c>
      <c r="K56" s="243">
        <f t="shared" si="37"/>
        <v>70.181195550997927</v>
      </c>
      <c r="L56" s="243">
        <f t="shared" si="37"/>
        <v>84.264201769527972</v>
      </c>
      <c r="M56" s="243">
        <f t="shared" si="37"/>
        <v>95.057929218241952</v>
      </c>
      <c r="N56" s="243">
        <f t="shared" si="37"/>
        <v>102.16861895768398</v>
      </c>
      <c r="O56" s="243">
        <f t="shared" si="37"/>
        <v>109.75273284802461</v>
      </c>
    </row>
    <row r="57" spans="1:15" x14ac:dyDescent="0.6">
      <c r="A57" s="1016" t="s">
        <v>1322</v>
      </c>
      <c r="B57" s="1022"/>
      <c r="C57" s="97"/>
      <c r="D57" s="97"/>
      <c r="E57" s="97"/>
      <c r="F57" s="378"/>
      <c r="G57" s="378"/>
      <c r="H57" s="1073">
        <v>0</v>
      </c>
      <c r="I57" s="1073">
        <v>0</v>
      </c>
      <c r="J57" s="1073">
        <v>0.02</v>
      </c>
      <c r="K57" s="1073">
        <v>0.02</v>
      </c>
      <c r="L57" s="1073">
        <v>0.02</v>
      </c>
      <c r="M57" s="1073">
        <v>0.02</v>
      </c>
      <c r="N57" s="1073">
        <v>0.02</v>
      </c>
      <c r="O57" s="1073">
        <v>0.02</v>
      </c>
    </row>
    <row r="58" spans="1:15" x14ac:dyDescent="0.6">
      <c r="A58" s="1018"/>
      <c r="B58" s="1022"/>
      <c r="C58" s="97"/>
      <c r="D58" s="97"/>
      <c r="E58" s="97"/>
      <c r="F58" s="97"/>
      <c r="G58" s="243"/>
      <c r="H58" s="378"/>
      <c r="I58" s="243"/>
      <c r="J58" s="243"/>
      <c r="K58" s="243"/>
      <c r="L58" s="243"/>
      <c r="M58" s="243"/>
      <c r="N58" s="243"/>
      <c r="O58" s="243"/>
    </row>
    <row r="59" spans="1:15" x14ac:dyDescent="0.6">
      <c r="A59" s="1016" t="s">
        <v>860</v>
      </c>
      <c r="B59" s="1022"/>
      <c r="C59" s="1036">
        <f>C61+C63</f>
        <v>6291.9002399999999</v>
      </c>
      <c r="D59" s="1036">
        <f>D61+D63</f>
        <v>11465.326150000001</v>
      </c>
      <c r="E59" s="1036">
        <f>E61+E63</f>
        <v>16168.105978837209</v>
      </c>
      <c r="F59" s="1036">
        <f>F61+F63</f>
        <v>32417.242943265304</v>
      </c>
      <c r="G59" s="1036">
        <f>G61+G63</f>
        <v>48203.180268096527</v>
      </c>
      <c r="H59" s="1036">
        <f>H61+H63+H65</f>
        <v>69121.829302906161</v>
      </c>
      <c r="I59" s="1036">
        <f t="shared" ref="I59:O59" si="38">I61+I63+I65</f>
        <v>90845.6252408289</v>
      </c>
      <c r="J59" s="1036">
        <f t="shared" si="38"/>
        <v>107600.11625591471</v>
      </c>
      <c r="K59" s="1036">
        <f t="shared" si="38"/>
        <v>122714.24850243627</v>
      </c>
      <c r="L59" s="1036">
        <f t="shared" si="38"/>
        <v>137823.27370658846</v>
      </c>
      <c r="M59" s="1036">
        <f t="shared" si="38"/>
        <v>152669.09440428103</v>
      </c>
      <c r="N59" s="1036">
        <f t="shared" si="38"/>
        <v>166460.22273705556</v>
      </c>
      <c r="O59" s="1036">
        <f t="shared" si="38"/>
        <v>181364.49885845406</v>
      </c>
    </row>
    <row r="60" spans="1:15" x14ac:dyDescent="0.6">
      <c r="A60" s="1019" t="s">
        <v>977</v>
      </c>
      <c r="B60" s="1022"/>
      <c r="C60" s="1036"/>
      <c r="D60" s="1031">
        <f t="shared" ref="D60:O60" si="39">D59/C59-1</f>
        <v>0.82223584492178814</v>
      </c>
      <c r="E60" s="1031">
        <f t="shared" si="39"/>
        <v>0.41017409948143579</v>
      </c>
      <c r="F60" s="1031">
        <f t="shared" si="39"/>
        <v>1.0050117797160008</v>
      </c>
      <c r="G60" s="1031">
        <f t="shared" si="39"/>
        <v>0.4869611321499121</v>
      </c>
      <c r="H60" s="1031">
        <f t="shared" si="39"/>
        <v>0.43396823442902011</v>
      </c>
      <c r="I60" s="1031">
        <f t="shared" si="39"/>
        <v>0.3142827115110709</v>
      </c>
      <c r="J60" s="1031">
        <f t="shared" si="39"/>
        <v>0.18442815458278994</v>
      </c>
      <c r="K60" s="1031">
        <f t="shared" si="39"/>
        <v>0.14046576130618948</v>
      </c>
      <c r="L60" s="1031">
        <f t="shared" si="39"/>
        <v>0.12312364202639614</v>
      </c>
      <c r="M60" s="1031">
        <f t="shared" si="39"/>
        <v>0.1077163551440361</v>
      </c>
      <c r="N60" s="1031">
        <f t="shared" si="39"/>
        <v>9.0333465241199562E-2</v>
      </c>
      <c r="O60" s="1031">
        <f t="shared" si="39"/>
        <v>8.9536562407114051E-2</v>
      </c>
    </row>
    <row r="61" spans="1:15" x14ac:dyDescent="0.6">
      <c r="A61" s="1018" t="s">
        <v>179</v>
      </c>
      <c r="B61" s="1022"/>
      <c r="C61" s="509">
        <f>C107</f>
        <v>0</v>
      </c>
      <c r="D61" s="509">
        <f t="shared" ref="D61:O61" si="40">D107</f>
        <v>233.78060000000002</v>
      </c>
      <c r="E61" s="509">
        <f t="shared" si="40"/>
        <v>1051.4253488372092</v>
      </c>
      <c r="F61" s="509">
        <f t="shared" si="40"/>
        <v>6482.0814386270868</v>
      </c>
      <c r="G61" s="509">
        <f t="shared" si="40"/>
        <v>8140.9166756032191</v>
      </c>
      <c r="H61" s="509">
        <f t="shared" si="40"/>
        <v>13704.793453126005</v>
      </c>
      <c r="I61" s="509">
        <f t="shared" si="40"/>
        <v>18563.182662938765</v>
      </c>
      <c r="J61" s="509">
        <f t="shared" si="40"/>
        <v>24326.448829299992</v>
      </c>
      <c r="K61" s="509">
        <f t="shared" si="40"/>
        <v>30714.826659671988</v>
      </c>
      <c r="L61" s="509">
        <f t="shared" si="40"/>
        <v>37631.249823891136</v>
      </c>
      <c r="M61" s="509">
        <f t="shared" si="40"/>
        <v>44952.627663992454</v>
      </c>
      <c r="N61" s="509">
        <f t="shared" si="40"/>
        <v>50717.348913123395</v>
      </c>
      <c r="O61" s="509">
        <f t="shared" si="40"/>
        <v>57061.868409364615</v>
      </c>
    </row>
    <row r="62" spans="1:15" x14ac:dyDescent="0.6">
      <c r="A62" s="1019" t="s">
        <v>977</v>
      </c>
      <c r="B62" s="1022"/>
      <c r="C62" s="1036"/>
      <c r="D62" s="1031"/>
      <c r="E62" s="1031">
        <f t="shared" ref="E62:O62" si="41">E61/D61-1</f>
        <v>3.4974875966492052</v>
      </c>
      <c r="F62" s="1031">
        <f t="shared" si="41"/>
        <v>5.165042003025456</v>
      </c>
      <c r="G62" s="1031">
        <f t="shared" si="41"/>
        <v>0.25591089107443787</v>
      </c>
      <c r="H62" s="1031">
        <f t="shared" si="41"/>
        <v>0.68344598025387837</v>
      </c>
      <c r="I62" s="1031">
        <f t="shared" si="41"/>
        <v>0.35450291362870434</v>
      </c>
      <c r="J62" s="1031">
        <f t="shared" si="41"/>
        <v>0.31046756749679227</v>
      </c>
      <c r="K62" s="1031">
        <f t="shared" si="41"/>
        <v>0.26261037421448519</v>
      </c>
      <c r="L62" s="1031">
        <f t="shared" si="41"/>
        <v>0.22518190451975717</v>
      </c>
      <c r="M62" s="1031">
        <f t="shared" si="41"/>
        <v>0.19455579802330036</v>
      </c>
      <c r="N62" s="1031">
        <f t="shared" si="41"/>
        <v>0.128239917190615</v>
      </c>
      <c r="O62" s="1031">
        <f t="shared" si="41"/>
        <v>0.12509564541926488</v>
      </c>
    </row>
    <row r="63" spans="1:15" x14ac:dyDescent="0.6">
      <c r="A63" s="1018" t="s">
        <v>255</v>
      </c>
      <c r="B63" s="1022"/>
      <c r="C63" s="509">
        <f>C109</f>
        <v>6291.9002399999999</v>
      </c>
      <c r="D63" s="509">
        <f t="shared" ref="D63:O63" si="42">D109</f>
        <v>11231.545550000001</v>
      </c>
      <c r="E63" s="509">
        <f t="shared" si="42"/>
        <v>15116.680630000001</v>
      </c>
      <c r="F63" s="509">
        <f t="shared" si="42"/>
        <v>25935.161504638218</v>
      </c>
      <c r="G63" s="509">
        <f t="shared" si="42"/>
        <v>40062.263592493306</v>
      </c>
      <c r="H63" s="509">
        <f t="shared" si="42"/>
        <v>55417.035849780157</v>
      </c>
      <c r="I63" s="509">
        <f t="shared" si="42"/>
        <v>72282.442577890135</v>
      </c>
      <c r="J63" s="509">
        <f t="shared" si="42"/>
        <v>83273.667426614717</v>
      </c>
      <c r="K63" s="509">
        <f t="shared" si="42"/>
        <v>91999.421842764277</v>
      </c>
      <c r="L63" s="509">
        <f t="shared" si="42"/>
        <v>100192.02388269732</v>
      </c>
      <c r="M63" s="509">
        <f t="shared" si="42"/>
        <v>107716.46674028857</v>
      </c>
      <c r="N63" s="509">
        <f t="shared" si="42"/>
        <v>115742.87382393218</v>
      </c>
      <c r="O63" s="509">
        <f t="shared" si="42"/>
        <v>124302.63044908945</v>
      </c>
    </row>
    <row r="64" spans="1:15" x14ac:dyDescent="0.6">
      <c r="A64" s="1019" t="s">
        <v>977</v>
      </c>
      <c r="B64" s="1022"/>
      <c r="C64" s="1036"/>
      <c r="D64" s="1031"/>
      <c r="E64" s="1031">
        <f t="shared" ref="E64:O64" si="43">E63/D63-1</f>
        <v>0.34591277422188793</v>
      </c>
      <c r="F64" s="1031">
        <f t="shared" si="43"/>
        <v>0.71566510793171512</v>
      </c>
      <c r="G64" s="1031">
        <f t="shared" si="43"/>
        <v>0.5447084678970906</v>
      </c>
      <c r="H64" s="1031">
        <f t="shared" si="43"/>
        <v>0.38327270803949198</v>
      </c>
      <c r="I64" s="1031">
        <f t="shared" si="43"/>
        <v>0.30433613904986379</v>
      </c>
      <c r="J64" s="1031">
        <f t="shared" si="43"/>
        <v>0.15205939999717977</v>
      </c>
      <c r="K64" s="1031">
        <f t="shared" si="43"/>
        <v>0.10478407743767471</v>
      </c>
      <c r="L64" s="1031">
        <f t="shared" si="43"/>
        <v>8.9050581795339756E-2</v>
      </c>
      <c r="M64" s="1031">
        <f t="shared" si="43"/>
        <v>7.5100218220970349E-2</v>
      </c>
      <c r="N64" s="1031">
        <f t="shared" si="43"/>
        <v>7.4514206848204534E-2</v>
      </c>
      <c r="O64" s="1031">
        <f t="shared" si="43"/>
        <v>7.3954934263843697E-2</v>
      </c>
    </row>
    <row r="65" spans="1:15" x14ac:dyDescent="0.6">
      <c r="A65" s="1019"/>
      <c r="B65" s="1022"/>
      <c r="C65" s="1036"/>
      <c r="D65" s="1031"/>
      <c r="E65" s="1031"/>
      <c r="F65" s="1031"/>
      <c r="G65" s="1031"/>
      <c r="H65" s="1031"/>
      <c r="I65" s="1031"/>
      <c r="J65" s="1031"/>
      <c r="K65" s="1031"/>
      <c r="L65" s="1031"/>
      <c r="M65" s="1031"/>
      <c r="N65" s="1031"/>
      <c r="O65" s="1031"/>
    </row>
    <row r="66" spans="1:15" x14ac:dyDescent="0.6">
      <c r="A66" s="1019"/>
      <c r="B66" s="1022"/>
      <c r="C66" s="1036"/>
      <c r="D66" s="1031"/>
      <c r="E66" s="1031"/>
      <c r="F66" s="1031"/>
      <c r="G66" s="1031"/>
      <c r="H66" s="1031"/>
      <c r="I66" s="1031"/>
      <c r="J66" s="1031"/>
      <c r="K66" s="1031"/>
      <c r="L66" s="1031"/>
      <c r="M66" s="1031"/>
      <c r="N66" s="1031"/>
      <c r="O66" s="1031"/>
    </row>
    <row r="67" spans="1:15" x14ac:dyDescent="0.6">
      <c r="A67" s="1018"/>
      <c r="B67" s="1022"/>
      <c r="C67" s="97"/>
      <c r="D67" s="97"/>
      <c r="E67" s="97"/>
      <c r="F67" s="97"/>
      <c r="G67" s="243"/>
      <c r="H67" s="243"/>
      <c r="I67" s="243"/>
      <c r="J67" s="243"/>
      <c r="K67" s="243"/>
      <c r="L67" s="243"/>
      <c r="M67" s="243"/>
      <c r="N67" s="243"/>
      <c r="O67" s="243"/>
    </row>
    <row r="68" spans="1:15" x14ac:dyDescent="0.6">
      <c r="A68" s="40" t="s">
        <v>228</v>
      </c>
      <c r="B68" s="1016"/>
      <c r="C68" s="1039"/>
      <c r="D68" s="1039"/>
      <c r="E68" s="1039"/>
      <c r="F68" s="1039"/>
      <c r="G68" s="1040"/>
      <c r="H68" s="1040"/>
      <c r="I68" s="1040"/>
      <c r="J68" s="1040"/>
      <c r="K68" s="1040"/>
      <c r="L68" s="1040"/>
      <c r="M68" s="1040"/>
      <c r="N68" s="1040"/>
      <c r="O68" s="1040"/>
    </row>
    <row r="69" spans="1:15" x14ac:dyDescent="0.6">
      <c r="A69" s="1019" t="s">
        <v>306</v>
      </c>
      <c r="B69" s="170">
        <v>207.83382500000002</v>
      </c>
      <c r="C69" s="170">
        <v>209.46932000000001</v>
      </c>
      <c r="D69" s="170">
        <v>211.049519</v>
      </c>
      <c r="E69" s="170">
        <v>212.55940900000002</v>
      </c>
      <c r="F69" s="170">
        <v>213.99344099999999</v>
      </c>
      <c r="G69" s="170">
        <v>215.353588</v>
      </c>
      <c r="H69" s="170">
        <v>216.641839</v>
      </c>
      <c r="I69" s="170">
        <v>217.86303599999999</v>
      </c>
      <c r="J69" s="170">
        <v>219.02090799999999</v>
      </c>
      <c r="K69" s="170">
        <v>220.114734</v>
      </c>
      <c r="L69" s="170">
        <v>221.14280600000001</v>
      </c>
      <c r="M69" s="170">
        <v>222.10689099999999</v>
      </c>
      <c r="N69" s="170">
        <v>223.009378</v>
      </c>
      <c r="O69" s="170">
        <v>223.852116</v>
      </c>
    </row>
    <row r="70" spans="1:15" x14ac:dyDescent="0.6">
      <c r="A70" s="1019" t="s">
        <v>441</v>
      </c>
      <c r="B70" s="1026">
        <v>83</v>
      </c>
      <c r="C70" s="407">
        <v>98.838999999999999</v>
      </c>
      <c r="D70" s="407">
        <v>119.449</v>
      </c>
      <c r="E70" s="407">
        <v>133.75700000000001</v>
      </c>
      <c r="F70" s="1021">
        <f t="shared" ref="F70:O70" si="44">F72*F73</f>
        <v>143.44877027453666</v>
      </c>
      <c r="G70" s="1021">
        <f t="shared" si="44"/>
        <v>157.99345855483438</v>
      </c>
      <c r="H70" s="1021">
        <f t="shared" si="44"/>
        <v>173.20919177704263</v>
      </c>
      <c r="I70" s="1021">
        <f t="shared" si="44"/>
        <v>183.69314630589881</v>
      </c>
      <c r="J70" s="1021">
        <f t="shared" si="44"/>
        <v>194.22753082896244</v>
      </c>
      <c r="K70" s="1021">
        <f t="shared" si="44"/>
        <v>204.80338395405073</v>
      </c>
      <c r="L70" s="1021">
        <f t="shared" si="44"/>
        <v>215.4106570142755</v>
      </c>
      <c r="M70" s="1021">
        <f t="shared" si="44"/>
        <v>226.042539768621</v>
      </c>
      <c r="N70" s="1021">
        <f t="shared" si="44"/>
        <v>236.69319059074971</v>
      </c>
      <c r="O70" s="1021">
        <f t="shared" si="44"/>
        <v>247.35658817999999</v>
      </c>
    </row>
    <row r="71" spans="1:15" x14ac:dyDescent="0.6">
      <c r="A71" s="1019" t="s">
        <v>272</v>
      </c>
      <c r="B71" s="1041">
        <v>0.27</v>
      </c>
      <c r="C71" s="1042">
        <f>C72/C69</f>
        <v>0.31456953536998483</v>
      </c>
      <c r="D71" s="1042">
        <f>D72/D69</f>
        <v>0.36514592088571374</v>
      </c>
      <c r="E71" s="1043">
        <f>E72/E69</f>
        <v>0.39329298756189141</v>
      </c>
      <c r="F71" s="1043">
        <f t="shared" ref="F71:N71" si="45">($O71-$E71)/($O$1-$E$1)+E71</f>
        <v>0.41896368880570228</v>
      </c>
      <c r="G71" s="1042">
        <f t="shared" si="45"/>
        <v>0.44463439004951316</v>
      </c>
      <c r="H71" s="1042">
        <f t="shared" si="45"/>
        <v>0.47030509129332404</v>
      </c>
      <c r="I71" s="1042">
        <f t="shared" si="45"/>
        <v>0.49597579253713492</v>
      </c>
      <c r="J71" s="1042">
        <f t="shared" si="45"/>
        <v>0.52164649378094574</v>
      </c>
      <c r="K71" s="1042">
        <f t="shared" si="45"/>
        <v>0.54731719502475662</v>
      </c>
      <c r="L71" s="1042">
        <f t="shared" si="45"/>
        <v>0.5729878962685675</v>
      </c>
      <c r="M71" s="1042">
        <f t="shared" si="45"/>
        <v>0.59865859751237838</v>
      </c>
      <c r="N71" s="1042">
        <f t="shared" si="45"/>
        <v>0.62432929875618925</v>
      </c>
      <c r="O71" s="1044">
        <v>0.65</v>
      </c>
    </row>
    <row r="72" spans="1:15" x14ac:dyDescent="0.6">
      <c r="A72" s="1019" t="s">
        <v>273</v>
      </c>
      <c r="B72" s="1021">
        <f>B71*B69</f>
        <v>56.115132750000008</v>
      </c>
      <c r="C72" s="1021">
        <f>C70/C73</f>
        <v>65.89266666666667</v>
      </c>
      <c r="D72" s="1021">
        <f>D70/D73</f>
        <v>77.063870967741934</v>
      </c>
      <c r="E72" s="1021">
        <f>E70/E73</f>
        <v>83.598124999999996</v>
      </c>
      <c r="F72" s="1021">
        <f t="shared" ref="F72:O72" si="46">F71*F69</f>
        <v>89.655481421585407</v>
      </c>
      <c r="G72" s="1021">
        <f t="shared" si="46"/>
        <v>95.753611245354165</v>
      </c>
      <c r="H72" s="1021">
        <f t="shared" si="46"/>
        <v>101.8877598688486</v>
      </c>
      <c r="I72" s="1021">
        <f t="shared" si="46"/>
        <v>108.05479194464635</v>
      </c>
      <c r="J72" s="1021">
        <f t="shared" si="46"/>
        <v>114.25148872291909</v>
      </c>
      <c r="K72" s="1021">
        <f t="shared" si="46"/>
        <v>120.47257879650043</v>
      </c>
      <c r="L72" s="1021">
        <f t="shared" si="46"/>
        <v>126.71215118486795</v>
      </c>
      <c r="M72" s="1021">
        <f t="shared" si="46"/>
        <v>132.9661998638947</v>
      </c>
      <c r="N72" s="1021">
        <f t="shared" si="46"/>
        <v>139.23128858279395</v>
      </c>
      <c r="O72" s="1021">
        <f t="shared" si="46"/>
        <v>145.5038754</v>
      </c>
    </row>
    <row r="73" spans="1:15" x14ac:dyDescent="0.6">
      <c r="A73" s="1019" t="s">
        <v>274</v>
      </c>
      <c r="B73" s="1045">
        <f>B70/B72</f>
        <v>1.4791019094577476</v>
      </c>
      <c r="C73" s="270">
        <v>1.5</v>
      </c>
      <c r="D73" s="270">
        <v>1.55</v>
      </c>
      <c r="E73" s="270">
        <v>1.6</v>
      </c>
      <c r="F73" s="270">
        <f>E73</f>
        <v>1.6</v>
      </c>
      <c r="G73" s="270">
        <v>1.65</v>
      </c>
      <c r="H73" s="270">
        <v>1.7</v>
      </c>
      <c r="I73" s="270">
        <f t="shared" ref="I73:O73" si="47">H73</f>
        <v>1.7</v>
      </c>
      <c r="J73" s="270">
        <f t="shared" si="47"/>
        <v>1.7</v>
      </c>
      <c r="K73" s="270">
        <f t="shared" si="47"/>
        <v>1.7</v>
      </c>
      <c r="L73" s="270">
        <f t="shared" si="47"/>
        <v>1.7</v>
      </c>
      <c r="M73" s="270">
        <f t="shared" si="47"/>
        <v>1.7</v>
      </c>
      <c r="N73" s="270">
        <f t="shared" si="47"/>
        <v>1.7</v>
      </c>
      <c r="O73" s="270">
        <f t="shared" si="47"/>
        <v>1.7</v>
      </c>
    </row>
    <row r="74" spans="1:15" x14ac:dyDescent="0.6">
      <c r="A74" s="1019"/>
      <c r="B74" s="1019"/>
      <c r="C74" s="1039"/>
      <c r="D74" s="1039"/>
      <c r="E74" s="1039"/>
      <c r="F74" s="1039"/>
      <c r="G74" s="1040"/>
      <c r="H74" s="1040"/>
      <c r="I74" s="1040"/>
      <c r="J74" s="1040"/>
      <c r="K74" s="1040"/>
      <c r="L74" s="1040"/>
      <c r="M74" s="1040"/>
      <c r="N74" s="1040"/>
      <c r="O74" s="1040"/>
    </row>
    <row r="75" spans="1:15" x14ac:dyDescent="0.6">
      <c r="A75" s="1019" t="s">
        <v>270</v>
      </c>
      <c r="B75" s="1019"/>
      <c r="C75" s="1046">
        <v>1</v>
      </c>
      <c r="D75" s="1046">
        <v>1</v>
      </c>
      <c r="E75" s="1047">
        <f t="shared" ref="E75:O75" si="48">E76/E$8</f>
        <v>1</v>
      </c>
      <c r="F75" s="1047">
        <f t="shared" si="48"/>
        <v>0.9721706864564007</v>
      </c>
      <c r="G75" s="1047">
        <f t="shared" si="48"/>
        <v>0.95040214477211815</v>
      </c>
      <c r="H75" s="1047">
        <f t="shared" si="48"/>
        <v>0.88064215667177848</v>
      </c>
      <c r="I75" s="1047">
        <f t="shared" si="48"/>
        <v>0.8218418722483215</v>
      </c>
      <c r="J75" s="1047">
        <f t="shared" si="48"/>
        <v>0.7728287425408632</v>
      </c>
      <c r="K75" s="1047">
        <f t="shared" si="48"/>
        <v>0.73868691630085748</v>
      </c>
      <c r="L75" s="1047">
        <f t="shared" si="48"/>
        <v>0.7138618708195702</v>
      </c>
      <c r="M75" s="1047">
        <f t="shared" si="48"/>
        <v>0.69816309095398232</v>
      </c>
      <c r="N75" s="1047">
        <f t="shared" si="48"/>
        <v>0.68918719544067319</v>
      </c>
      <c r="O75" s="1047">
        <f t="shared" si="48"/>
        <v>0.68603375103330999</v>
      </c>
    </row>
    <row r="76" spans="1:15" x14ac:dyDescent="0.6">
      <c r="A76" s="1019" t="s">
        <v>278</v>
      </c>
      <c r="B76" s="1019"/>
      <c r="C76" s="1021">
        <f>C19</f>
        <v>5.0999999999999996</v>
      </c>
      <c r="D76" s="1021">
        <f>D19</f>
        <v>12.1</v>
      </c>
      <c r="E76" s="1021">
        <f>E19</f>
        <v>21.8</v>
      </c>
      <c r="F76" s="1021">
        <f>F19</f>
        <v>39.956215213358071</v>
      </c>
      <c r="G76" s="1021">
        <f>G19</f>
        <v>58.164611260053633</v>
      </c>
      <c r="H76" s="1021">
        <f>G76+H77</f>
        <v>66.664611260053633</v>
      </c>
      <c r="I76" s="1021">
        <f t="shared" ref="I76:O76" si="49">H76+I77</f>
        <v>71.664611260053633</v>
      </c>
      <c r="J76" s="1021">
        <f>I76+J77</f>
        <v>76.664611260053633</v>
      </c>
      <c r="K76" s="1021">
        <f t="shared" si="49"/>
        <v>80.664611260053633</v>
      </c>
      <c r="L76" s="1021">
        <f t="shared" si="49"/>
        <v>83.664611260053633</v>
      </c>
      <c r="M76" s="1021">
        <f t="shared" si="49"/>
        <v>85.664611260053633</v>
      </c>
      <c r="N76" s="1021">
        <f t="shared" si="49"/>
        <v>87.664611260053633</v>
      </c>
      <c r="O76" s="1021">
        <f t="shared" si="49"/>
        <v>89.664611260053633</v>
      </c>
    </row>
    <row r="77" spans="1:15" x14ac:dyDescent="0.6">
      <c r="A77" s="1019" t="s">
        <v>679</v>
      </c>
      <c r="B77" s="1019"/>
      <c r="C77" s="1021"/>
      <c r="D77" s="1021">
        <f>D76-C76</f>
        <v>7</v>
      </c>
      <c r="E77" s="1021">
        <f>E76-D76</f>
        <v>9.7000000000000011</v>
      </c>
      <c r="F77" s="1021">
        <f>F76-E76</f>
        <v>18.15621521335807</v>
      </c>
      <c r="G77" s="1021">
        <f>G76-F76</f>
        <v>18.208396046695562</v>
      </c>
      <c r="H77" s="1020">
        <v>8.5</v>
      </c>
      <c r="I77" s="1020">
        <v>5</v>
      </c>
      <c r="J77" s="1020">
        <v>5</v>
      </c>
      <c r="K77" s="1020">
        <v>4</v>
      </c>
      <c r="L77" s="1020">
        <v>3</v>
      </c>
      <c r="M77" s="1020">
        <v>2</v>
      </c>
      <c r="N77" s="1020">
        <v>2</v>
      </c>
      <c r="O77" s="1020">
        <v>2</v>
      </c>
    </row>
    <row r="78" spans="1:15" x14ac:dyDescent="0.6">
      <c r="A78" s="1019" t="s">
        <v>271</v>
      </c>
      <c r="B78" s="1019"/>
      <c r="C78" s="1046">
        <v>0.72499999999999998</v>
      </c>
      <c r="D78" s="1046">
        <v>0.72499999999999998</v>
      </c>
      <c r="E78" s="1046">
        <v>0.72499999999999998</v>
      </c>
      <c r="F78" s="1046">
        <v>0.6</v>
      </c>
      <c r="G78" s="1048">
        <f>G28</f>
        <v>0.55555555555555558</v>
      </c>
      <c r="H78" s="1046">
        <v>0.6</v>
      </c>
      <c r="I78" s="1046">
        <v>0.65</v>
      </c>
      <c r="J78" s="1046">
        <v>0.7</v>
      </c>
      <c r="K78" s="1046">
        <v>0.7</v>
      </c>
      <c r="L78" s="1046">
        <v>0.7</v>
      </c>
      <c r="M78" s="1046">
        <v>0.7</v>
      </c>
      <c r="N78" s="1046">
        <v>0.7</v>
      </c>
      <c r="O78" s="1046">
        <v>0.7</v>
      </c>
    </row>
    <row r="79" spans="1:15" x14ac:dyDescent="0.6">
      <c r="A79" s="1019" t="s">
        <v>275</v>
      </c>
      <c r="B79" s="1019"/>
      <c r="C79" s="1021">
        <f t="shared" ref="C79:I79" si="50">C78*C76</f>
        <v>3.6974999999999998</v>
      </c>
      <c r="D79" s="1021">
        <f t="shared" si="50"/>
        <v>8.7724999999999991</v>
      </c>
      <c r="E79" s="1021">
        <f t="shared" si="50"/>
        <v>15.805</v>
      </c>
      <c r="F79" s="1021">
        <f t="shared" si="50"/>
        <v>23.973729128014842</v>
      </c>
      <c r="G79" s="1021">
        <f t="shared" si="50"/>
        <v>32.313672922252017</v>
      </c>
      <c r="H79" s="1021">
        <f t="shared" si="50"/>
        <v>39.998766756032175</v>
      </c>
      <c r="I79" s="1021">
        <f t="shared" si="50"/>
        <v>46.581997319034862</v>
      </c>
      <c r="J79" s="1021">
        <f t="shared" ref="J79:O79" si="51">J78*J76</f>
        <v>53.665227882037541</v>
      </c>
      <c r="K79" s="1021">
        <f t="shared" si="51"/>
        <v>56.465227882037539</v>
      </c>
      <c r="L79" s="1021">
        <f t="shared" si="51"/>
        <v>58.56522788203754</v>
      </c>
      <c r="M79" s="1021">
        <f t="shared" si="51"/>
        <v>59.965227882037539</v>
      </c>
      <c r="N79" s="1021">
        <f t="shared" si="51"/>
        <v>61.365227882037537</v>
      </c>
      <c r="O79" s="1021">
        <f t="shared" si="51"/>
        <v>62.765227882037536</v>
      </c>
    </row>
    <row r="80" spans="1:15" x14ac:dyDescent="0.6">
      <c r="A80" s="1019"/>
      <c r="B80" s="1019"/>
      <c r="C80" s="1046"/>
      <c r="D80" s="1046"/>
      <c r="E80" s="1046"/>
      <c r="F80" s="1046"/>
      <c r="G80" s="1046"/>
      <c r="H80" s="1046"/>
      <c r="I80" s="1046"/>
      <c r="J80" s="1046"/>
      <c r="K80" s="1046"/>
      <c r="L80" s="1046"/>
      <c r="M80" s="1046"/>
      <c r="N80" s="1046"/>
      <c r="O80" s="1046"/>
    </row>
    <row r="81" spans="1:23" x14ac:dyDescent="0.6">
      <c r="A81" s="168" t="s">
        <v>281</v>
      </c>
      <c r="B81" s="168"/>
      <c r="C81" s="1065">
        <f>C79/C70</f>
        <v>3.7409322231103104E-2</v>
      </c>
      <c r="D81" s="1065">
        <f>D79/D70</f>
        <v>7.3441385026245504E-2</v>
      </c>
      <c r="E81" s="1065">
        <f>E79/E70</f>
        <v>0.11816204011752655</v>
      </c>
      <c r="F81" s="1065">
        <f>F79/F70</f>
        <v>0.16712397800366768</v>
      </c>
      <c r="G81" s="1065">
        <f>G79/G70</f>
        <v>0.20452538489773611</v>
      </c>
      <c r="H81" s="1065">
        <f t="shared" ref="H81:N81" si="52">H79/H70</f>
        <v>0.23092750647736504</v>
      </c>
      <c r="I81" s="1065">
        <f t="shared" si="52"/>
        <v>0.25358592988256201</v>
      </c>
      <c r="J81" s="1065">
        <f t="shared" si="52"/>
        <v>0.2763008295116276</v>
      </c>
      <c r="K81" s="1065">
        <f t="shared" si="52"/>
        <v>0.27570456499247081</v>
      </c>
      <c r="L81" s="1065">
        <f t="shared" si="52"/>
        <v>0.27187711459492164</v>
      </c>
      <c r="M81" s="1065">
        <f t="shared" si="52"/>
        <v>0.26528293277636344</v>
      </c>
      <c r="N81" s="1065">
        <f t="shared" si="52"/>
        <v>0.25926063917968822</v>
      </c>
      <c r="O81" s="1065">
        <f>O79/O70</f>
        <v>0.25374391013334818</v>
      </c>
    </row>
    <row r="82" spans="1:23" x14ac:dyDescent="0.6">
      <c r="A82" s="1016"/>
      <c r="B82" s="1016"/>
      <c r="C82" s="1039"/>
      <c r="D82" s="1039"/>
      <c r="E82" s="1039"/>
      <c r="F82" s="1039"/>
      <c r="G82" s="1040"/>
      <c r="H82" s="1040"/>
      <c r="I82" s="1040"/>
      <c r="J82" s="1040"/>
      <c r="K82" s="1040"/>
      <c r="L82" s="1040"/>
      <c r="M82" s="1040"/>
      <c r="N82" s="1040"/>
      <c r="O82" s="1040"/>
      <c r="S82" s="186"/>
    </row>
    <row r="83" spans="1:23" x14ac:dyDescent="0.6">
      <c r="A83" s="1019" t="s">
        <v>257</v>
      </c>
      <c r="B83" s="1016"/>
      <c r="C83" s="274">
        <v>0</v>
      </c>
      <c r="D83" s="274">
        <v>0.01</v>
      </c>
      <c r="E83" s="274">
        <v>1.4999999999999999E-2</v>
      </c>
      <c r="F83" s="274">
        <v>0.05</v>
      </c>
      <c r="G83" s="1048">
        <f>G31</f>
        <v>8.1699346405228759E-2</v>
      </c>
      <c r="H83" s="274">
        <v>0.1</v>
      </c>
      <c r="I83" s="274">
        <v>0.12</v>
      </c>
      <c r="J83" s="274">
        <v>0.14000000000000001</v>
      </c>
      <c r="K83" s="274">
        <v>0.16</v>
      </c>
      <c r="L83" s="274">
        <v>0.18</v>
      </c>
      <c r="M83" s="274">
        <v>0.2</v>
      </c>
      <c r="N83" s="274">
        <v>0.21</v>
      </c>
      <c r="O83" s="274">
        <v>0.22</v>
      </c>
    </row>
    <row r="84" spans="1:23" x14ac:dyDescent="0.6">
      <c r="A84" s="1019" t="s">
        <v>260</v>
      </c>
      <c r="B84" s="1016"/>
      <c r="C84" s="178">
        <f t="shared" ref="C84:O84" si="53">C83*C$76</f>
        <v>0</v>
      </c>
      <c r="D84" s="211">
        <f t="shared" si="53"/>
        <v>0.121</v>
      </c>
      <c r="E84" s="1049">
        <f t="shared" si="53"/>
        <v>0.32700000000000001</v>
      </c>
      <c r="F84" s="211">
        <f t="shared" si="53"/>
        <v>1.9978107606679036</v>
      </c>
      <c r="G84" s="211">
        <f t="shared" si="53"/>
        <v>4.7520107238605913</v>
      </c>
      <c r="H84" s="211">
        <f t="shared" si="53"/>
        <v>6.6664611260053634</v>
      </c>
      <c r="I84" s="211">
        <f t="shared" si="53"/>
        <v>8.5997533512064361</v>
      </c>
      <c r="J84" s="211">
        <f t="shared" si="53"/>
        <v>10.733045576407509</v>
      </c>
      <c r="K84" s="211">
        <f t="shared" si="53"/>
        <v>12.906337801608581</v>
      </c>
      <c r="L84" s="211">
        <f t="shared" si="53"/>
        <v>15.059630026809653</v>
      </c>
      <c r="M84" s="211">
        <f t="shared" si="53"/>
        <v>17.132922252010726</v>
      </c>
      <c r="N84" s="211">
        <f t="shared" si="53"/>
        <v>18.40956836461126</v>
      </c>
      <c r="O84" s="211">
        <f t="shared" si="53"/>
        <v>19.726214477211798</v>
      </c>
    </row>
    <row r="85" spans="1:23" x14ac:dyDescent="0.6">
      <c r="A85" s="1019"/>
      <c r="B85" s="1016"/>
      <c r="C85" s="1039"/>
      <c r="D85" s="1039"/>
      <c r="E85" s="1039"/>
      <c r="F85" s="1039"/>
      <c r="G85" s="1040"/>
      <c r="H85" s="1040"/>
      <c r="I85" s="1040"/>
      <c r="J85" s="1040"/>
      <c r="K85" s="1040"/>
      <c r="L85" s="1040"/>
      <c r="M85" s="1040"/>
      <c r="N85" s="1040"/>
      <c r="O85" s="1040"/>
    </row>
    <row r="86" spans="1:23" x14ac:dyDescent="0.6">
      <c r="A86" s="1103" t="s">
        <v>1330</v>
      </c>
      <c r="B86" s="1016"/>
      <c r="C86" s="1039"/>
      <c r="D86" s="1039"/>
      <c r="E86" s="1039"/>
      <c r="F86" s="1039"/>
      <c r="G86" s="1040"/>
      <c r="H86" s="274">
        <v>1.4999999999999999E-2</v>
      </c>
      <c r="I86" s="274">
        <v>0.08</v>
      </c>
      <c r="J86" s="274">
        <v>0.1</v>
      </c>
      <c r="K86" s="274">
        <v>0.11</v>
      </c>
      <c r="L86" s="274">
        <v>0.12</v>
      </c>
      <c r="M86" s="274">
        <v>0.12</v>
      </c>
      <c r="N86" s="274">
        <v>0.12</v>
      </c>
      <c r="O86" s="274">
        <v>0.12</v>
      </c>
    </row>
    <row r="87" spans="1:23" x14ac:dyDescent="0.6">
      <c r="A87" s="1103" t="s">
        <v>1331</v>
      </c>
      <c r="B87" s="1016"/>
      <c r="C87" s="1039"/>
      <c r="D87" s="1039"/>
      <c r="E87" s="1039"/>
      <c r="F87" s="1039"/>
      <c r="G87" s="1040"/>
      <c r="H87" s="211">
        <f t="shared" ref="H87:O87" si="54">H86*H$76</f>
        <v>0.99996916890080445</v>
      </c>
      <c r="I87" s="211">
        <f t="shared" si="54"/>
        <v>5.7331689008042908</v>
      </c>
      <c r="J87" s="211">
        <f t="shared" si="54"/>
        <v>7.6664611260053634</v>
      </c>
      <c r="K87" s="211">
        <f t="shared" si="54"/>
        <v>8.8731072386059004</v>
      </c>
      <c r="L87" s="211">
        <f t="shared" si="54"/>
        <v>10.039753351206436</v>
      </c>
      <c r="M87" s="211">
        <f t="shared" si="54"/>
        <v>10.279753351206436</v>
      </c>
      <c r="N87" s="211">
        <f t="shared" si="54"/>
        <v>10.519753351206436</v>
      </c>
      <c r="O87" s="211">
        <f t="shared" si="54"/>
        <v>10.759753351206436</v>
      </c>
    </row>
    <row r="88" spans="1:23" x14ac:dyDescent="0.6">
      <c r="A88" s="1019"/>
      <c r="B88" s="1016"/>
      <c r="C88" s="1039"/>
      <c r="D88" s="1039"/>
      <c r="E88" s="1039"/>
      <c r="F88" s="1039"/>
      <c r="G88" s="1040"/>
      <c r="H88" s="1040"/>
      <c r="I88" s="1040"/>
      <c r="J88" s="1040"/>
      <c r="K88" s="1040"/>
      <c r="L88" s="1040"/>
      <c r="M88" s="1040"/>
      <c r="N88" s="1040"/>
      <c r="O88" s="1040"/>
    </row>
    <row r="89" spans="1:23" x14ac:dyDescent="0.6">
      <c r="A89" s="1019" t="s">
        <v>284</v>
      </c>
      <c r="B89" s="1016"/>
      <c r="C89" s="1017">
        <f>C90+C94</f>
        <v>1623.8</v>
      </c>
      <c r="D89" s="1017">
        <f>D90+D94</f>
        <v>2844.5</v>
      </c>
      <c r="E89" s="1017">
        <f>E90+E94</f>
        <v>3111.2255813953489</v>
      </c>
      <c r="F89" s="1017">
        <f>F90+F94</f>
        <v>5809.0212244897957</v>
      </c>
      <c r="G89" s="1017">
        <f>G90+G94</f>
        <v>9414.6836461126022</v>
      </c>
      <c r="H89" s="1017">
        <f>H90+H94+H103</f>
        <v>14012.258542908208</v>
      </c>
      <c r="I89" s="1017">
        <f t="shared" ref="I89:O89" si="55">I90+I94+I103</f>
        <v>18841.4767618552</v>
      </c>
      <c r="J89" s="1017">
        <f t="shared" si="55"/>
        <v>23465.761604615298</v>
      </c>
      <c r="K89" s="1017">
        <f t="shared" si="55"/>
        <v>27174.710013804757</v>
      </c>
      <c r="L89" s="1017">
        <f t="shared" si="55"/>
        <v>30787.21933092126</v>
      </c>
      <c r="M89" s="1017">
        <f t="shared" si="55"/>
        <v>34187.644025752081</v>
      </c>
      <c r="N89" s="1017">
        <f t="shared" si="55"/>
        <v>37203.59748116164</v>
      </c>
      <c r="O89" s="1017">
        <f t="shared" si="55"/>
        <v>40458.057769989209</v>
      </c>
    </row>
    <row r="90" spans="1:23" x14ac:dyDescent="0.6">
      <c r="A90" s="1018" t="s">
        <v>179</v>
      </c>
      <c r="B90" s="1018"/>
      <c r="C90" s="149">
        <v>0</v>
      </c>
      <c r="D90" s="59">
        <v>58</v>
      </c>
      <c r="E90" s="97">
        <f>E91*E35</f>
        <v>202.32558139534882</v>
      </c>
      <c r="F90" s="97">
        <f>F91*F35</f>
        <v>1161.5592578849721</v>
      </c>
      <c r="G90" s="97">
        <f>G91*G35</f>
        <v>1590.0227882037536</v>
      </c>
      <c r="H90" s="1017">
        <f>H107/Macro!H$4</f>
        <v>2719.2050502234138</v>
      </c>
      <c r="I90" s="1017">
        <f>I107/Macro!I$4</f>
        <v>3590.5575750365115</v>
      </c>
      <c r="J90" s="1017">
        <f>J107/Macro!J$4</f>
        <v>4705.3092513152787</v>
      </c>
      <c r="K90" s="1017">
        <f>K107/Macro!K$4</f>
        <v>5940.9722745980634</v>
      </c>
      <c r="L90" s="1017">
        <f>L107/Macro!L$4</f>
        <v>7278.7717260911286</v>
      </c>
      <c r="M90" s="1017">
        <f>M107/Macro!M$4</f>
        <v>8694.8989678902235</v>
      </c>
      <c r="N90" s="1017">
        <f>N107/Macro!N$4</f>
        <v>9809.9320915132284</v>
      </c>
      <c r="O90" s="1017">
        <f>O107/Macro!O$4</f>
        <v>11037.111878020236</v>
      </c>
      <c r="R90" s="280"/>
      <c r="W90" s="280"/>
    </row>
    <row r="91" spans="1:23" x14ac:dyDescent="0.6">
      <c r="A91" s="1018" t="s">
        <v>567</v>
      </c>
      <c r="B91" s="1018"/>
      <c r="C91" s="149"/>
      <c r="D91" s="59"/>
      <c r="E91" s="928">
        <f t="shared" ref="E91:O91" si="56">E75</f>
        <v>1</v>
      </c>
      <c r="F91" s="928">
        <f t="shared" si="56"/>
        <v>0.9721706864564007</v>
      </c>
      <c r="G91" s="928">
        <f t="shared" si="56"/>
        <v>0.95040214477211815</v>
      </c>
      <c r="H91" s="928">
        <f t="shared" si="56"/>
        <v>0.88064215667177848</v>
      </c>
      <c r="I91" s="928">
        <f t="shared" si="56"/>
        <v>0.8218418722483215</v>
      </c>
      <c r="J91" s="928">
        <f t="shared" si="56"/>
        <v>0.7728287425408632</v>
      </c>
      <c r="K91" s="928">
        <f t="shared" si="56"/>
        <v>0.73868691630085748</v>
      </c>
      <c r="L91" s="928">
        <f t="shared" si="56"/>
        <v>0.7138618708195702</v>
      </c>
      <c r="M91" s="928">
        <f t="shared" si="56"/>
        <v>0.69816309095398232</v>
      </c>
      <c r="N91" s="928">
        <f t="shared" si="56"/>
        <v>0.68918719544067319</v>
      </c>
      <c r="O91" s="928">
        <f t="shared" si="56"/>
        <v>0.68603375103330999</v>
      </c>
      <c r="R91" s="280"/>
      <c r="W91" s="280"/>
    </row>
    <row r="92" spans="1:23" x14ac:dyDescent="0.6">
      <c r="A92" s="1023" t="s">
        <v>261</v>
      </c>
      <c r="B92" s="1023"/>
      <c r="C92" s="149"/>
      <c r="D92" s="1025"/>
      <c r="E92" s="1025">
        <f t="shared" ref="E92:O92" si="57">E90/D90-1</f>
        <v>2.4883720930232553</v>
      </c>
      <c r="F92" s="1025">
        <f t="shared" si="57"/>
        <v>4.7410400102360697</v>
      </c>
      <c r="G92" s="1024">
        <f t="shared" si="57"/>
        <v>0.36886928274236341</v>
      </c>
      <c r="H92" s="1024">
        <f t="shared" si="57"/>
        <v>0.71016734501981293</v>
      </c>
      <c r="I92" s="1024">
        <f t="shared" si="57"/>
        <v>0.32044384616802102</v>
      </c>
      <c r="J92" s="1024">
        <f t="shared" si="57"/>
        <v>0.31046756749679227</v>
      </c>
      <c r="K92" s="1024">
        <f t="shared" si="57"/>
        <v>0.26261037421448519</v>
      </c>
      <c r="L92" s="1024">
        <f t="shared" si="57"/>
        <v>0.22518190451975717</v>
      </c>
      <c r="M92" s="1024">
        <f t="shared" si="57"/>
        <v>0.19455579802330036</v>
      </c>
      <c r="N92" s="1024">
        <f t="shared" si="57"/>
        <v>0.12823991719061478</v>
      </c>
      <c r="O92" s="1024">
        <f t="shared" si="57"/>
        <v>0.1250956454192651</v>
      </c>
      <c r="R92" s="280"/>
      <c r="W92" s="280"/>
    </row>
    <row r="93" spans="1:23" x14ac:dyDescent="0.6">
      <c r="A93" s="1023"/>
      <c r="B93" s="1023"/>
      <c r="C93" s="149"/>
      <c r="D93" s="1025"/>
      <c r="E93" s="1025"/>
      <c r="F93" s="1025"/>
      <c r="G93" s="1024"/>
      <c r="H93" s="1024"/>
      <c r="I93" s="1024"/>
      <c r="J93" s="1024"/>
      <c r="K93" s="1024"/>
      <c r="L93" s="1024"/>
      <c r="M93" s="1024"/>
      <c r="N93" s="1024"/>
      <c r="O93" s="1024"/>
      <c r="R93" s="280"/>
      <c r="W93" s="280"/>
    </row>
    <row r="94" spans="1:23" x14ac:dyDescent="0.6">
      <c r="A94" s="1018" t="s">
        <v>255</v>
      </c>
      <c r="B94" s="1018"/>
      <c r="C94" s="59">
        <v>1623.8</v>
      </c>
      <c r="D94" s="59">
        <v>2786.5</v>
      </c>
      <c r="E94" s="97">
        <f>E95*E37</f>
        <v>2908.9</v>
      </c>
      <c r="F94" s="97">
        <f>F95*F37</f>
        <v>4647.4619666048238</v>
      </c>
      <c r="G94" s="97">
        <f>G95*G37</f>
        <v>7824.6608579088488</v>
      </c>
      <c r="H94" s="97">
        <f>H109/Macro!H$4</f>
        <v>10995.443620988126</v>
      </c>
      <c r="I94" s="97">
        <f>I109/Macro!I$4</f>
        <v>13981.130092435229</v>
      </c>
      <c r="J94" s="97">
        <f>J109/Macro!J$4</f>
        <v>16107.092345573446</v>
      </c>
      <c r="K94" s="97">
        <f>K109/Macro!K$4</f>
        <v>17794.859157207789</v>
      </c>
      <c r="L94" s="97">
        <f>L109/Macro!L$4</f>
        <v>19379.501718123272</v>
      </c>
      <c r="M94" s="97">
        <f>M109/Macro!M$4</f>
        <v>20834.906526168001</v>
      </c>
      <c r="N94" s="97">
        <f>N109/Macro!N$4</f>
        <v>22387.403060721892</v>
      </c>
      <c r="O94" s="97">
        <f>O109/Macro!O$4</f>
        <v>24043.061982415755</v>
      </c>
    </row>
    <row r="95" spans="1:23" x14ac:dyDescent="0.6">
      <c r="A95" s="1018" t="s">
        <v>567</v>
      </c>
      <c r="B95" s="1018"/>
      <c r="C95" s="149"/>
      <c r="D95" s="59"/>
      <c r="E95" s="928">
        <f>E91</f>
        <v>1</v>
      </c>
      <c r="F95" s="928">
        <f t="shared" ref="F95:O95" si="58">F91</f>
        <v>0.9721706864564007</v>
      </c>
      <c r="G95" s="928">
        <f t="shared" si="58"/>
        <v>0.95040214477211815</v>
      </c>
      <c r="H95" s="928">
        <f t="shared" si="58"/>
        <v>0.88064215667177848</v>
      </c>
      <c r="I95" s="928">
        <f t="shared" si="58"/>
        <v>0.8218418722483215</v>
      </c>
      <c r="J95" s="928">
        <f t="shared" si="58"/>
        <v>0.7728287425408632</v>
      </c>
      <c r="K95" s="928">
        <f t="shared" si="58"/>
        <v>0.73868691630085748</v>
      </c>
      <c r="L95" s="928">
        <f t="shared" si="58"/>
        <v>0.7138618708195702</v>
      </c>
      <c r="M95" s="928">
        <f t="shared" si="58"/>
        <v>0.69816309095398232</v>
      </c>
      <c r="N95" s="928">
        <f t="shared" si="58"/>
        <v>0.68918719544067319</v>
      </c>
      <c r="O95" s="928">
        <f t="shared" si="58"/>
        <v>0.68603375103330999</v>
      </c>
    </row>
    <row r="96" spans="1:23" x14ac:dyDescent="0.6">
      <c r="A96" s="1023" t="s">
        <v>261</v>
      </c>
      <c r="B96" s="1023"/>
      <c r="C96" s="149"/>
      <c r="D96" s="1024"/>
      <c r="E96" s="1025">
        <f t="shared" ref="E96:O96" si="59">E94/D94-1</f>
        <v>4.392607213350086E-2</v>
      </c>
      <c r="F96" s="1025">
        <f t="shared" si="59"/>
        <v>0.59766989810747151</v>
      </c>
      <c r="G96" s="1024">
        <f t="shared" si="59"/>
        <v>0.68364171974603782</v>
      </c>
      <c r="H96" s="1024">
        <f t="shared" si="59"/>
        <v>0.40522941769091236</v>
      </c>
      <c r="I96" s="1024">
        <f t="shared" si="59"/>
        <v>0.27153851853216904</v>
      </c>
      <c r="J96" s="1024">
        <f t="shared" si="59"/>
        <v>0.15205939999717999</v>
      </c>
      <c r="K96" s="1024">
        <f t="shared" si="59"/>
        <v>0.10478407743767448</v>
      </c>
      <c r="L96" s="1024">
        <f t="shared" si="59"/>
        <v>8.9050581795339756E-2</v>
      </c>
      <c r="M96" s="1024">
        <f t="shared" si="59"/>
        <v>7.5100218220970349E-2</v>
      </c>
      <c r="N96" s="1024">
        <f t="shared" si="59"/>
        <v>7.4514206848204534E-2</v>
      </c>
      <c r="O96" s="1024">
        <f t="shared" si="59"/>
        <v>7.3954934263843697E-2</v>
      </c>
    </row>
    <row r="97" spans="1:23" x14ac:dyDescent="0.6">
      <c r="A97" s="1023"/>
      <c r="B97" s="1016"/>
      <c r="C97" s="1039"/>
      <c r="D97" s="1039"/>
      <c r="E97" s="1039"/>
      <c r="F97" s="1039"/>
      <c r="G97" s="1040"/>
      <c r="H97" s="1040"/>
      <c r="I97" s="1040"/>
      <c r="J97" s="1040"/>
      <c r="K97" s="1040"/>
      <c r="L97" s="1040"/>
      <c r="M97" s="1040"/>
      <c r="N97" s="1040"/>
      <c r="O97" s="1040"/>
    </row>
    <row r="98" spans="1:23" x14ac:dyDescent="0.6">
      <c r="A98" s="1018" t="s">
        <v>258</v>
      </c>
      <c r="B98" s="1018"/>
      <c r="C98" s="1017"/>
      <c r="D98" s="1017">
        <f>D90/D84</f>
        <v>479.3388429752066</v>
      </c>
      <c r="E98" s="1017">
        <f>E90/E84</f>
        <v>618.73266481758048</v>
      </c>
      <c r="F98" s="1017">
        <f>F90/F84</f>
        <v>581.41605839416047</v>
      </c>
      <c r="G98" s="1017">
        <f t="shared" ref="G98:O98" si="60">G90/G84</f>
        <v>334.59999999999997</v>
      </c>
      <c r="H98" s="1017">
        <f t="shared" si="60"/>
        <v>407.89333333333326</v>
      </c>
      <c r="I98" s="1017">
        <f t="shared" si="60"/>
        <v>417.5186692456478</v>
      </c>
      <c r="J98" s="1017">
        <f t="shared" si="60"/>
        <v>438.39460270793029</v>
      </c>
      <c r="K98" s="1017">
        <f t="shared" si="60"/>
        <v>460.31433284332684</v>
      </c>
      <c r="L98" s="1017">
        <f t="shared" si="60"/>
        <v>483.33004948549319</v>
      </c>
      <c r="M98" s="1017">
        <f t="shared" si="60"/>
        <v>507.49655195976783</v>
      </c>
      <c r="N98" s="1017">
        <f t="shared" si="60"/>
        <v>532.8713795577562</v>
      </c>
      <c r="O98" s="1017">
        <f t="shared" si="60"/>
        <v>559.51494853564407</v>
      </c>
      <c r="R98" s="280"/>
      <c r="W98" s="280"/>
    </row>
    <row r="99" spans="1:23" x14ac:dyDescent="0.6">
      <c r="A99" s="1023" t="s">
        <v>261</v>
      </c>
      <c r="B99" s="1023"/>
      <c r="C99" s="149"/>
      <c r="D99" s="1024"/>
      <c r="E99" s="1025">
        <f>E98/D98-1</f>
        <v>0.29080435246426273</v>
      </c>
      <c r="F99" s="1025">
        <f>F98/E98-1</f>
        <v>-6.0311356657437809E-2</v>
      </c>
      <c r="G99" s="1025">
        <f t="shared" ref="G99:O99" si="61">G98/F98-1</f>
        <v>-0.42450849925929646</v>
      </c>
      <c r="H99" s="1025">
        <f t="shared" si="61"/>
        <v>0.21904761904761894</v>
      </c>
      <c r="I99" s="1025">
        <f t="shared" si="61"/>
        <v>2.3597678916827514E-2</v>
      </c>
      <c r="J99" s="1025">
        <f t="shared" si="61"/>
        <v>5.0000000000000266E-2</v>
      </c>
      <c r="K99" s="1025">
        <f t="shared" si="61"/>
        <v>5.0000000000000044E-2</v>
      </c>
      <c r="L99" s="1025">
        <f t="shared" si="61"/>
        <v>5.0000000000000044E-2</v>
      </c>
      <c r="M99" s="1025">
        <f t="shared" si="61"/>
        <v>5.0000000000000044E-2</v>
      </c>
      <c r="N99" s="1025">
        <f t="shared" si="61"/>
        <v>5.0000000000000044E-2</v>
      </c>
      <c r="O99" s="1025">
        <f t="shared" si="61"/>
        <v>5.0000000000000044E-2</v>
      </c>
    </row>
    <row r="100" spans="1:23" x14ac:dyDescent="0.6">
      <c r="A100" s="1018" t="s">
        <v>259</v>
      </c>
      <c r="B100" s="1018"/>
      <c r="C100" s="1017"/>
      <c r="D100" s="1017">
        <f t="shared" ref="D100:O100" si="62">D94/D79</f>
        <v>317.64035337703052</v>
      </c>
      <c r="E100" s="1017">
        <f t="shared" si="62"/>
        <v>184.04935147105348</v>
      </c>
      <c r="F100" s="1017">
        <f t="shared" si="62"/>
        <v>193.85644768856449</v>
      </c>
      <c r="G100" s="1017">
        <f t="shared" si="62"/>
        <v>242.14705882352942</v>
      </c>
      <c r="H100" s="1017">
        <f t="shared" si="62"/>
        <v>274.89456582633045</v>
      </c>
      <c r="I100" s="1017">
        <f t="shared" si="62"/>
        <v>300.14020216179313</v>
      </c>
      <c r="J100" s="1017">
        <f t="shared" si="62"/>
        <v>300.14020216179318</v>
      </c>
      <c r="K100" s="1017">
        <f t="shared" si="62"/>
        <v>315.1472122698828</v>
      </c>
      <c r="L100" s="1017">
        <f t="shared" si="62"/>
        <v>330.904572883377</v>
      </c>
      <c r="M100" s="1017">
        <f t="shared" si="62"/>
        <v>347.44980152754584</v>
      </c>
      <c r="N100" s="1017">
        <f t="shared" si="62"/>
        <v>364.82229160392313</v>
      </c>
      <c r="O100" s="1017">
        <f t="shared" si="62"/>
        <v>383.06340618411929</v>
      </c>
    </row>
    <row r="101" spans="1:23" x14ac:dyDescent="0.6">
      <c r="A101" s="1023" t="s">
        <v>261</v>
      </c>
      <c r="B101" s="1023"/>
      <c r="C101" s="149"/>
      <c r="D101" s="1024"/>
      <c r="E101" s="1025">
        <f>E100/D100-1</f>
        <v>-0.42057314344883667</v>
      </c>
      <c r="F101" s="1025">
        <f>F100/E100-1</f>
        <v>5.3285144115563066E-2</v>
      </c>
      <c r="G101" s="1025">
        <f t="shared" ref="G101:O101" si="63">G100/F100-1</f>
        <v>0.24910500378375389</v>
      </c>
      <c r="H101" s="1025">
        <f t="shared" si="63"/>
        <v>0.13523809523809494</v>
      </c>
      <c r="I101" s="1025">
        <f t="shared" si="63"/>
        <v>9.1837524177949881E-2</v>
      </c>
      <c r="J101" s="1025">
        <f t="shared" si="63"/>
        <v>0</v>
      </c>
      <c r="K101" s="1025">
        <f t="shared" si="63"/>
        <v>4.9999999999999822E-2</v>
      </c>
      <c r="L101" s="1025">
        <f t="shared" si="63"/>
        <v>5.0000000000000266E-2</v>
      </c>
      <c r="M101" s="1025">
        <f t="shared" si="63"/>
        <v>5.0000000000000044E-2</v>
      </c>
      <c r="N101" s="1025">
        <f t="shared" si="63"/>
        <v>5.0000000000000044E-2</v>
      </c>
      <c r="O101" s="1025">
        <f t="shared" si="63"/>
        <v>5.0000000000000044E-2</v>
      </c>
    </row>
    <row r="102" spans="1:23" x14ac:dyDescent="0.6">
      <c r="A102" s="1023"/>
      <c r="B102" s="1023"/>
      <c r="C102" s="149"/>
      <c r="D102" s="1024"/>
      <c r="E102" s="1025"/>
      <c r="F102" s="1025"/>
      <c r="G102" s="1050"/>
      <c r="H102" s="1050"/>
      <c r="I102" s="1050"/>
      <c r="J102" s="1050"/>
      <c r="K102" s="1050"/>
      <c r="L102" s="1050"/>
      <c r="M102" s="1050"/>
      <c r="N102" s="1050"/>
      <c r="O102" s="1050"/>
    </row>
    <row r="103" spans="1:23" x14ac:dyDescent="0.6">
      <c r="A103" s="1104" t="s">
        <v>420</v>
      </c>
      <c r="B103" s="1023"/>
      <c r="C103" s="149"/>
      <c r="D103" s="1024"/>
      <c r="E103" s="1025"/>
      <c r="F103" s="1025"/>
      <c r="G103" s="1050"/>
      <c r="H103" s="1017">
        <f>H111/Macro!H$4</f>
        <v>297.60987169666799</v>
      </c>
      <c r="I103" s="1017">
        <f>I111/Macro!I$4</f>
        <v>1269.7890943834561</v>
      </c>
      <c r="J103" s="1017">
        <f>J111/Macro!J$4</f>
        <v>2653.3600077265728</v>
      </c>
      <c r="K103" s="1017">
        <f>K111/Macro!K$4</f>
        <v>3438.8785819989016</v>
      </c>
      <c r="L103" s="1017">
        <f>L111/Macro!L$4</f>
        <v>4128.9458867068606</v>
      </c>
      <c r="M103" s="1017">
        <f>M111/Macro!M$4</f>
        <v>4657.8385316938584</v>
      </c>
      <c r="N103" s="1017">
        <f>N111/Macro!N$4</f>
        <v>5006.2623289265202</v>
      </c>
      <c r="O103" s="1017">
        <f>O111/Macro!O$4</f>
        <v>5377.8839095532148</v>
      </c>
    </row>
    <row r="104" spans="1:23" x14ac:dyDescent="0.6">
      <c r="A104" s="1023" t="s">
        <v>261</v>
      </c>
      <c r="B104" s="1023"/>
      <c r="C104" s="149"/>
      <c r="D104" s="1024"/>
      <c r="E104" s="1025"/>
      <c r="F104" s="1025"/>
      <c r="G104" s="1050"/>
      <c r="H104" s="1050"/>
      <c r="I104" s="1025">
        <f>I103/H103-1</f>
        <v>3.2666229018023278</v>
      </c>
      <c r="J104" s="1025">
        <f t="shared" ref="J104:O104" si="64">J103/I103-1</f>
        <v>1.0896068642130738</v>
      </c>
      <c r="K104" s="1025">
        <f t="shared" si="64"/>
        <v>0.29604673771553891</v>
      </c>
      <c r="L104" s="1025">
        <f t="shared" si="64"/>
        <v>0.20066637662643116</v>
      </c>
      <c r="M104" s="1025">
        <f t="shared" si="64"/>
        <v>0.1280938669333902</v>
      </c>
      <c r="N104" s="1025">
        <f t="shared" si="64"/>
        <v>7.4803751753488745E-2</v>
      </c>
      <c r="O104" s="1025">
        <f t="shared" si="64"/>
        <v>7.423134390689845E-2</v>
      </c>
    </row>
    <row r="105" spans="1:23" x14ac:dyDescent="0.6">
      <c r="A105" s="1023"/>
      <c r="B105" s="1023"/>
      <c r="C105" s="149"/>
      <c r="D105" s="1024"/>
      <c r="E105" s="1025"/>
      <c r="F105" s="1025"/>
      <c r="G105" s="1050"/>
      <c r="H105" s="1050"/>
      <c r="I105" s="1050"/>
      <c r="J105" s="1050"/>
      <c r="K105" s="1050"/>
      <c r="L105" s="1050"/>
      <c r="M105" s="1050"/>
      <c r="N105" s="1050"/>
      <c r="O105" s="1050"/>
    </row>
    <row r="106" spans="1:23" x14ac:dyDescent="0.6">
      <c r="A106" s="1019" t="s">
        <v>865</v>
      </c>
      <c r="B106" s="1016"/>
      <c r="C106" s="1017">
        <f>C107+C109</f>
        <v>6291.9002399999999</v>
      </c>
      <c r="D106" s="1017">
        <f>D107+D109</f>
        <v>11465.326150000001</v>
      </c>
      <c r="E106" s="1017">
        <f>E107+E109</f>
        <v>16168.105978837209</v>
      </c>
      <c r="F106" s="1017">
        <f>F107+F109</f>
        <v>32417.242943265304</v>
      </c>
      <c r="G106" s="1017">
        <f>G107+G109</f>
        <v>48203.180268096527</v>
      </c>
      <c r="H106" s="1017">
        <f>H107+H109+H111</f>
        <v>70621.783056257365</v>
      </c>
      <c r="I106" s="1017">
        <f t="shared" ref="I106:O106" si="65">I107+I109+I111</f>
        <v>97410.43485879137</v>
      </c>
      <c r="J106" s="1017">
        <f t="shared" si="65"/>
        <v>121317.98749586109</v>
      </c>
      <c r="K106" s="1017">
        <f t="shared" si="65"/>
        <v>140493.2507713706</v>
      </c>
      <c r="L106" s="1017">
        <f t="shared" si="65"/>
        <v>159169.92394086294</v>
      </c>
      <c r="M106" s="1017">
        <f t="shared" si="65"/>
        <v>176750.11961313829</v>
      </c>
      <c r="N106" s="1017">
        <f t="shared" si="65"/>
        <v>192342.59897760567</v>
      </c>
      <c r="O106" s="1017">
        <f t="shared" si="65"/>
        <v>209168.15867084416</v>
      </c>
    </row>
    <row r="107" spans="1:23" x14ac:dyDescent="0.6">
      <c r="A107" s="1018" t="s">
        <v>179</v>
      </c>
      <c r="B107" s="1018"/>
      <c r="C107" s="59">
        <f>C90*Macro!C$4</f>
        <v>0</v>
      </c>
      <c r="D107" s="59">
        <f>D90*Macro!D$4</f>
        <v>233.78060000000002</v>
      </c>
      <c r="E107" s="59">
        <f>E90*Macro!E$4</f>
        <v>1051.4253488372092</v>
      </c>
      <c r="F107" s="59">
        <f>F90*Macro!F$4</f>
        <v>6482.0814386270868</v>
      </c>
      <c r="G107" s="59">
        <f>G90*Macro!G$4</f>
        <v>8140.9166756032191</v>
      </c>
      <c r="H107" s="1017">
        <f>H114*H84</f>
        <v>13704.793453126005</v>
      </c>
      <c r="I107" s="1017">
        <f t="shared" ref="I107:O107" si="66">I114*I84</f>
        <v>18563.182662938765</v>
      </c>
      <c r="J107" s="1017">
        <f t="shared" si="66"/>
        <v>24326.448829299992</v>
      </c>
      <c r="K107" s="1017">
        <f t="shared" si="66"/>
        <v>30714.826659671988</v>
      </c>
      <c r="L107" s="1017">
        <f t="shared" si="66"/>
        <v>37631.249823891136</v>
      </c>
      <c r="M107" s="1017">
        <f t="shared" si="66"/>
        <v>44952.627663992454</v>
      </c>
      <c r="N107" s="1017">
        <f t="shared" si="66"/>
        <v>50717.348913123395</v>
      </c>
      <c r="O107" s="1017">
        <f t="shared" si="66"/>
        <v>57061.868409364615</v>
      </c>
    </row>
    <row r="108" spans="1:23" x14ac:dyDescent="0.6">
      <c r="A108" s="1023" t="s">
        <v>261</v>
      </c>
      <c r="B108" s="1023"/>
      <c r="C108" s="149"/>
      <c r="D108" s="1025"/>
      <c r="E108" s="1025">
        <f t="shared" ref="E108:O108" si="67">E107/D107-1</f>
        <v>3.4974875966492052</v>
      </c>
      <c r="F108" s="1025">
        <f t="shared" si="67"/>
        <v>5.165042003025456</v>
      </c>
      <c r="G108" s="1024">
        <f t="shared" si="67"/>
        <v>0.25591089107443787</v>
      </c>
      <c r="H108" s="1024">
        <f t="shared" si="67"/>
        <v>0.68344598025387837</v>
      </c>
      <c r="I108" s="1024">
        <f t="shared" si="67"/>
        <v>0.35450291362870434</v>
      </c>
      <c r="J108" s="1024">
        <f t="shared" si="67"/>
        <v>0.31046756749679227</v>
      </c>
      <c r="K108" s="1024">
        <f t="shared" si="67"/>
        <v>0.26261037421448519</v>
      </c>
      <c r="L108" s="1024">
        <f t="shared" si="67"/>
        <v>0.22518190451975717</v>
      </c>
      <c r="M108" s="1024">
        <f t="shared" si="67"/>
        <v>0.19455579802330036</v>
      </c>
      <c r="N108" s="1024">
        <f t="shared" si="67"/>
        <v>0.128239917190615</v>
      </c>
      <c r="O108" s="1024">
        <f t="shared" si="67"/>
        <v>0.12509564541926488</v>
      </c>
    </row>
    <row r="109" spans="1:23" x14ac:dyDescent="0.6">
      <c r="A109" s="1018" t="s">
        <v>255</v>
      </c>
      <c r="B109" s="1018"/>
      <c r="C109" s="59">
        <f>C94*Macro!C$4</f>
        <v>6291.9002399999999</v>
      </c>
      <c r="D109" s="59">
        <f>D94*Macro!D$4</f>
        <v>11231.545550000001</v>
      </c>
      <c r="E109" s="59">
        <f>E94*Macro!E$4</f>
        <v>15116.680630000001</v>
      </c>
      <c r="F109" s="59">
        <f>F94*Macro!F$4</f>
        <v>25935.161504638218</v>
      </c>
      <c r="G109" s="59">
        <f>G94*Macro!G$4</f>
        <v>40062.263592493306</v>
      </c>
      <c r="H109" s="1017">
        <f>H116*H79</f>
        <v>55417.035849780157</v>
      </c>
      <c r="I109" s="1017">
        <f t="shared" ref="I109:O109" si="68">I116*I79</f>
        <v>72282.442577890135</v>
      </c>
      <c r="J109" s="1017">
        <f t="shared" si="68"/>
        <v>83273.667426614717</v>
      </c>
      <c r="K109" s="1017">
        <f t="shared" si="68"/>
        <v>91999.421842764277</v>
      </c>
      <c r="L109" s="1017">
        <f t="shared" si="68"/>
        <v>100192.02388269732</v>
      </c>
      <c r="M109" s="1017">
        <f t="shared" si="68"/>
        <v>107716.46674028857</v>
      </c>
      <c r="N109" s="1017">
        <f t="shared" si="68"/>
        <v>115742.87382393218</v>
      </c>
      <c r="O109" s="1017">
        <f t="shared" si="68"/>
        <v>124302.63044908945</v>
      </c>
    </row>
    <row r="110" spans="1:23" x14ac:dyDescent="0.6">
      <c r="A110" s="1023" t="s">
        <v>261</v>
      </c>
      <c r="B110" s="1023"/>
      <c r="C110" s="149"/>
      <c r="D110" s="1024"/>
      <c r="E110" s="1025">
        <f t="shared" ref="E110:O110" si="69">E109/D109-1</f>
        <v>0.34591277422188793</v>
      </c>
      <c r="F110" s="1025">
        <f t="shared" si="69"/>
        <v>0.71566510793171512</v>
      </c>
      <c r="G110" s="1024">
        <f t="shared" si="69"/>
        <v>0.5447084678970906</v>
      </c>
      <c r="H110" s="1024">
        <f t="shared" si="69"/>
        <v>0.38327270803949198</v>
      </c>
      <c r="I110" s="1024">
        <f t="shared" si="69"/>
        <v>0.30433613904986379</v>
      </c>
      <c r="J110" s="1024">
        <f t="shared" si="69"/>
        <v>0.15205939999717977</v>
      </c>
      <c r="K110" s="1024">
        <f t="shared" si="69"/>
        <v>0.10478407743767471</v>
      </c>
      <c r="L110" s="1024">
        <f t="shared" si="69"/>
        <v>8.9050581795339756E-2</v>
      </c>
      <c r="M110" s="1024">
        <f t="shared" si="69"/>
        <v>7.5100218220970349E-2</v>
      </c>
      <c r="N110" s="1024">
        <f t="shared" si="69"/>
        <v>7.4514206848204534E-2</v>
      </c>
      <c r="O110" s="1024">
        <f t="shared" si="69"/>
        <v>7.3954934263843697E-2</v>
      </c>
    </row>
    <row r="111" spans="1:23" x14ac:dyDescent="0.6">
      <c r="A111" s="1101" t="s">
        <v>420</v>
      </c>
      <c r="B111" s="1023"/>
      <c r="C111" s="149"/>
      <c r="D111" s="1024"/>
      <c r="E111" s="1025"/>
      <c r="F111" s="1025"/>
      <c r="G111" s="1024"/>
      <c r="H111" s="1017">
        <f t="shared" ref="H111:O111" si="70">H118*AVERAGE(G87,H87)</f>
        <v>1499.9537533512066</v>
      </c>
      <c r="I111" s="1017">
        <f>I118*AVERAGE(H87,I87)</f>
        <v>6564.8096179624681</v>
      </c>
      <c r="J111" s="1017">
        <f t="shared" si="70"/>
        <v>13717.871239946382</v>
      </c>
      <c r="K111" s="1017">
        <f t="shared" si="70"/>
        <v>17779.00226893432</v>
      </c>
      <c r="L111" s="1017">
        <f t="shared" si="70"/>
        <v>21346.650234274468</v>
      </c>
      <c r="M111" s="1017">
        <f t="shared" si="70"/>
        <v>24081.025208857249</v>
      </c>
      <c r="N111" s="1017">
        <f t="shared" si="70"/>
        <v>25882.376240550107</v>
      </c>
      <c r="O111" s="1017">
        <f t="shared" si="70"/>
        <v>27803.65981239012</v>
      </c>
    </row>
    <row r="112" spans="1:23" x14ac:dyDescent="0.6">
      <c r="A112" s="1023" t="s">
        <v>261</v>
      </c>
      <c r="B112" s="1023"/>
      <c r="C112" s="149"/>
      <c r="D112" s="1024"/>
      <c r="E112" s="1025"/>
      <c r="F112" s="1025"/>
      <c r="G112" s="1024"/>
      <c r="H112" s="1024"/>
      <c r="I112" s="1024">
        <f t="shared" ref="I112:O112" si="71">I111/H111-1</f>
        <v>3.3766746829996102</v>
      </c>
      <c r="J112" s="1024">
        <f t="shared" si="71"/>
        <v>1.0896068642130743</v>
      </c>
      <c r="K112" s="1024">
        <f t="shared" si="71"/>
        <v>0.29604673771553869</v>
      </c>
      <c r="L112" s="1024">
        <f t="shared" si="71"/>
        <v>0.20066637662643116</v>
      </c>
      <c r="M112" s="1024">
        <f t="shared" si="71"/>
        <v>0.12809386693339042</v>
      </c>
      <c r="N112" s="1024">
        <f t="shared" si="71"/>
        <v>7.4803751753488523E-2</v>
      </c>
      <c r="O112" s="1024">
        <f t="shared" si="71"/>
        <v>7.423134390689845E-2</v>
      </c>
    </row>
    <row r="113" spans="1:15" x14ac:dyDescent="0.6">
      <c r="A113" s="1023"/>
      <c r="B113" s="1016"/>
      <c r="C113" s="1039"/>
      <c r="D113" s="1039"/>
      <c r="E113" s="1039"/>
      <c r="F113" s="1039"/>
      <c r="G113" s="1040"/>
      <c r="H113" s="1040"/>
      <c r="I113" s="1040"/>
      <c r="J113" s="1040"/>
      <c r="K113" s="1040"/>
      <c r="L113" s="1040"/>
      <c r="M113" s="1040"/>
      <c r="N113" s="1040"/>
      <c r="O113" s="1040"/>
    </row>
    <row r="114" spans="1:15" x14ac:dyDescent="0.6">
      <c r="A114" s="1018" t="s">
        <v>866</v>
      </c>
      <c r="B114" s="1018"/>
      <c r="C114" s="1017"/>
      <c r="D114" s="1017">
        <f>D107/D84</f>
        <v>1932.0710743801656</v>
      </c>
      <c r="E114" s="1017">
        <f>E107/E84</f>
        <v>3215.3680392575202</v>
      </c>
      <c r="F114" s="1017">
        <f>F107/F84</f>
        <v>3244.5923138686126</v>
      </c>
      <c r="G114" s="1017">
        <f>G107/G84</f>
        <v>1713.1519999999998</v>
      </c>
      <c r="H114" s="1017">
        <f t="shared" ref="H114:O114" si="72">G114*(1+H115)</f>
        <v>2055.7823999999996</v>
      </c>
      <c r="I114" s="1017">
        <f t="shared" si="72"/>
        <v>2158.5715199999995</v>
      </c>
      <c r="J114" s="1017">
        <f t="shared" si="72"/>
        <v>2266.5000959999998</v>
      </c>
      <c r="K114" s="1017">
        <f t="shared" si="72"/>
        <v>2379.8251007999997</v>
      </c>
      <c r="L114" s="1017">
        <f t="shared" si="72"/>
        <v>2498.8163558399997</v>
      </c>
      <c r="M114" s="1017">
        <f t="shared" si="72"/>
        <v>2623.7571736319996</v>
      </c>
      <c r="N114" s="1017">
        <f t="shared" si="72"/>
        <v>2754.9450323135998</v>
      </c>
      <c r="O114" s="1017">
        <f t="shared" si="72"/>
        <v>2892.6922839292797</v>
      </c>
    </row>
    <row r="115" spans="1:15" x14ac:dyDescent="0.6">
      <c r="A115" s="1023" t="s">
        <v>261</v>
      </c>
      <c r="B115" s="1023"/>
      <c r="C115" s="149"/>
      <c r="D115" s="1024"/>
      <c r="E115" s="1025">
        <f>E114/D114-1</f>
        <v>0.6642079486071979</v>
      </c>
      <c r="F115" s="1025">
        <f>F114/E114-1</f>
        <v>9.0889360888966042E-3</v>
      </c>
      <c r="G115" s="1025">
        <f>G114/F114-1</f>
        <v>-0.47199776296166973</v>
      </c>
      <c r="H115" s="1050">
        <v>0.2</v>
      </c>
      <c r="I115" s="1050">
        <v>0.05</v>
      </c>
      <c r="J115" s="1050">
        <v>0.05</v>
      </c>
      <c r="K115" s="1050">
        <v>0.05</v>
      </c>
      <c r="L115" s="1050">
        <v>0.05</v>
      </c>
      <c r="M115" s="1050">
        <v>0.05</v>
      </c>
      <c r="N115" s="1050">
        <v>0.05</v>
      </c>
      <c r="O115" s="1050">
        <v>0.05</v>
      </c>
    </row>
    <row r="116" spans="1:15" x14ac:dyDescent="0.6">
      <c r="A116" s="1018" t="s">
        <v>867</v>
      </c>
      <c r="B116" s="1018"/>
      <c r="C116" s="1017"/>
      <c r="D116" s="1017">
        <f>D109/D79</f>
        <v>1280.312972356797</v>
      </c>
      <c r="E116" s="1017">
        <f>E109/E79</f>
        <v>956.44926478962361</v>
      </c>
      <c r="F116" s="1017">
        <f>F109/F79</f>
        <v>1081.8159063260341</v>
      </c>
      <c r="G116" s="1017">
        <f>G109/G79</f>
        <v>1239.7929411764705</v>
      </c>
      <c r="H116" s="1017">
        <f t="shared" ref="H116:O116" si="73">G116*(1+H117)</f>
        <v>1385.4686117647057</v>
      </c>
      <c r="I116" s="1017">
        <f t="shared" si="73"/>
        <v>1551.7248451764706</v>
      </c>
      <c r="J116" s="1017">
        <f t="shared" si="73"/>
        <v>1551.7248451764706</v>
      </c>
      <c r="K116" s="1017">
        <f t="shared" si="73"/>
        <v>1629.3110874352942</v>
      </c>
      <c r="L116" s="1017">
        <f t="shared" si="73"/>
        <v>1710.7766418070589</v>
      </c>
      <c r="M116" s="1017">
        <f t="shared" si="73"/>
        <v>1796.3154738974119</v>
      </c>
      <c r="N116" s="1017">
        <f t="shared" si="73"/>
        <v>1886.1312475922825</v>
      </c>
      <c r="O116" s="1017">
        <f t="shared" si="73"/>
        <v>1980.4378099718967</v>
      </c>
    </row>
    <row r="117" spans="1:15" x14ac:dyDescent="0.6">
      <c r="A117" s="1023" t="s">
        <v>261</v>
      </c>
      <c r="B117" s="1023"/>
      <c r="C117" s="149"/>
      <c r="D117" s="1024"/>
      <c r="E117" s="1025">
        <f>E116/D116-1</f>
        <v>-0.25295667118876863</v>
      </c>
      <c r="F117" s="1025">
        <f>F116/E116-1</f>
        <v>0.131075056619951</v>
      </c>
      <c r="G117" s="1025">
        <f>G116/F116-1</f>
        <v>0.14602949903643392</v>
      </c>
      <c r="H117" s="1050">
        <v>0.11749999999999999</v>
      </c>
      <c r="I117" s="1050">
        <v>0.12</v>
      </c>
      <c r="J117" s="1050">
        <v>0</v>
      </c>
      <c r="K117" s="1050">
        <v>0.05</v>
      </c>
      <c r="L117" s="1050">
        <v>0.05</v>
      </c>
      <c r="M117" s="1050">
        <v>0.05</v>
      </c>
      <c r="N117" s="1050">
        <v>0.05</v>
      </c>
      <c r="O117" s="1050">
        <v>0.05</v>
      </c>
    </row>
    <row r="118" spans="1:15" x14ac:dyDescent="0.6">
      <c r="A118" s="1101" t="s">
        <v>1329</v>
      </c>
      <c r="B118" s="1023"/>
      <c r="C118" s="149"/>
      <c r="D118" s="1024"/>
      <c r="E118" s="1025"/>
      <c r="F118" s="1025"/>
      <c r="G118" s="1050"/>
      <c r="H118" s="59">
        <v>1500</v>
      </c>
      <c r="I118" s="1017">
        <f t="shared" ref="I118:O118" si="74">H118*(1+I119)</f>
        <v>1950</v>
      </c>
      <c r="J118" s="1017">
        <f t="shared" si="74"/>
        <v>2047.5</v>
      </c>
      <c r="K118" s="1017">
        <f t="shared" si="74"/>
        <v>2149.875</v>
      </c>
      <c r="L118" s="1017">
        <f t="shared" si="74"/>
        <v>2257.3687500000001</v>
      </c>
      <c r="M118" s="1017">
        <f t="shared" si="74"/>
        <v>2370.2371875000003</v>
      </c>
      <c r="N118" s="1017">
        <f t="shared" si="74"/>
        <v>2488.7490468750007</v>
      </c>
      <c r="O118" s="1017">
        <f t="shared" si="74"/>
        <v>2613.1864992187507</v>
      </c>
    </row>
    <row r="119" spans="1:15" x14ac:dyDescent="0.6">
      <c r="A119" s="1023" t="s">
        <v>261</v>
      </c>
      <c r="B119" s="1023"/>
      <c r="C119" s="149"/>
      <c r="D119" s="1024"/>
      <c r="E119" s="1025"/>
      <c r="F119" s="1025"/>
      <c r="G119" s="1050"/>
      <c r="H119" s="1050"/>
      <c r="I119" s="1050">
        <v>0.3</v>
      </c>
      <c r="J119" s="1050">
        <v>0.05</v>
      </c>
      <c r="K119" s="1050">
        <v>0.05</v>
      </c>
      <c r="L119" s="1050">
        <v>0.05</v>
      </c>
      <c r="M119" s="1050">
        <v>0.05</v>
      </c>
      <c r="N119" s="1050">
        <v>0.05</v>
      </c>
      <c r="O119" s="1050">
        <v>0.05</v>
      </c>
    </row>
    <row r="120" spans="1:15" x14ac:dyDescent="0.6">
      <c r="A120" s="1023"/>
      <c r="B120" s="1016"/>
      <c r="C120" s="1039"/>
      <c r="D120" s="1039"/>
      <c r="E120" s="1039"/>
      <c r="F120" s="1039"/>
      <c r="G120" s="1040"/>
      <c r="H120" s="1040"/>
      <c r="I120" s="1040"/>
      <c r="J120" s="1040"/>
      <c r="K120" s="1040"/>
      <c r="L120" s="1040"/>
      <c r="M120" s="1040"/>
      <c r="N120" s="1040"/>
      <c r="O120" s="1040"/>
    </row>
    <row r="121" spans="1:15" x14ac:dyDescent="0.6">
      <c r="A121" s="40" t="s">
        <v>229</v>
      </c>
      <c r="B121" s="1016"/>
      <c r="C121" s="1039"/>
      <c r="D121" s="1039"/>
      <c r="E121" s="1039"/>
      <c r="F121" s="1039"/>
      <c r="G121" s="1040"/>
      <c r="H121" s="1040"/>
      <c r="I121" s="1040"/>
      <c r="J121" s="1040"/>
      <c r="K121" s="1040"/>
      <c r="L121" s="1040"/>
      <c r="M121" s="1040"/>
      <c r="N121" s="1040"/>
      <c r="O121" s="1040"/>
    </row>
    <row r="122" spans="1:15" x14ac:dyDescent="0.6">
      <c r="A122" s="1019" t="s">
        <v>268</v>
      </c>
      <c r="B122" s="170">
        <v>124.777326</v>
      </c>
      <c r="C122" s="170">
        <v>126.19078200000001</v>
      </c>
      <c r="D122" s="170">
        <v>127.57552899999999</v>
      </c>
      <c r="E122" s="170">
        <v>128.93275299999999</v>
      </c>
      <c r="F122" s="170">
        <v>130.26222000000001</v>
      </c>
      <c r="G122" s="170">
        <v>131.56277499999999</v>
      </c>
      <c r="H122" s="170">
        <v>132.83376800000002</v>
      </c>
      <c r="I122" s="170">
        <v>134.07437899999999</v>
      </c>
      <c r="J122" s="170">
        <v>135.284064</v>
      </c>
      <c r="K122" s="170">
        <v>136.46207699999999</v>
      </c>
      <c r="L122" s="170">
        <v>137.608574</v>
      </c>
      <c r="M122" s="170">
        <v>138.725066</v>
      </c>
      <c r="N122" s="170">
        <v>139.81370000000001</v>
      </c>
      <c r="O122" s="170">
        <v>140.87576300000001</v>
      </c>
    </row>
    <row r="123" spans="1:15" x14ac:dyDescent="0.6">
      <c r="A123" s="1019" t="s">
        <v>269</v>
      </c>
      <c r="B123" s="1026">
        <v>26.9</v>
      </c>
      <c r="C123" s="407">
        <v>27.8</v>
      </c>
      <c r="D123" s="407">
        <v>29.2</v>
      </c>
      <c r="E123" s="1021">
        <f t="shared" ref="E123:O123" si="75">E125*E126</f>
        <v>31.7690303392</v>
      </c>
      <c r="F123" s="1021">
        <f t="shared" si="75"/>
        <v>40.558444819200005</v>
      </c>
      <c r="G123" s="1021">
        <f t="shared" si="75"/>
        <v>49.509703488</v>
      </c>
      <c r="H123" s="1021">
        <f t="shared" si="75"/>
        <v>58.616885143040015</v>
      </c>
      <c r="I123" s="1021">
        <f t="shared" si="75"/>
        <v>67.873813624960007</v>
      </c>
      <c r="J123" s="1021">
        <f t="shared" si="75"/>
        <v>77.274257356800007</v>
      </c>
      <c r="K123" s="1021">
        <f t="shared" si="75"/>
        <v>86.811714904320013</v>
      </c>
      <c r="L123" s="1021">
        <f t="shared" si="75"/>
        <v>96.480123402880025</v>
      </c>
      <c r="M123" s="1021">
        <f t="shared" si="75"/>
        <v>106.27449856128004</v>
      </c>
      <c r="N123" s="1021">
        <f t="shared" si="75"/>
        <v>116.19077724800005</v>
      </c>
      <c r="O123" s="1021">
        <f t="shared" si="75"/>
        <v>126.22468364800002</v>
      </c>
    </row>
    <row r="124" spans="1:15" x14ac:dyDescent="0.6">
      <c r="A124" s="1019" t="s">
        <v>272</v>
      </c>
      <c r="B124" s="1041">
        <v>0.1</v>
      </c>
      <c r="C124" s="1042">
        <f>C125/C122</f>
        <v>0.10013697859772067</v>
      </c>
      <c r="D124" s="1042">
        <f>D125/D122</f>
        <v>0.10310091015302122</v>
      </c>
      <c r="E124" s="1051">
        <v>0.11</v>
      </c>
      <c r="F124" s="1043">
        <f t="shared" ref="F124:N124" si="76">($O124-$E124)/($O$1-$E$1)+E124</f>
        <v>0.13900000000000001</v>
      </c>
      <c r="G124" s="1042">
        <f t="shared" si="76"/>
        <v>0.16800000000000001</v>
      </c>
      <c r="H124" s="1042">
        <f t="shared" si="76"/>
        <v>0.19700000000000001</v>
      </c>
      <c r="I124" s="1042">
        <f t="shared" si="76"/>
        <v>0.22600000000000001</v>
      </c>
      <c r="J124" s="1042">
        <f t="shared" si="76"/>
        <v>0.255</v>
      </c>
      <c r="K124" s="1042">
        <f t="shared" si="76"/>
        <v>0.28400000000000003</v>
      </c>
      <c r="L124" s="1042">
        <f t="shared" si="76"/>
        <v>0.31300000000000006</v>
      </c>
      <c r="M124" s="1042">
        <f t="shared" si="76"/>
        <v>0.34200000000000008</v>
      </c>
      <c r="N124" s="1042">
        <f t="shared" si="76"/>
        <v>0.37100000000000011</v>
      </c>
      <c r="O124" s="1044">
        <v>0.4</v>
      </c>
    </row>
    <row r="125" spans="1:15" x14ac:dyDescent="0.6">
      <c r="A125" s="1019" t="s">
        <v>273</v>
      </c>
      <c r="B125" s="1021">
        <f>B124*B122</f>
        <v>12.477732600000001</v>
      </c>
      <c r="C125" s="1021">
        <f>C123/C126</f>
        <v>12.636363636363635</v>
      </c>
      <c r="D125" s="1021">
        <f>D123/D126</f>
        <v>13.153153153153152</v>
      </c>
      <c r="E125" s="1021">
        <f t="shared" ref="E125:O125" si="77">E124*E122</f>
        <v>14.182602829999999</v>
      </c>
      <c r="F125" s="1021">
        <f t="shared" si="77"/>
        <v>18.106448580000002</v>
      </c>
      <c r="G125" s="1021">
        <f t="shared" si="77"/>
        <v>22.102546199999999</v>
      </c>
      <c r="H125" s="1021">
        <f t="shared" si="77"/>
        <v>26.168252296000006</v>
      </c>
      <c r="I125" s="1021">
        <f t="shared" si="77"/>
        <v>30.300809653999998</v>
      </c>
      <c r="J125" s="1021">
        <f t="shared" si="77"/>
        <v>34.497436319999998</v>
      </c>
      <c r="K125" s="1021">
        <f t="shared" si="77"/>
        <v>38.755229868000001</v>
      </c>
      <c r="L125" s="1021">
        <f t="shared" si="77"/>
        <v>43.071483662000006</v>
      </c>
      <c r="M125" s="1021">
        <f t="shared" si="77"/>
        <v>47.443972572000014</v>
      </c>
      <c r="N125" s="1021">
        <f t="shared" si="77"/>
        <v>51.870882700000017</v>
      </c>
      <c r="O125" s="1021">
        <f t="shared" si="77"/>
        <v>56.350305200000008</v>
      </c>
    </row>
    <row r="126" spans="1:15" x14ac:dyDescent="0.6">
      <c r="A126" s="1019" t="s">
        <v>274</v>
      </c>
      <c r="B126" s="1045">
        <f>B123/B125</f>
        <v>2.1558403968362003</v>
      </c>
      <c r="C126" s="270">
        <v>2.2000000000000002</v>
      </c>
      <c r="D126" s="270">
        <v>2.2200000000000002</v>
      </c>
      <c r="E126" s="270">
        <v>2.2400000000000002</v>
      </c>
      <c r="F126" s="270">
        <f t="shared" ref="F126:O126" si="78">E126</f>
        <v>2.2400000000000002</v>
      </c>
      <c r="G126" s="270">
        <f t="shared" si="78"/>
        <v>2.2400000000000002</v>
      </c>
      <c r="H126" s="270">
        <f t="shared" si="78"/>
        <v>2.2400000000000002</v>
      </c>
      <c r="I126" s="270">
        <f t="shared" si="78"/>
        <v>2.2400000000000002</v>
      </c>
      <c r="J126" s="270">
        <f t="shared" si="78"/>
        <v>2.2400000000000002</v>
      </c>
      <c r="K126" s="270">
        <f t="shared" si="78"/>
        <v>2.2400000000000002</v>
      </c>
      <c r="L126" s="270">
        <f t="shared" si="78"/>
        <v>2.2400000000000002</v>
      </c>
      <c r="M126" s="270">
        <f t="shared" si="78"/>
        <v>2.2400000000000002</v>
      </c>
      <c r="N126" s="270">
        <f t="shared" si="78"/>
        <v>2.2400000000000002</v>
      </c>
      <c r="O126" s="270">
        <f t="shared" si="78"/>
        <v>2.2400000000000002</v>
      </c>
    </row>
    <row r="127" spans="1:15" x14ac:dyDescent="0.6">
      <c r="A127" s="1019"/>
      <c r="B127" s="1019"/>
      <c r="C127" s="1039"/>
      <c r="D127" s="1039"/>
      <c r="E127" s="1039"/>
      <c r="F127" s="1039"/>
      <c r="G127" s="1040"/>
      <c r="H127" s="1040"/>
      <c r="I127" s="1040"/>
      <c r="J127" s="1040"/>
      <c r="K127" s="1040"/>
      <c r="L127" s="1040"/>
      <c r="M127" s="1040"/>
      <c r="N127" s="1040"/>
      <c r="O127" s="1040"/>
    </row>
    <row r="128" spans="1:15" x14ac:dyDescent="0.6">
      <c r="A128" s="1019" t="s">
        <v>276</v>
      </c>
      <c r="B128" s="1019"/>
      <c r="C128" s="1044">
        <f>C24</f>
        <v>0</v>
      </c>
      <c r="D128" s="1044">
        <v>0</v>
      </c>
      <c r="E128" s="1051">
        <v>0</v>
      </c>
      <c r="F128" s="1052">
        <f t="shared" ref="F128:O128" si="79">F129/F$8</f>
        <v>2.5974025974025972E-2</v>
      </c>
      <c r="G128" s="1052">
        <f t="shared" si="79"/>
        <v>4.2895442359249338E-2</v>
      </c>
      <c r="H128" s="1052">
        <f t="shared" si="79"/>
        <v>0.1007292083538449</v>
      </c>
      <c r="I128" s="1052">
        <f t="shared" si="79"/>
        <v>0.14478441596773003</v>
      </c>
      <c r="J128" s="1052">
        <f t="shared" si="79"/>
        <v>0.17767339790711753</v>
      </c>
      <c r="K128" s="1052">
        <f t="shared" si="79"/>
        <v>0.20719048601086135</v>
      </c>
      <c r="L128" s="1052">
        <f t="shared" si="79"/>
        <v>0.22717748355278206</v>
      </c>
      <c r="M128" s="1052">
        <f t="shared" si="79"/>
        <v>0.24144418151903876</v>
      </c>
      <c r="N128" s="1052">
        <f t="shared" si="79"/>
        <v>0.24862579459423001</v>
      </c>
      <c r="O128" s="1052">
        <f t="shared" si="79"/>
        <v>0.24961898295628202</v>
      </c>
    </row>
    <row r="129" spans="1:15" x14ac:dyDescent="0.6">
      <c r="A129" s="168" t="s">
        <v>279</v>
      </c>
      <c r="B129" s="168"/>
      <c r="C129" s="1066">
        <f>C20</f>
        <v>0</v>
      </c>
      <c r="D129" s="1066">
        <f>D20</f>
        <v>0</v>
      </c>
      <c r="E129" s="1066">
        <f>E20</f>
        <v>0</v>
      </c>
      <c r="F129" s="1066">
        <f>F20</f>
        <v>1.0675324675324676</v>
      </c>
      <c r="G129" s="1066">
        <f>G20</f>
        <v>2.6252010723860595</v>
      </c>
      <c r="H129" s="1066">
        <f>G129+H130</f>
        <v>7.6252010723860595</v>
      </c>
      <c r="I129" s="1066">
        <f t="shared" ref="I129:O129" si="80">H129+I130</f>
        <v>12.625201072386059</v>
      </c>
      <c r="J129" s="1066">
        <f t="shared" si="80"/>
        <v>17.625201072386059</v>
      </c>
      <c r="K129" s="1066">
        <f t="shared" si="80"/>
        <v>22.625201072386059</v>
      </c>
      <c r="L129" s="1066">
        <f t="shared" si="80"/>
        <v>26.625201072386059</v>
      </c>
      <c r="M129" s="1066">
        <f t="shared" si="80"/>
        <v>29.625201072386059</v>
      </c>
      <c r="N129" s="1066">
        <f t="shared" si="80"/>
        <v>31.625201072386059</v>
      </c>
      <c r="O129" s="1066">
        <f t="shared" si="80"/>
        <v>32.625201072386062</v>
      </c>
    </row>
    <row r="130" spans="1:15" x14ac:dyDescent="0.6">
      <c r="A130" s="1019" t="s">
        <v>679</v>
      </c>
      <c r="B130" s="1019"/>
      <c r="C130" s="1021">
        <f>C129-B129</f>
        <v>0</v>
      </c>
      <c r="D130" s="1021">
        <f>D129-C129</f>
        <v>0</v>
      </c>
      <c r="E130" s="1021">
        <f>E129-D129</f>
        <v>0</v>
      </c>
      <c r="F130" s="1021">
        <f>F129-E129</f>
        <v>1.0675324675324676</v>
      </c>
      <c r="G130" s="1021">
        <f>G129-F129</f>
        <v>1.5576686048535919</v>
      </c>
      <c r="H130" s="1020">
        <v>5</v>
      </c>
      <c r="I130" s="1020">
        <v>5</v>
      </c>
      <c r="J130" s="1020">
        <v>5</v>
      </c>
      <c r="K130" s="1020">
        <v>5</v>
      </c>
      <c r="L130" s="1020">
        <v>4</v>
      </c>
      <c r="M130" s="1020">
        <v>3</v>
      </c>
      <c r="N130" s="1020">
        <v>2</v>
      </c>
      <c r="O130" s="1020">
        <v>1</v>
      </c>
    </row>
    <row r="131" spans="1:15" x14ac:dyDescent="0.6">
      <c r="A131" s="1019" t="s">
        <v>271</v>
      </c>
      <c r="B131" s="1019"/>
      <c r="C131" s="1053">
        <f>C78</f>
        <v>0.72499999999999998</v>
      </c>
      <c r="D131" s="1053">
        <f>D78</f>
        <v>0.72499999999999998</v>
      </c>
      <c r="E131" s="1048">
        <f>E78</f>
        <v>0.72499999999999998</v>
      </c>
      <c r="F131" s="1048">
        <f>F78</f>
        <v>0.6</v>
      </c>
      <c r="G131" s="1053">
        <f>G78</f>
        <v>0.55555555555555558</v>
      </c>
      <c r="H131" s="1054">
        <v>0.6</v>
      </c>
      <c r="I131" s="1054">
        <v>0.65</v>
      </c>
      <c r="J131" s="1054">
        <v>0.7</v>
      </c>
      <c r="K131" s="1054">
        <v>0.7</v>
      </c>
      <c r="L131" s="1054">
        <v>0.7</v>
      </c>
      <c r="M131" s="1054">
        <v>0.7</v>
      </c>
      <c r="N131" s="1054">
        <v>0.7</v>
      </c>
      <c r="O131" s="1054">
        <v>0.7</v>
      </c>
    </row>
    <row r="132" spans="1:15" x14ac:dyDescent="0.6">
      <c r="A132" s="1019" t="s">
        <v>275</v>
      </c>
      <c r="B132" s="1019"/>
      <c r="C132" s="1021">
        <f t="shared" ref="C132:H132" si="81">C131*C129</f>
        <v>0</v>
      </c>
      <c r="D132" s="1021">
        <f t="shared" si="81"/>
        <v>0</v>
      </c>
      <c r="E132" s="1021">
        <f t="shared" si="81"/>
        <v>0</v>
      </c>
      <c r="F132" s="1021">
        <f t="shared" si="81"/>
        <v>0.64051948051948049</v>
      </c>
      <c r="G132" s="1021">
        <f t="shared" si="81"/>
        <v>1.4584450402144775</v>
      </c>
      <c r="H132" s="1021">
        <f t="shared" si="81"/>
        <v>4.5751206434316352</v>
      </c>
      <c r="I132" s="1021">
        <f t="shared" ref="I132:O132" si="82">I131*I129</f>
        <v>8.206380697050939</v>
      </c>
      <c r="J132" s="1021">
        <f t="shared" si="82"/>
        <v>12.337640750670241</v>
      </c>
      <c r="K132" s="1021">
        <f t="shared" si="82"/>
        <v>15.837640750670239</v>
      </c>
      <c r="L132" s="1021">
        <f t="shared" si="82"/>
        <v>18.63764075067024</v>
      </c>
      <c r="M132" s="1021">
        <f t="shared" si="82"/>
        <v>20.737640750670241</v>
      </c>
      <c r="N132" s="1021">
        <f t="shared" si="82"/>
        <v>22.13764075067024</v>
      </c>
      <c r="O132" s="1021">
        <f t="shared" si="82"/>
        <v>22.837640750670243</v>
      </c>
    </row>
    <row r="133" spans="1:15" x14ac:dyDescent="0.6">
      <c r="A133" s="1019"/>
      <c r="B133" s="1019"/>
      <c r="C133" s="1054"/>
      <c r="D133" s="1054"/>
      <c r="E133" s="1046"/>
      <c r="F133" s="1046"/>
      <c r="G133" s="1054"/>
      <c r="H133" s="1054"/>
      <c r="I133" s="1054"/>
      <c r="J133" s="1054"/>
      <c r="K133" s="1054"/>
      <c r="L133" s="1054"/>
      <c r="M133" s="1054"/>
      <c r="N133" s="1054"/>
      <c r="O133" s="1054"/>
    </row>
    <row r="134" spans="1:15" x14ac:dyDescent="0.6">
      <c r="A134" s="168" t="s">
        <v>282</v>
      </c>
      <c r="B134" s="168"/>
      <c r="C134" s="1064">
        <f>C132/C123</f>
        <v>0</v>
      </c>
      <c r="D134" s="1064">
        <f>D132/D123</f>
        <v>0</v>
      </c>
      <c r="E134" s="1065">
        <f>E132/E123</f>
        <v>0</v>
      </c>
      <c r="F134" s="1065">
        <f>F132/F123</f>
        <v>1.5792505934948086E-2</v>
      </c>
      <c r="G134" s="1065">
        <f>G132/G123</f>
        <v>2.9457761559165279E-2</v>
      </c>
      <c r="H134" s="1065">
        <f t="shared" ref="H134:O134" si="83">H132/H123</f>
        <v>7.8051241246736069E-2</v>
      </c>
      <c r="I134" s="1065">
        <f t="shared" si="83"/>
        <v>0.12090643296390692</v>
      </c>
      <c r="J134" s="1065">
        <f t="shared" si="83"/>
        <v>0.15966042473502398</v>
      </c>
      <c r="K134" s="1065">
        <f t="shared" si="83"/>
        <v>0.18243667652604004</v>
      </c>
      <c r="L134" s="1065">
        <f t="shared" si="83"/>
        <v>0.19317596302031562</v>
      </c>
      <c r="M134" s="1065">
        <f t="shared" si="83"/>
        <v>0.19513280261409557</v>
      </c>
      <c r="N134" s="1065">
        <f t="shared" si="83"/>
        <v>0.19052838164099026</v>
      </c>
      <c r="O134" s="1065">
        <f t="shared" si="83"/>
        <v>0.18092848475150125</v>
      </c>
    </row>
    <row r="135" spans="1:15" x14ac:dyDescent="0.6">
      <c r="A135" s="168"/>
      <c r="B135" s="168"/>
      <c r="C135" s="1042"/>
      <c r="D135" s="1042"/>
      <c r="E135" s="1043"/>
      <c r="F135" s="1055"/>
      <c r="G135" s="1052"/>
      <c r="H135" s="1052"/>
      <c r="I135" s="1052"/>
      <c r="J135" s="1052"/>
      <c r="K135" s="1052"/>
      <c r="L135" s="1052"/>
      <c r="M135" s="1052"/>
      <c r="N135" s="1052"/>
      <c r="O135" s="1052"/>
    </row>
    <row r="136" spans="1:15" x14ac:dyDescent="0.6">
      <c r="A136" s="1019" t="s">
        <v>257</v>
      </c>
      <c r="B136" s="1016"/>
      <c r="C136" s="494">
        <v>0</v>
      </c>
      <c r="D136" s="494">
        <v>0</v>
      </c>
      <c r="E136" s="494">
        <v>0</v>
      </c>
      <c r="F136" s="1015">
        <f>F83</f>
        <v>0.05</v>
      </c>
      <c r="G136" s="1015">
        <f>G83</f>
        <v>8.1699346405228759E-2</v>
      </c>
      <c r="H136" s="494">
        <f>G136+3%</f>
        <v>0.11169934640522876</v>
      </c>
      <c r="I136" s="494">
        <f>H136+2%</f>
        <v>0.13169934640522876</v>
      </c>
      <c r="J136" s="494">
        <f>I136+2%</f>
        <v>0.15169934640522875</v>
      </c>
      <c r="K136" s="494">
        <f>J136+2%</f>
        <v>0.17169934640522874</v>
      </c>
      <c r="L136" s="494">
        <f>K136</f>
        <v>0.17169934640522874</v>
      </c>
      <c r="M136" s="494">
        <f>L136</f>
        <v>0.17169934640522874</v>
      </c>
      <c r="N136" s="494">
        <f>M136</f>
        <v>0.17169934640522874</v>
      </c>
      <c r="O136" s="494">
        <f>N136</f>
        <v>0.17169934640522874</v>
      </c>
    </row>
    <row r="137" spans="1:15" x14ac:dyDescent="0.6">
      <c r="A137" s="1019" t="s">
        <v>260</v>
      </c>
      <c r="B137" s="1016"/>
      <c r="C137" s="178">
        <f t="shared" ref="C137:O137" si="84">C136*C$129</f>
        <v>0</v>
      </c>
      <c r="D137" s="211">
        <f t="shared" si="84"/>
        <v>0</v>
      </c>
      <c r="E137" s="211">
        <f t="shared" si="84"/>
        <v>0</v>
      </c>
      <c r="F137" s="211">
        <f t="shared" si="84"/>
        <v>5.3376623376623383E-2</v>
      </c>
      <c r="G137" s="211">
        <f t="shared" si="84"/>
        <v>0.21447721179624668</v>
      </c>
      <c r="H137" s="211">
        <f t="shared" si="84"/>
        <v>0.85172997599397227</v>
      </c>
      <c r="I137" s="211">
        <f t="shared" si="84"/>
        <v>1.6627307294678373</v>
      </c>
      <c r="J137" s="211">
        <f t="shared" si="84"/>
        <v>2.6737314829417018</v>
      </c>
      <c r="K137" s="211">
        <f t="shared" si="84"/>
        <v>3.8847322364155668</v>
      </c>
      <c r="L137" s="211">
        <f t="shared" si="84"/>
        <v>4.5715296220364818</v>
      </c>
      <c r="M137" s="211">
        <f t="shared" si="84"/>
        <v>5.0866276612521677</v>
      </c>
      <c r="N137" s="211">
        <f t="shared" si="84"/>
        <v>5.4300263540626252</v>
      </c>
      <c r="O137" s="211">
        <f t="shared" si="84"/>
        <v>5.6017257004678545</v>
      </c>
    </row>
    <row r="138" spans="1:15" x14ac:dyDescent="0.6">
      <c r="A138" s="1019"/>
      <c r="B138" s="1016"/>
      <c r="C138" s="1039"/>
      <c r="D138" s="1039"/>
      <c r="E138" s="1039"/>
      <c r="F138" s="1039"/>
      <c r="G138" s="1056"/>
      <c r="H138" s="1040"/>
      <c r="I138" s="1040"/>
      <c r="J138" s="1040"/>
      <c r="K138" s="1040"/>
      <c r="L138" s="1040"/>
      <c r="M138" s="1040"/>
      <c r="N138" s="1040"/>
      <c r="O138" s="1040"/>
    </row>
    <row r="139" spans="1:15" x14ac:dyDescent="0.6">
      <c r="A139" s="168" t="s">
        <v>285</v>
      </c>
      <c r="B139" s="40"/>
      <c r="C139" s="23">
        <f t="shared" ref="C139:O139" si="85">C140+C143</f>
        <v>0</v>
      </c>
      <c r="D139" s="23">
        <f t="shared" si="85"/>
        <v>0</v>
      </c>
      <c r="E139" s="23">
        <f t="shared" si="85"/>
        <v>0</v>
      </c>
      <c r="F139" s="23">
        <f t="shared" si="85"/>
        <v>155.20285714285714</v>
      </c>
      <c r="G139" s="23">
        <f t="shared" si="85"/>
        <v>424.92225201072392</v>
      </c>
      <c r="H139" s="23">
        <f>H140+H143</f>
        <v>1517.8755007927248</v>
      </c>
      <c r="I139" s="23">
        <f t="shared" si="85"/>
        <v>3017.8281952893876</v>
      </c>
      <c r="J139" s="23">
        <f t="shared" si="85"/>
        <v>4831.2952011642255</v>
      </c>
      <c r="K139" s="23">
        <f t="shared" si="85"/>
        <v>6695.9899349850366</v>
      </c>
      <c r="L139" s="23">
        <f t="shared" si="85"/>
        <v>8273.79088117826</v>
      </c>
      <c r="M139" s="23">
        <f t="shared" si="85"/>
        <v>9666.3440666743008</v>
      </c>
      <c r="N139" s="23">
        <f t="shared" si="85"/>
        <v>10834.865819014005</v>
      </c>
      <c r="O139" s="23">
        <f t="shared" si="85"/>
        <v>11736.341498192851</v>
      </c>
    </row>
    <row r="140" spans="1:15" x14ac:dyDescent="0.6">
      <c r="A140" s="1018" t="s">
        <v>179</v>
      </c>
      <c r="B140" s="1018"/>
      <c r="C140" s="149">
        <v>0</v>
      </c>
      <c r="D140" s="59">
        <v>0</v>
      </c>
      <c r="E140" s="1017">
        <f>E141*E35</f>
        <v>0</v>
      </c>
      <c r="F140" s="1017">
        <f>F141*F35</f>
        <v>31.034025974025969</v>
      </c>
      <c r="G140" s="1017">
        <f>G141*G35</f>
        <v>71.764075067024137</v>
      </c>
      <c r="H140" s="1017">
        <f t="shared" ref="H140:O140" si="86">H147*H137</f>
        <v>299.23829246596227</v>
      </c>
      <c r="I140" s="1017">
        <f t="shared" si="86"/>
        <v>613.37554654313203</v>
      </c>
      <c r="J140" s="1017">
        <f t="shared" si="86"/>
        <v>1035.6466952968537</v>
      </c>
      <c r="K140" s="1017">
        <f t="shared" si="86"/>
        <v>1579.9531983095899</v>
      </c>
      <c r="L140" s="1017">
        <f t="shared" si="86"/>
        <v>1952.2434310366873</v>
      </c>
      <c r="M140" s="1017">
        <f t="shared" si="86"/>
        <v>2280.8235036776705</v>
      </c>
      <c r="N140" s="1017">
        <f t="shared" si="86"/>
        <v>2556.5422096239586</v>
      </c>
      <c r="O140" s="1017">
        <f t="shared" si="86"/>
        <v>2769.2500237554191</v>
      </c>
    </row>
    <row r="141" spans="1:15" x14ac:dyDescent="0.6">
      <c r="A141" s="1018" t="s">
        <v>1309</v>
      </c>
      <c r="B141" s="1018"/>
      <c r="C141" s="149"/>
      <c r="D141" s="59"/>
      <c r="E141" s="1037">
        <f>E128</f>
        <v>0</v>
      </c>
      <c r="F141" s="1037">
        <f>F128</f>
        <v>2.5974025974025972E-2</v>
      </c>
      <c r="G141" s="1037">
        <f>G128</f>
        <v>4.2895442359249338E-2</v>
      </c>
      <c r="H141" s="1037">
        <f t="shared" ref="H141:O141" si="87">H140/H35</f>
        <v>9.7351769508225466E-2</v>
      </c>
      <c r="I141" s="1037">
        <f t="shared" si="87"/>
        <v>0.14115773855720057</v>
      </c>
      <c r="J141" s="1037">
        <f t="shared" si="87"/>
        <v>0.17176397043919145</v>
      </c>
      <c r="K141" s="1037">
        <f t="shared" si="87"/>
        <v>0.19914598791949351</v>
      </c>
      <c r="L141" s="1037">
        <f t="shared" si="87"/>
        <v>0.20048318058410264</v>
      </c>
      <c r="M141" s="1037">
        <f t="shared" si="87"/>
        <v>0.19753841476630685</v>
      </c>
      <c r="N141" s="1037">
        <f t="shared" si="87"/>
        <v>0.19656751713795395</v>
      </c>
      <c r="O141" s="1037">
        <f t="shared" si="87"/>
        <v>0.19071674921024284</v>
      </c>
    </row>
    <row r="142" spans="1:15" x14ac:dyDescent="0.6">
      <c r="A142" s="1023" t="s">
        <v>261</v>
      </c>
      <c r="B142" s="1023"/>
      <c r="C142" s="149"/>
      <c r="D142" s="1025"/>
      <c r="E142" s="1025"/>
      <c r="F142" s="1025"/>
      <c r="G142" s="1024"/>
      <c r="H142" s="1024">
        <f t="shared" ref="H142:O142" si="88">H140/G140-1</f>
        <v>3.1697505637254899</v>
      </c>
      <c r="I142" s="1024">
        <f t="shared" si="88"/>
        <v>1.0497896224725389</v>
      </c>
      <c r="J142" s="1024">
        <f t="shared" si="88"/>
        <v>0.68843818625238917</v>
      </c>
      <c r="K142" s="1024">
        <f t="shared" si="88"/>
        <v>0.52557161190643131</v>
      </c>
      <c r="L142" s="1024">
        <f t="shared" si="88"/>
        <v>0.23563370935633721</v>
      </c>
      <c r="M142" s="1024">
        <f t="shared" si="88"/>
        <v>0.16830896568390519</v>
      </c>
      <c r="N142" s="1024">
        <f t="shared" si="88"/>
        <v>0.12088559483086292</v>
      </c>
      <c r="O142" s="1024">
        <f t="shared" si="88"/>
        <v>8.3201369932690339E-2</v>
      </c>
    </row>
    <row r="143" spans="1:15" x14ac:dyDescent="0.6">
      <c r="A143" s="1018" t="s">
        <v>255</v>
      </c>
      <c r="B143" s="1018"/>
      <c r="C143" s="149">
        <v>0</v>
      </c>
      <c r="D143" s="59">
        <v>0</v>
      </c>
      <c r="E143" s="1017">
        <f>E144*E37</f>
        <v>0</v>
      </c>
      <c r="F143" s="1017">
        <f>F144*F37</f>
        <v>124.16883116883116</v>
      </c>
      <c r="G143" s="1017">
        <f>G144*G37</f>
        <v>353.1581769436998</v>
      </c>
      <c r="H143" s="1017">
        <f t="shared" ref="H143:O143" si="89">H149*H132</f>
        <v>1218.6372083267624</v>
      </c>
      <c r="I143" s="1017">
        <f t="shared" si="89"/>
        <v>2404.4526487462554</v>
      </c>
      <c r="J143" s="1017">
        <f t="shared" si="89"/>
        <v>3795.648505867372</v>
      </c>
      <c r="K143" s="1017">
        <f t="shared" si="89"/>
        <v>5116.0367366754472</v>
      </c>
      <c r="L143" s="1017">
        <f t="shared" si="89"/>
        <v>6321.5474501415729</v>
      </c>
      <c r="M143" s="1017">
        <f t="shared" si="89"/>
        <v>7385.5205629966304</v>
      </c>
      <c r="N143" s="1017">
        <f t="shared" si="89"/>
        <v>8278.3236093900468</v>
      </c>
      <c r="O143" s="1017">
        <f t="shared" si="89"/>
        <v>8967.0914744374313</v>
      </c>
    </row>
    <row r="144" spans="1:15" x14ac:dyDescent="0.6">
      <c r="A144" s="1018" t="s">
        <v>1310</v>
      </c>
      <c r="B144" s="1018"/>
      <c r="C144" s="149"/>
      <c r="D144" s="59"/>
      <c r="E144" s="1037">
        <f>E141</f>
        <v>0</v>
      </c>
      <c r="F144" s="1037">
        <f>F141</f>
        <v>2.5974025974025972E-2</v>
      </c>
      <c r="G144" s="1037">
        <f>G141</f>
        <v>4.2895442359249338E-2</v>
      </c>
      <c r="H144" s="1037">
        <f t="shared" ref="H144:O144" si="90">H143/H37</f>
        <v>9.9741004844223838E-2</v>
      </c>
      <c r="I144" s="1037">
        <f t="shared" si="90"/>
        <v>0.14672804414655882</v>
      </c>
      <c r="J144" s="1037">
        <f t="shared" si="90"/>
        <v>0.19069986813409809</v>
      </c>
      <c r="K144" s="1037">
        <f t="shared" si="90"/>
        <v>0.22329727473690428</v>
      </c>
      <c r="L144" s="1037">
        <f t="shared" si="90"/>
        <v>0.24596238904961704</v>
      </c>
      <c r="M144" s="1037">
        <f t="shared" si="90"/>
        <v>0.26170715174367426</v>
      </c>
      <c r="N144" s="1037">
        <f t="shared" si="90"/>
        <v>0.26995254588644629</v>
      </c>
      <c r="O144" s="1037">
        <f t="shared" si="90"/>
        <v>0.27164550672996568</v>
      </c>
    </row>
    <row r="145" spans="1:15" x14ac:dyDescent="0.6">
      <c r="A145" s="1023" t="s">
        <v>261</v>
      </c>
      <c r="B145" s="1023"/>
      <c r="C145" s="149"/>
      <c r="D145" s="1024"/>
      <c r="E145" s="1025"/>
      <c r="F145" s="1025"/>
      <c r="G145" s="1024"/>
      <c r="H145" s="1024">
        <f t="shared" ref="H145:O145" si="91">H143/G143-1</f>
        <v>2.4506838235294115</v>
      </c>
      <c r="I145" s="1024">
        <f t="shared" si="91"/>
        <v>0.97306682605536454</v>
      </c>
      <c r="J145" s="1024">
        <f t="shared" si="91"/>
        <v>0.57859149684088096</v>
      </c>
      <c r="K145" s="1024">
        <f t="shared" si="91"/>
        <v>0.34786894222871223</v>
      </c>
      <c r="L145" s="1024">
        <f t="shared" si="91"/>
        <v>0.23563370935633721</v>
      </c>
      <c r="M145" s="1024">
        <f t="shared" si="91"/>
        <v>0.16830896568390541</v>
      </c>
      <c r="N145" s="1024">
        <f t="shared" si="91"/>
        <v>0.12088559483086292</v>
      </c>
      <c r="O145" s="1024">
        <f t="shared" si="91"/>
        <v>8.3201369932690117E-2</v>
      </c>
    </row>
    <row r="146" spans="1:15" x14ac:dyDescent="0.6">
      <c r="A146" s="1023"/>
      <c r="B146" s="1016"/>
      <c r="C146" s="1039"/>
      <c r="D146" s="1039"/>
      <c r="E146" s="1039"/>
      <c r="F146" s="1039"/>
      <c r="G146" s="1040"/>
      <c r="H146" s="1040"/>
      <c r="I146" s="1040"/>
      <c r="J146" s="1040"/>
      <c r="K146" s="1040"/>
      <c r="L146" s="1040"/>
      <c r="M146" s="1040"/>
      <c r="N146" s="1040"/>
      <c r="O146" s="1040"/>
    </row>
    <row r="147" spans="1:15" x14ac:dyDescent="0.6">
      <c r="A147" s="1018" t="s">
        <v>258</v>
      </c>
      <c r="B147" s="1018"/>
      <c r="C147" s="1017"/>
      <c r="D147" s="1017"/>
      <c r="E147" s="59"/>
      <c r="F147" s="1017">
        <f>F140/F137</f>
        <v>581.41605839416047</v>
      </c>
      <c r="G147" s="1017">
        <f>G140/G137</f>
        <v>334.59999999999997</v>
      </c>
      <c r="H147" s="1017">
        <f t="shared" ref="H147:O147" si="92">G147*(1+H148)</f>
        <v>351.33</v>
      </c>
      <c r="I147" s="1017">
        <f t="shared" si="92"/>
        <v>368.8965</v>
      </c>
      <c r="J147" s="1017">
        <f t="shared" si="92"/>
        <v>387.34132500000004</v>
      </c>
      <c r="K147" s="1017">
        <f t="shared" si="92"/>
        <v>406.70839125000003</v>
      </c>
      <c r="L147" s="1017">
        <f t="shared" si="92"/>
        <v>427.04381081250006</v>
      </c>
      <c r="M147" s="1017">
        <f t="shared" si="92"/>
        <v>448.39600135312509</v>
      </c>
      <c r="N147" s="1017">
        <f t="shared" si="92"/>
        <v>470.81580142078138</v>
      </c>
      <c r="O147" s="1017">
        <f t="shared" si="92"/>
        <v>494.3565914918205</v>
      </c>
    </row>
    <row r="148" spans="1:15" x14ac:dyDescent="0.6">
      <c r="A148" s="1023" t="s">
        <v>261</v>
      </c>
      <c r="B148" s="1023"/>
      <c r="C148" s="149"/>
      <c r="D148" s="1024"/>
      <c r="E148" s="1025"/>
      <c r="F148" s="1057"/>
      <c r="G148" s="1058"/>
      <c r="H148" s="316">
        <v>0.05</v>
      </c>
      <c r="I148" s="316">
        <v>0.05</v>
      </c>
      <c r="J148" s="316">
        <v>0.05</v>
      </c>
      <c r="K148" s="316">
        <v>0.05</v>
      </c>
      <c r="L148" s="316">
        <v>0.05</v>
      </c>
      <c r="M148" s="316">
        <v>0.05</v>
      </c>
      <c r="N148" s="316">
        <v>0.05</v>
      </c>
      <c r="O148" s="316">
        <v>0.05</v>
      </c>
    </row>
    <row r="149" spans="1:15" x14ac:dyDescent="0.6">
      <c r="A149" s="1018" t="s">
        <v>259</v>
      </c>
      <c r="B149" s="1018"/>
      <c r="C149" s="1017"/>
      <c r="D149" s="1017"/>
      <c r="E149" s="59"/>
      <c r="F149" s="1017">
        <f>F143/F132</f>
        <v>193.85644768856449</v>
      </c>
      <c r="G149" s="1017">
        <f>G143/G132</f>
        <v>242.14705882352942</v>
      </c>
      <c r="H149" s="1017">
        <f t="shared" ref="H149:O149" si="93">G149*(1+H150)</f>
        <v>266.36176470588236</v>
      </c>
      <c r="I149" s="1017">
        <f t="shared" si="93"/>
        <v>292.99794117647065</v>
      </c>
      <c r="J149" s="1017">
        <f t="shared" si="93"/>
        <v>307.64783823529422</v>
      </c>
      <c r="K149" s="1017">
        <f t="shared" si="93"/>
        <v>323.03023014705894</v>
      </c>
      <c r="L149" s="1017">
        <f t="shared" si="93"/>
        <v>339.18174165441189</v>
      </c>
      <c r="M149" s="1017">
        <f t="shared" si="93"/>
        <v>356.14082873713249</v>
      </c>
      <c r="N149" s="1017">
        <f t="shared" si="93"/>
        <v>373.94787017398914</v>
      </c>
      <c r="O149" s="1017">
        <f t="shared" si="93"/>
        <v>392.64526368268861</v>
      </c>
    </row>
    <row r="150" spans="1:15" x14ac:dyDescent="0.6">
      <c r="A150" s="1023" t="s">
        <v>261</v>
      </c>
      <c r="B150" s="1023"/>
      <c r="C150" s="149"/>
      <c r="D150" s="1024"/>
      <c r="E150" s="1025"/>
      <c r="F150" s="1059"/>
      <c r="G150" s="1058"/>
      <c r="H150" s="1050">
        <v>0.1</v>
      </c>
      <c r="I150" s="1050">
        <v>0.1</v>
      </c>
      <c r="J150" s="1050">
        <v>0.05</v>
      </c>
      <c r="K150" s="1050">
        <v>0.05</v>
      </c>
      <c r="L150" s="1050">
        <v>0.05</v>
      </c>
      <c r="M150" s="1050">
        <v>0.05</v>
      </c>
      <c r="N150" s="1050">
        <v>0.05</v>
      </c>
      <c r="O150" s="1050">
        <v>0.05</v>
      </c>
    </row>
    <row r="151" spans="1:15" x14ac:dyDescent="0.6">
      <c r="A151" s="168"/>
      <c r="B151" s="168"/>
      <c r="C151" s="1042"/>
      <c r="D151" s="1042"/>
      <c r="E151" s="1043"/>
      <c r="F151" s="1055"/>
      <c r="G151" s="1052"/>
      <c r="H151" s="1052"/>
      <c r="I151" s="1052"/>
      <c r="J151" s="1052"/>
      <c r="K151" s="1052"/>
      <c r="L151" s="1052"/>
      <c r="M151" s="1052"/>
      <c r="N151" s="1052"/>
      <c r="O151" s="1052"/>
    </row>
    <row r="152" spans="1:15" x14ac:dyDescent="0.6">
      <c r="A152" s="40" t="s">
        <v>230</v>
      </c>
      <c r="B152" s="1016"/>
      <c r="C152" s="1039"/>
      <c r="D152" s="1039"/>
      <c r="E152" s="1039"/>
      <c r="F152" s="1039"/>
      <c r="G152" s="1040"/>
      <c r="H152" s="1040"/>
      <c r="I152" s="1040"/>
      <c r="J152" s="1040"/>
      <c r="K152" s="1040"/>
      <c r="L152" s="1040"/>
      <c r="M152" s="1040"/>
      <c r="N152" s="1040"/>
      <c r="O152" s="1040"/>
    </row>
    <row r="153" spans="1:15" x14ac:dyDescent="0.6">
      <c r="A153" s="1019" t="s">
        <v>268</v>
      </c>
      <c r="B153" s="170">
        <v>48.909844</v>
      </c>
      <c r="C153" s="170">
        <v>49.661055999999995</v>
      </c>
      <c r="D153" s="170">
        <v>50.339443000000003</v>
      </c>
      <c r="E153" s="170">
        <v>50.882883999999997</v>
      </c>
      <c r="F153" s="170">
        <v>51.265841000000002</v>
      </c>
      <c r="G153" s="170">
        <v>51.512766000000006</v>
      </c>
      <c r="H153" s="170">
        <v>51.672846</v>
      </c>
      <c r="I153" s="170">
        <v>51.819750999999997</v>
      </c>
      <c r="J153" s="170">
        <v>52.00705</v>
      </c>
      <c r="K153" s="170">
        <v>52.249392999999998</v>
      </c>
      <c r="L153" s="170">
        <v>52.530216000000003</v>
      </c>
      <c r="M153" s="170">
        <v>52.834564</v>
      </c>
      <c r="N153" s="170">
        <v>53.136448999999999</v>
      </c>
      <c r="O153" s="170">
        <v>53.416767</v>
      </c>
    </row>
    <row r="154" spans="1:15" x14ac:dyDescent="0.6">
      <c r="A154" s="1019" t="s">
        <v>269</v>
      </c>
      <c r="B154" s="1026">
        <v>14.89</v>
      </c>
      <c r="C154" s="1026">
        <v>15.286</v>
      </c>
      <c r="D154" s="1026">
        <v>16.053999999999998</v>
      </c>
      <c r="E154" s="1021">
        <f t="shared" ref="E154:O154" si="94">E156*E157</f>
        <v>17.096649024000001</v>
      </c>
      <c r="F154" s="1021">
        <f t="shared" si="94"/>
        <v>20.670387091200002</v>
      </c>
      <c r="G154" s="1021">
        <f t="shared" si="94"/>
        <v>24.231605126400005</v>
      </c>
      <c r="H154" s="1021">
        <f t="shared" si="94"/>
        <v>27.779322009600001</v>
      </c>
      <c r="I154" s="1021">
        <f t="shared" si="94"/>
        <v>31.340585404800002</v>
      </c>
      <c r="J154" s="1021">
        <f t="shared" si="94"/>
        <v>34.948737600000008</v>
      </c>
      <c r="K154" s="1021">
        <f t="shared" si="94"/>
        <v>38.622751305600012</v>
      </c>
      <c r="L154" s="1021">
        <f t="shared" si="94"/>
        <v>42.360366182400014</v>
      </c>
      <c r="M154" s="1021">
        <f t="shared" si="94"/>
        <v>46.156275110400024</v>
      </c>
      <c r="N154" s="1021">
        <f t="shared" si="94"/>
        <v>49.99077121920002</v>
      </c>
      <c r="O154" s="1021">
        <f t="shared" si="94"/>
        <v>53.844101136000006</v>
      </c>
    </row>
    <row r="155" spans="1:15" x14ac:dyDescent="0.6">
      <c r="A155" s="1019" t="s">
        <v>272</v>
      </c>
      <c r="B155" s="1041">
        <v>0.13900000000000001</v>
      </c>
      <c r="C155" s="1060">
        <f>C156/C153</f>
        <v>0.13991208358883506</v>
      </c>
      <c r="D155" s="1060">
        <f>D156/D153</f>
        <v>0.14365537440554377</v>
      </c>
      <c r="E155" s="1051">
        <v>0.15</v>
      </c>
      <c r="F155" s="1061">
        <f t="shared" ref="F155:N155" si="95">($O155-$E155)/($O$1-$E$1)+E155</f>
        <v>0.18</v>
      </c>
      <c r="G155" s="1060">
        <f t="shared" si="95"/>
        <v>0.21</v>
      </c>
      <c r="H155" s="1060">
        <f t="shared" si="95"/>
        <v>0.24</v>
      </c>
      <c r="I155" s="1060">
        <f t="shared" si="95"/>
        <v>0.27</v>
      </c>
      <c r="J155" s="1060">
        <f t="shared" si="95"/>
        <v>0.30000000000000004</v>
      </c>
      <c r="K155" s="1060">
        <f t="shared" si="95"/>
        <v>0.33000000000000007</v>
      </c>
      <c r="L155" s="1060">
        <f t="shared" si="95"/>
        <v>0.3600000000000001</v>
      </c>
      <c r="M155" s="1060">
        <f t="shared" si="95"/>
        <v>0.39000000000000012</v>
      </c>
      <c r="N155" s="1060">
        <f t="shared" si="95"/>
        <v>0.42000000000000015</v>
      </c>
      <c r="O155" s="1044">
        <v>0.45</v>
      </c>
    </row>
    <row r="156" spans="1:15" x14ac:dyDescent="0.6">
      <c r="A156" s="1019" t="s">
        <v>273</v>
      </c>
      <c r="B156" s="1021">
        <f>B155*B153</f>
        <v>6.7984683160000001</v>
      </c>
      <c r="C156" s="1021">
        <f>C154/C157</f>
        <v>6.9481818181818173</v>
      </c>
      <c r="D156" s="1021">
        <f>D154/D157</f>
        <v>7.2315315315315303</v>
      </c>
      <c r="E156" s="1021">
        <f t="shared" ref="E156:O156" si="96">E155*E153</f>
        <v>7.6324325999999996</v>
      </c>
      <c r="F156" s="1021">
        <f t="shared" si="96"/>
        <v>9.2278513800000006</v>
      </c>
      <c r="G156" s="1021">
        <f t="shared" si="96"/>
        <v>10.817680860000001</v>
      </c>
      <c r="H156" s="1021">
        <f t="shared" si="96"/>
        <v>12.401483039999999</v>
      </c>
      <c r="I156" s="1021">
        <f t="shared" si="96"/>
        <v>13.99133277</v>
      </c>
      <c r="J156" s="1021">
        <f t="shared" si="96"/>
        <v>15.602115000000001</v>
      </c>
      <c r="K156" s="1021">
        <f t="shared" si="96"/>
        <v>17.242299690000003</v>
      </c>
      <c r="L156" s="1021">
        <f t="shared" si="96"/>
        <v>18.910877760000005</v>
      </c>
      <c r="M156" s="1021">
        <f t="shared" si="96"/>
        <v>20.605479960000007</v>
      </c>
      <c r="N156" s="1021">
        <f t="shared" si="96"/>
        <v>22.317308580000006</v>
      </c>
      <c r="O156" s="1021">
        <f t="shared" si="96"/>
        <v>24.03754515</v>
      </c>
    </row>
    <row r="157" spans="1:15" x14ac:dyDescent="0.6">
      <c r="A157" s="1019" t="s">
        <v>274</v>
      </c>
      <c r="B157" s="1045">
        <f>B154/B156</f>
        <v>2.1901992195737403</v>
      </c>
      <c r="C157" s="169">
        <v>2.2000000000000002</v>
      </c>
      <c r="D157" s="169">
        <v>2.2200000000000002</v>
      </c>
      <c r="E157" s="169">
        <v>2.2400000000000002</v>
      </c>
      <c r="F157" s="169">
        <f t="shared" ref="F157:O157" si="97">E157</f>
        <v>2.2400000000000002</v>
      </c>
      <c r="G157" s="169">
        <f t="shared" si="97"/>
        <v>2.2400000000000002</v>
      </c>
      <c r="H157" s="169">
        <f t="shared" si="97"/>
        <v>2.2400000000000002</v>
      </c>
      <c r="I157" s="169">
        <f t="shared" si="97"/>
        <v>2.2400000000000002</v>
      </c>
      <c r="J157" s="169">
        <f t="shared" si="97"/>
        <v>2.2400000000000002</v>
      </c>
      <c r="K157" s="169">
        <f t="shared" si="97"/>
        <v>2.2400000000000002</v>
      </c>
      <c r="L157" s="169">
        <f t="shared" si="97"/>
        <v>2.2400000000000002</v>
      </c>
      <c r="M157" s="169">
        <f t="shared" si="97"/>
        <v>2.2400000000000002</v>
      </c>
      <c r="N157" s="169">
        <f t="shared" si="97"/>
        <v>2.2400000000000002</v>
      </c>
      <c r="O157" s="169">
        <f t="shared" si="97"/>
        <v>2.2400000000000002</v>
      </c>
    </row>
    <row r="158" spans="1:15" x14ac:dyDescent="0.6">
      <c r="A158" s="1019"/>
      <c r="B158" s="1019"/>
      <c r="C158" s="1039"/>
      <c r="D158" s="1039"/>
      <c r="E158" s="1039"/>
      <c r="F158" s="1039"/>
      <c r="G158" s="1040"/>
      <c r="H158" s="1040"/>
      <c r="I158" s="1040"/>
      <c r="J158" s="1040"/>
      <c r="K158" s="1040"/>
      <c r="L158" s="1040"/>
      <c r="M158" s="1040"/>
      <c r="N158" s="1040"/>
      <c r="O158" s="1040"/>
    </row>
    <row r="159" spans="1:15" x14ac:dyDescent="0.6">
      <c r="A159" s="1019" t="s">
        <v>277</v>
      </c>
      <c r="B159" s="1019"/>
      <c r="C159" s="1052">
        <f>C160/C$8</f>
        <v>0</v>
      </c>
      <c r="D159" s="1052">
        <f>D160/D$8</f>
        <v>0</v>
      </c>
      <c r="E159" s="1052">
        <f>E160/E$8</f>
        <v>0</v>
      </c>
      <c r="F159" s="1052">
        <f>F160/F$8</f>
        <v>1.8552875695732854E-3</v>
      </c>
      <c r="G159" s="1052">
        <f t="shared" ref="G159:O159" si="98">G160/G$8</f>
        <v>6.7024128686325535E-3</v>
      </c>
      <c r="H159" s="1052">
        <f t="shared" si="98"/>
        <v>1.8628634974376647E-2</v>
      </c>
      <c r="I159" s="1052">
        <f t="shared" si="98"/>
        <v>3.3373711783948538E-2</v>
      </c>
      <c r="J159" s="1052">
        <f t="shared" si="98"/>
        <v>4.9497859552019276E-2</v>
      </c>
      <c r="K159" s="1052">
        <f t="shared" si="98"/>
        <v>5.4122597688281246E-2</v>
      </c>
      <c r="L159" s="1052">
        <f t="shared" si="98"/>
        <v>5.8960645627647718E-2</v>
      </c>
      <c r="M159" s="1052">
        <f t="shared" si="98"/>
        <v>6.0392727526978912E-2</v>
      </c>
      <c r="N159" s="1052">
        <f t="shared" si="98"/>
        <v>6.2187009965096796E-2</v>
      </c>
      <c r="O159" s="1052">
        <f t="shared" si="98"/>
        <v>6.4347266010407883E-2</v>
      </c>
    </row>
    <row r="160" spans="1:15" x14ac:dyDescent="0.6">
      <c r="A160" s="168" t="s">
        <v>280</v>
      </c>
      <c r="B160" s="1019"/>
      <c r="C160" s="1066">
        <f>C21</f>
        <v>0</v>
      </c>
      <c r="D160" s="1066">
        <f>D21</f>
        <v>0</v>
      </c>
      <c r="E160" s="1066">
        <f>E21</f>
        <v>0</v>
      </c>
      <c r="F160" s="1066">
        <f>F21</f>
        <v>7.6252319109462036E-2</v>
      </c>
      <c r="G160" s="1066">
        <f>G21</f>
        <v>0.41018766756031227</v>
      </c>
      <c r="H160" s="1066">
        <f>G160+H161</f>
        <v>1.4101876675603122</v>
      </c>
      <c r="I160" s="1066">
        <f t="shared" ref="I160:O160" si="99">H160+I161</f>
        <v>2.9101876675603124</v>
      </c>
      <c r="J160" s="1066">
        <f t="shared" si="99"/>
        <v>4.9101876675603124</v>
      </c>
      <c r="K160" s="1066">
        <f t="shared" si="99"/>
        <v>5.9101876675603124</v>
      </c>
      <c r="L160" s="1066">
        <f t="shared" si="99"/>
        <v>6.9101876675603124</v>
      </c>
      <c r="M160" s="1066">
        <f t="shared" si="99"/>
        <v>7.4101876675603124</v>
      </c>
      <c r="N160" s="1066">
        <f t="shared" si="99"/>
        <v>7.9101876675603124</v>
      </c>
      <c r="O160" s="1066">
        <f t="shared" si="99"/>
        <v>8.4101876675603116</v>
      </c>
    </row>
    <row r="161" spans="1:15" x14ac:dyDescent="0.6">
      <c r="A161" s="1019" t="s">
        <v>679</v>
      </c>
      <c r="B161" s="1019"/>
      <c r="C161" s="1021"/>
      <c r="D161" s="1021">
        <f>D160-C160</f>
        <v>0</v>
      </c>
      <c r="E161" s="1021">
        <f>E160-D160</f>
        <v>0</v>
      </c>
      <c r="F161" s="1021">
        <f>F160-E160</f>
        <v>7.6252319109462036E-2</v>
      </c>
      <c r="G161" s="1021">
        <f>G160-F160</f>
        <v>0.33393534845085027</v>
      </c>
      <c r="H161" s="1020">
        <v>1</v>
      </c>
      <c r="I161" s="1020">
        <v>1.5</v>
      </c>
      <c r="J161" s="1020">
        <v>2</v>
      </c>
      <c r="K161" s="1020">
        <v>1</v>
      </c>
      <c r="L161" s="1020">
        <v>1</v>
      </c>
      <c r="M161" s="1020">
        <v>0.5</v>
      </c>
      <c r="N161" s="1020">
        <v>0.5</v>
      </c>
      <c r="O161" s="1020">
        <v>0.5</v>
      </c>
    </row>
    <row r="162" spans="1:15" x14ac:dyDescent="0.6">
      <c r="A162" s="1019" t="s">
        <v>271</v>
      </c>
      <c r="B162" s="1019"/>
      <c r="C162" s="1063">
        <f>C131</f>
        <v>0.72499999999999998</v>
      </c>
      <c r="D162" s="1063">
        <f>D131</f>
        <v>0.72499999999999998</v>
      </c>
      <c r="E162" s="1063">
        <f>E131</f>
        <v>0.72499999999999998</v>
      </c>
      <c r="F162" s="1063">
        <f>F131</f>
        <v>0.6</v>
      </c>
      <c r="G162" s="1063">
        <f>G131</f>
        <v>0.55555555555555558</v>
      </c>
      <c r="H162" s="1046">
        <v>0.6</v>
      </c>
      <c r="I162" s="1046">
        <v>0.65</v>
      </c>
      <c r="J162" s="1046">
        <v>0.7</v>
      </c>
      <c r="K162" s="1046">
        <v>0.7</v>
      </c>
      <c r="L162" s="1046">
        <v>0.7</v>
      </c>
      <c r="M162" s="1046">
        <v>0.7</v>
      </c>
      <c r="N162" s="1046">
        <v>0.7</v>
      </c>
      <c r="O162" s="1046">
        <v>0.7</v>
      </c>
    </row>
    <row r="163" spans="1:15" x14ac:dyDescent="0.6">
      <c r="A163" s="1019" t="s">
        <v>275</v>
      </c>
      <c r="B163" s="1019"/>
      <c r="C163" s="1021">
        <f>C162*C160</f>
        <v>0</v>
      </c>
      <c r="D163" s="1021">
        <f>D162*D160</f>
        <v>0</v>
      </c>
      <c r="E163" s="1021">
        <f>E162*E160</f>
        <v>0</v>
      </c>
      <c r="F163" s="1021">
        <f>F162*F160</f>
        <v>4.5751391465677221E-2</v>
      </c>
      <c r="G163" s="1021">
        <f>G162*G160</f>
        <v>0.22788203753350683</v>
      </c>
      <c r="H163" s="1021">
        <f t="shared" ref="H163:O163" si="100">H162*H160</f>
        <v>0.84611260053618731</v>
      </c>
      <c r="I163" s="1021">
        <f t="shared" si="100"/>
        <v>1.8916219839142032</v>
      </c>
      <c r="J163" s="1021">
        <f t="shared" si="100"/>
        <v>3.4371313672922184</v>
      </c>
      <c r="K163" s="1021">
        <f t="shared" si="100"/>
        <v>4.1371313672922181</v>
      </c>
      <c r="L163" s="1021">
        <f t="shared" si="100"/>
        <v>4.8371313672922183</v>
      </c>
      <c r="M163" s="1021">
        <f t="shared" si="100"/>
        <v>5.1871313672922188</v>
      </c>
      <c r="N163" s="1021">
        <f t="shared" si="100"/>
        <v>5.5371313672922184</v>
      </c>
      <c r="O163" s="1021">
        <f t="shared" si="100"/>
        <v>5.8871313672922181</v>
      </c>
    </row>
    <row r="164" spans="1:15" x14ac:dyDescent="0.6">
      <c r="A164" s="1019"/>
      <c r="B164" s="1019"/>
      <c r="C164" s="1062"/>
      <c r="D164" s="1062"/>
      <c r="E164" s="1062"/>
      <c r="F164" s="1062"/>
      <c r="G164" s="1062"/>
      <c r="H164" s="1062"/>
      <c r="I164" s="1062"/>
      <c r="J164" s="1062"/>
      <c r="K164" s="1062"/>
      <c r="L164" s="1062"/>
      <c r="M164" s="1062"/>
      <c r="N164" s="1062"/>
      <c r="O164" s="1062"/>
    </row>
    <row r="165" spans="1:15" x14ac:dyDescent="0.6">
      <c r="A165" s="168" t="s">
        <v>283</v>
      </c>
      <c r="B165" s="168"/>
      <c r="C165" s="1067">
        <f>C163/C154</f>
        <v>0</v>
      </c>
      <c r="D165" s="1067">
        <f>D163/D154</f>
        <v>0</v>
      </c>
      <c r="E165" s="1067">
        <f>E163/E154</f>
        <v>0</v>
      </c>
      <c r="F165" s="1067">
        <f t="shared" ref="F165:O165" si="101">F163/F154</f>
        <v>2.2133785527971533E-3</v>
      </c>
      <c r="G165" s="1067">
        <f t="shared" si="101"/>
        <v>9.4043310934128939E-3</v>
      </c>
      <c r="H165" s="1067">
        <f t="shared" si="101"/>
        <v>3.0458360367606775E-2</v>
      </c>
      <c r="I165" s="1067">
        <f t="shared" si="101"/>
        <v>6.0356944820325206E-2</v>
      </c>
      <c r="J165" s="1067">
        <f t="shared" si="101"/>
        <v>9.8347797469291634E-2</v>
      </c>
      <c r="K165" s="1067">
        <f t="shared" si="101"/>
        <v>0.10711643338294144</v>
      </c>
      <c r="L165" s="1067">
        <f t="shared" si="101"/>
        <v>0.11419002721704424</v>
      </c>
      <c r="M165" s="1067">
        <f t="shared" si="101"/>
        <v>0.11238193192334631</v>
      </c>
      <c r="N165" s="1067">
        <f t="shared" si="101"/>
        <v>0.11076307150799797</v>
      </c>
      <c r="O165" s="1067">
        <f t="shared" si="101"/>
        <v>0.10933660778220512</v>
      </c>
    </row>
    <row r="166" spans="1:15" x14ac:dyDescent="0.6">
      <c r="A166" s="168"/>
      <c r="B166" s="168"/>
      <c r="C166" s="1061"/>
      <c r="D166" s="1061"/>
      <c r="E166" s="1061"/>
      <c r="F166" s="1055"/>
      <c r="G166" s="1052"/>
      <c r="H166" s="1052"/>
      <c r="I166" s="1052"/>
      <c r="J166" s="1052"/>
      <c r="K166" s="1052"/>
      <c r="L166" s="1052"/>
      <c r="M166" s="1052"/>
      <c r="N166" s="1052"/>
      <c r="O166" s="1052"/>
    </row>
    <row r="167" spans="1:15" x14ac:dyDescent="0.6">
      <c r="A167" s="1019" t="s">
        <v>257</v>
      </c>
      <c r="B167" s="1016"/>
      <c r="C167" s="494">
        <v>0</v>
      </c>
      <c r="D167" s="494">
        <v>0</v>
      </c>
      <c r="E167" s="494">
        <v>0</v>
      </c>
      <c r="F167" s="1015">
        <f>F83</f>
        <v>0.05</v>
      </c>
      <c r="G167" s="1015">
        <f>G83</f>
        <v>8.1699346405228759E-2</v>
      </c>
      <c r="H167" s="494">
        <f>G167+3%</f>
        <v>0.11169934640522876</v>
      </c>
      <c r="I167" s="494">
        <f>H167+2%</f>
        <v>0.13169934640522876</v>
      </c>
      <c r="J167" s="494">
        <f>I167+2%</f>
        <v>0.15169934640522875</v>
      </c>
      <c r="K167" s="494">
        <f>J167+2%</f>
        <v>0.17169934640522874</v>
      </c>
      <c r="L167" s="494">
        <f>K167</f>
        <v>0.17169934640522874</v>
      </c>
      <c r="M167" s="494">
        <f>L167</f>
        <v>0.17169934640522874</v>
      </c>
      <c r="N167" s="494">
        <f>M167</f>
        <v>0.17169934640522874</v>
      </c>
      <c r="O167" s="494">
        <f>N167</f>
        <v>0.17169934640522874</v>
      </c>
    </row>
    <row r="168" spans="1:15" x14ac:dyDescent="0.6">
      <c r="A168" s="1019" t="s">
        <v>260</v>
      </c>
      <c r="B168" s="1016"/>
      <c r="C168" s="178">
        <f t="shared" ref="C168:O168" si="102">C167*C$160</f>
        <v>0</v>
      </c>
      <c r="D168" s="211">
        <f t="shared" si="102"/>
        <v>0</v>
      </c>
      <c r="E168" s="211">
        <f t="shared" si="102"/>
        <v>0</v>
      </c>
      <c r="F168" s="211">
        <f t="shared" si="102"/>
        <v>3.8126159554731018E-3</v>
      </c>
      <c r="G168" s="211">
        <f t="shared" si="102"/>
        <v>3.351206434316277E-2</v>
      </c>
      <c r="H168" s="211">
        <f t="shared" si="102"/>
        <v>0.1575170407752009</v>
      </c>
      <c r="I168" s="211">
        <f t="shared" si="102"/>
        <v>0.38326981373425029</v>
      </c>
      <c r="J168" s="211">
        <f t="shared" si="102"/>
        <v>0.74487225989591399</v>
      </c>
      <c r="K168" s="211">
        <f t="shared" si="102"/>
        <v>1.014775359652349</v>
      </c>
      <c r="L168" s="211">
        <f t="shared" si="102"/>
        <v>1.1864747060575778</v>
      </c>
      <c r="M168" s="211">
        <f t="shared" si="102"/>
        <v>1.2723243792601922</v>
      </c>
      <c r="N168" s="211">
        <f t="shared" si="102"/>
        <v>1.3581740524628065</v>
      </c>
      <c r="O168" s="211">
        <f t="shared" si="102"/>
        <v>1.4440237256654207</v>
      </c>
    </row>
    <row r="169" spans="1:15" x14ac:dyDescent="0.6">
      <c r="A169" s="1019"/>
      <c r="B169" s="1016"/>
      <c r="C169" s="1039"/>
      <c r="D169" s="1039"/>
      <c r="E169" s="1039"/>
      <c r="F169" s="1039"/>
      <c r="G169" s="1040"/>
      <c r="H169" s="1040"/>
      <c r="I169" s="1040"/>
      <c r="J169" s="1040"/>
      <c r="K169" s="1040"/>
      <c r="L169" s="1040"/>
      <c r="M169" s="1040"/>
      <c r="N169" s="1040"/>
      <c r="O169" s="1040"/>
    </row>
    <row r="170" spans="1:15" x14ac:dyDescent="0.6">
      <c r="A170" s="1019" t="s">
        <v>1311</v>
      </c>
      <c r="B170" s="1016"/>
      <c r="C170" s="1017">
        <f>C171+C174</f>
        <v>0</v>
      </c>
      <c r="D170" s="1017">
        <f>D171+D174</f>
        <v>0</v>
      </c>
      <c r="E170" s="1017">
        <f>E171+E174</f>
        <v>0</v>
      </c>
      <c r="F170" s="1017">
        <f>F171+F174</f>
        <v>11.085918367346949</v>
      </c>
      <c r="G170" s="1017">
        <f>G171+G174</f>
        <v>66.394101876674071</v>
      </c>
      <c r="H170" s="1017">
        <f t="shared" ref="H170:O170" si="103">H171+H174</f>
        <v>280.71250735425349</v>
      </c>
      <c r="I170" s="1017">
        <f t="shared" si="103"/>
        <v>695.62823961322931</v>
      </c>
      <c r="J170" s="1017">
        <f t="shared" si="103"/>
        <v>1345.9458429819997</v>
      </c>
      <c r="K170" s="1017">
        <f t="shared" si="103"/>
        <v>1749.1361517293687</v>
      </c>
      <c r="L170" s="1017">
        <f t="shared" si="103"/>
        <v>2147.3433216768303</v>
      </c>
      <c r="M170" s="1017">
        <f t="shared" si="103"/>
        <v>2417.8544280001934</v>
      </c>
      <c r="N170" s="1017">
        <f t="shared" si="103"/>
        <v>2710.0482866517004</v>
      </c>
      <c r="O170" s="1017">
        <f t="shared" si="103"/>
        <v>3025.4168950983571</v>
      </c>
    </row>
    <row r="171" spans="1:15" x14ac:dyDescent="0.6">
      <c r="A171" s="1018" t="s">
        <v>179</v>
      </c>
      <c r="B171" s="1018"/>
      <c r="C171" s="172">
        <v>0</v>
      </c>
      <c r="D171" s="173">
        <v>0</v>
      </c>
      <c r="E171" s="1017">
        <f>E172*E35</f>
        <v>0</v>
      </c>
      <c r="F171" s="1017">
        <f>F172*F35</f>
        <v>2.2167161410018572</v>
      </c>
      <c r="G171" s="1017">
        <f>G172*G35</f>
        <v>11.213136729222262</v>
      </c>
      <c r="H171" s="1069">
        <f>H178*H168</f>
        <v>55.340461935551332</v>
      </c>
      <c r="I171" s="1069">
        <f t="shared" ref="I171:O171" si="104">I178*I168</f>
        <v>141.38689284221687</v>
      </c>
      <c r="J171" s="1069">
        <f t="shared" si="104"/>
        <v>288.5198081038277</v>
      </c>
      <c r="K171" s="1069">
        <f t="shared" si="104"/>
        <v>412.71765400434703</v>
      </c>
      <c r="L171" s="1069">
        <f t="shared" si="104"/>
        <v>506.67667990746884</v>
      </c>
      <c r="M171" s="1069">
        <f t="shared" si="104"/>
        <v>570.50516408436715</v>
      </c>
      <c r="N171" s="1069">
        <f t="shared" si="104"/>
        <v>639.44980497918664</v>
      </c>
      <c r="O171" s="1069">
        <f t="shared" si="104"/>
        <v>713.8626470532771</v>
      </c>
    </row>
    <row r="172" spans="1:15" x14ac:dyDescent="0.6">
      <c r="A172" s="1018" t="s">
        <v>1309</v>
      </c>
      <c r="B172" s="1023"/>
      <c r="C172" s="149"/>
      <c r="D172" s="1025"/>
      <c r="E172" s="1037">
        <f>E159</f>
        <v>0</v>
      </c>
      <c r="F172" s="1037">
        <f>F159</f>
        <v>1.8552875695732854E-3</v>
      </c>
      <c r="G172" s="1037">
        <f>G159</f>
        <v>6.7024128686325535E-3</v>
      </c>
      <c r="H172" s="1037">
        <f t="shared" ref="H172:O172" si="105">H171/H35</f>
        <v>1.8004018972409202E-2</v>
      </c>
      <c r="I172" s="1037">
        <f t="shared" si="105"/>
        <v>3.2537739999116778E-2</v>
      </c>
      <c r="J172" s="1037">
        <f t="shared" si="105"/>
        <v>4.7851557886796646E-2</v>
      </c>
      <c r="K172" s="1037">
        <f t="shared" si="105"/>
        <v>5.2021202290326425E-2</v>
      </c>
      <c r="L172" s="1037">
        <f t="shared" si="105"/>
        <v>5.2032523557628871E-2</v>
      </c>
      <c r="M172" s="1037">
        <f t="shared" si="105"/>
        <v>4.9410524552865237E-2</v>
      </c>
      <c r="N172" s="1037">
        <f t="shared" si="105"/>
        <v>4.916604154859467E-2</v>
      </c>
      <c r="O172" s="1037">
        <f t="shared" si="105"/>
        <v>4.9163333848776511E-2</v>
      </c>
    </row>
    <row r="173" spans="1:15" x14ac:dyDescent="0.6">
      <c r="A173" s="1023" t="s">
        <v>261</v>
      </c>
      <c r="B173" s="1018"/>
      <c r="C173" s="1017"/>
      <c r="D173" s="1017"/>
      <c r="E173" s="1025"/>
      <c r="F173" s="1025"/>
      <c r="G173" s="1025"/>
      <c r="H173" s="1025">
        <f t="shared" ref="H173:O173" si="106">H171/G171-1</f>
        <v>3.9353239215687079</v>
      </c>
      <c r="I173" s="1025">
        <f t="shared" si="106"/>
        <v>1.5548556679355858</v>
      </c>
      <c r="J173" s="1025">
        <f t="shared" si="106"/>
        <v>1.0406404179615598</v>
      </c>
      <c r="K173" s="1025">
        <f t="shared" si="106"/>
        <v>0.43046557779431582</v>
      </c>
      <c r="L173" s="1025">
        <f t="shared" si="106"/>
        <v>0.22765933318212794</v>
      </c>
      <c r="M173" s="1025">
        <f t="shared" si="106"/>
        <v>0.12597478176527654</v>
      </c>
      <c r="N173" s="1025">
        <f t="shared" si="106"/>
        <v>0.12084840810419695</v>
      </c>
      <c r="O173" s="1025">
        <f t="shared" si="106"/>
        <v>0.11637010676156589</v>
      </c>
    </row>
    <row r="174" spans="1:15" x14ac:dyDescent="0.6">
      <c r="A174" s="1018" t="s">
        <v>255</v>
      </c>
      <c r="B174" s="1023"/>
      <c r="C174" s="149"/>
      <c r="D174" s="1031"/>
      <c r="E174" s="1017">
        <f>E175*E37</f>
        <v>0</v>
      </c>
      <c r="F174" s="1017">
        <f>F175*F37</f>
        <v>8.8692022263450916</v>
      </c>
      <c r="G174" s="1017">
        <f>G175*G37</f>
        <v>55.180965147451815</v>
      </c>
      <c r="H174" s="1069">
        <f>H180*H163</f>
        <v>225.37204541870216</v>
      </c>
      <c r="I174" s="1069">
        <f t="shared" ref="I174:O174" si="107">I180*I163</f>
        <v>554.24134677101245</v>
      </c>
      <c r="J174" s="1069">
        <f t="shared" si="107"/>
        <v>1057.426034878172</v>
      </c>
      <c r="K174" s="1069">
        <f t="shared" si="107"/>
        <v>1336.4184977250218</v>
      </c>
      <c r="L174" s="1069">
        <f t="shared" si="107"/>
        <v>1640.6666417693614</v>
      </c>
      <c r="M174" s="1069">
        <f t="shared" si="107"/>
        <v>1847.349263915826</v>
      </c>
      <c r="N174" s="1069">
        <f t="shared" si="107"/>
        <v>2070.5984816725136</v>
      </c>
      <c r="O174" s="1069">
        <f t="shared" si="107"/>
        <v>2311.5542480450799</v>
      </c>
    </row>
    <row r="175" spans="1:15" x14ac:dyDescent="0.6">
      <c r="A175" s="1018" t="s">
        <v>1310</v>
      </c>
      <c r="B175" s="1016"/>
      <c r="C175" s="1039"/>
      <c r="D175" s="1039"/>
      <c r="E175" s="1037">
        <f>E172</f>
        <v>0</v>
      </c>
      <c r="F175" s="1037">
        <f>F172</f>
        <v>1.8552875695732854E-3</v>
      </c>
      <c r="G175" s="1037">
        <f>G172</f>
        <v>6.7024128686325535E-3</v>
      </c>
      <c r="H175" s="1037">
        <f t="shared" ref="H175:O175" si="108">H174/H37</f>
        <v>1.8445878822889169E-2</v>
      </c>
      <c r="I175" s="1037">
        <f t="shared" si="108"/>
        <v>3.3821730213430962E-2</v>
      </c>
      <c r="J175" s="1037">
        <f t="shared" si="108"/>
        <v>5.3126891254844689E-2</v>
      </c>
      <c r="K175" s="1037">
        <f t="shared" si="108"/>
        <v>5.8330036278024536E-2</v>
      </c>
      <c r="L175" s="1037">
        <f t="shared" si="108"/>
        <v>6.3835997439925393E-2</v>
      </c>
      <c r="M175" s="1037">
        <f t="shared" si="108"/>
        <v>6.5461128976807184E-2</v>
      </c>
      <c r="N175" s="1037">
        <f t="shared" si="108"/>
        <v>6.7521319292480536E-2</v>
      </c>
      <c r="O175" s="1037">
        <f t="shared" si="108"/>
        <v>7.0025306068755649E-2</v>
      </c>
    </row>
    <row r="176" spans="1:15" x14ac:dyDescent="0.6">
      <c r="A176" s="1023" t="s">
        <v>261</v>
      </c>
      <c r="B176" s="1018"/>
      <c r="C176" s="1017"/>
      <c r="D176" s="1017"/>
      <c r="E176" s="1025"/>
      <c r="F176" s="1025"/>
      <c r="G176" s="1025"/>
      <c r="H176" s="1025">
        <f t="shared" ref="H176:O176" si="109">H174/G174-1</f>
        <v>3.0842352941177138</v>
      </c>
      <c r="I176" s="1025">
        <f t="shared" si="109"/>
        <v>1.4592284537389193</v>
      </c>
      <c r="J176" s="1025">
        <f t="shared" si="109"/>
        <v>0.90788009779258272</v>
      </c>
      <c r="K176" s="1025">
        <f t="shared" si="109"/>
        <v>0.26384111384111431</v>
      </c>
      <c r="L176" s="1025">
        <f t="shared" si="109"/>
        <v>0.22765933318212794</v>
      </c>
      <c r="M176" s="1025">
        <f t="shared" si="109"/>
        <v>0.12597478176527654</v>
      </c>
      <c r="N176" s="1025">
        <f t="shared" si="109"/>
        <v>0.12084840810419695</v>
      </c>
      <c r="O176" s="1025">
        <f t="shared" si="109"/>
        <v>0.11637010676156567</v>
      </c>
    </row>
    <row r="177" spans="1:15" x14ac:dyDescent="0.6">
      <c r="A177" s="1023"/>
      <c r="B177" s="1023"/>
      <c r="C177" s="149"/>
      <c r="D177" s="1031"/>
      <c r="E177" s="1025"/>
      <c r="F177" s="1057"/>
      <c r="G177" s="1070"/>
      <c r="H177" s="1025"/>
      <c r="I177" s="1025"/>
      <c r="J177" s="1025"/>
      <c r="K177" s="1025"/>
      <c r="L177" s="1025"/>
      <c r="M177" s="1025"/>
      <c r="N177" s="1025"/>
      <c r="O177" s="1025"/>
    </row>
    <row r="178" spans="1:15" x14ac:dyDescent="0.6">
      <c r="A178" s="1018" t="s">
        <v>258</v>
      </c>
      <c r="B178" s="1018"/>
      <c r="C178" s="1017"/>
      <c r="D178" s="1017"/>
      <c r="E178" s="59"/>
      <c r="F178" s="1017">
        <f>F171/F168</f>
        <v>581.41605839416059</v>
      </c>
      <c r="G178" s="1017">
        <f>G171/G168</f>
        <v>334.59999999999997</v>
      </c>
      <c r="H178" s="1017">
        <f t="shared" ref="H178:O178" si="110">G178*(1+H179)</f>
        <v>351.33</v>
      </c>
      <c r="I178" s="1017">
        <f t="shared" si="110"/>
        <v>368.8965</v>
      </c>
      <c r="J178" s="1017">
        <f t="shared" si="110"/>
        <v>387.34132500000004</v>
      </c>
      <c r="K178" s="1017">
        <f t="shared" si="110"/>
        <v>406.70839125000003</v>
      </c>
      <c r="L178" s="1017">
        <f t="shared" si="110"/>
        <v>427.04381081250006</v>
      </c>
      <c r="M178" s="1017">
        <f t="shared" si="110"/>
        <v>448.39600135312509</v>
      </c>
      <c r="N178" s="1017">
        <f t="shared" si="110"/>
        <v>470.81580142078138</v>
      </c>
      <c r="O178" s="1017">
        <f t="shared" si="110"/>
        <v>494.3565914918205</v>
      </c>
    </row>
    <row r="179" spans="1:15" x14ac:dyDescent="0.6">
      <c r="A179" s="1023" t="s">
        <v>261</v>
      </c>
      <c r="B179" s="1023"/>
      <c r="C179" s="149"/>
      <c r="D179" s="1031"/>
      <c r="E179" s="1025"/>
      <c r="F179" s="1059"/>
      <c r="G179" s="1070"/>
      <c r="H179" s="1071">
        <v>0.05</v>
      </c>
      <c r="I179" s="1071">
        <v>0.05</v>
      </c>
      <c r="J179" s="1071">
        <v>0.05</v>
      </c>
      <c r="K179" s="1071">
        <v>0.05</v>
      </c>
      <c r="L179" s="1071">
        <v>0.05</v>
      </c>
      <c r="M179" s="1071">
        <v>0.05</v>
      </c>
      <c r="N179" s="1071">
        <v>0.05</v>
      </c>
      <c r="O179" s="1071">
        <v>0.05</v>
      </c>
    </row>
    <row r="180" spans="1:15" x14ac:dyDescent="0.6">
      <c r="A180" s="1018" t="s">
        <v>259</v>
      </c>
      <c r="B180" s="92"/>
      <c r="C180" s="149"/>
      <c r="D180" s="156"/>
      <c r="E180" s="161"/>
      <c r="F180" s="1017">
        <f>F174/F163</f>
        <v>193.85644768856449</v>
      </c>
      <c r="G180" s="1017">
        <f>G174/G163</f>
        <v>242.14705882352942</v>
      </c>
      <c r="H180" s="1017">
        <f t="shared" ref="H180:O180" si="111">G180*(1+H181)</f>
        <v>266.36176470588236</v>
      </c>
      <c r="I180" s="1017">
        <f t="shared" si="111"/>
        <v>292.99794117647065</v>
      </c>
      <c r="J180" s="1017">
        <f t="shared" si="111"/>
        <v>307.64783823529422</v>
      </c>
      <c r="K180" s="1017">
        <f t="shared" si="111"/>
        <v>323.03023014705894</v>
      </c>
      <c r="L180" s="1017">
        <f t="shared" si="111"/>
        <v>339.18174165441189</v>
      </c>
      <c r="M180" s="1017">
        <f t="shared" si="111"/>
        <v>356.14082873713249</v>
      </c>
      <c r="N180" s="1017">
        <f t="shared" si="111"/>
        <v>373.94787017398914</v>
      </c>
      <c r="O180" s="1017">
        <f t="shared" si="111"/>
        <v>392.64526368268861</v>
      </c>
    </row>
    <row r="181" spans="1:15" x14ac:dyDescent="0.6">
      <c r="A181" s="1023" t="s">
        <v>261</v>
      </c>
      <c r="B181" s="92"/>
      <c r="C181" s="149"/>
      <c r="D181" s="156"/>
      <c r="E181" s="161"/>
      <c r="G181" s="90"/>
      <c r="H181" s="1072">
        <v>0.1</v>
      </c>
      <c r="I181" s="1072">
        <v>0.1</v>
      </c>
      <c r="J181" s="1072">
        <v>0.05</v>
      </c>
      <c r="K181" s="1072">
        <v>0.05</v>
      </c>
      <c r="L181" s="1072">
        <v>0.05</v>
      </c>
      <c r="M181" s="1072">
        <v>0.05</v>
      </c>
      <c r="N181" s="1072">
        <v>0.05</v>
      </c>
      <c r="O181" s="1072">
        <v>0.05</v>
      </c>
    </row>
    <row r="182" spans="1:15" x14ac:dyDescent="0.6">
      <c r="A182" s="1023"/>
      <c r="B182" s="92"/>
      <c r="C182" s="149"/>
      <c r="D182" s="144"/>
      <c r="E182" s="161"/>
      <c r="G182" s="162"/>
      <c r="H182" s="162"/>
      <c r="I182" s="162"/>
      <c r="J182" s="162"/>
      <c r="K182" s="162"/>
      <c r="L182" s="162"/>
      <c r="M182" s="162"/>
      <c r="N182" s="162"/>
      <c r="O182" s="162"/>
    </row>
    <row r="183" spans="1:15" ht="15.9" thickBot="1" x14ac:dyDescent="0.65">
      <c r="A183" s="65" t="s">
        <v>288</v>
      </c>
      <c r="B183" s="65"/>
      <c r="C183" s="109"/>
      <c r="D183" s="109"/>
      <c r="E183" s="109"/>
      <c r="F183" s="109"/>
      <c r="G183" s="109"/>
      <c r="H183" s="109"/>
      <c r="I183" s="109"/>
      <c r="J183" s="109"/>
      <c r="K183" s="109"/>
      <c r="L183" s="109"/>
      <c r="M183" s="109"/>
      <c r="N183" s="109"/>
      <c r="O183" s="109"/>
    </row>
    <row r="184" spans="1:15" x14ac:dyDescent="0.6">
      <c r="A184" s="1023"/>
      <c r="B184" s="1023"/>
      <c r="C184" s="149"/>
      <c r="D184" s="1030"/>
      <c r="E184" s="1025"/>
      <c r="F184" s="1057"/>
      <c r="G184" s="1058"/>
      <c r="H184" s="1058"/>
      <c r="I184" s="1058"/>
      <c r="J184" s="1058"/>
      <c r="K184" s="1058"/>
      <c r="L184" s="1058"/>
      <c r="M184" s="1058"/>
      <c r="N184" s="1058"/>
      <c r="O184" s="1058"/>
    </row>
    <row r="185" spans="1:15" x14ac:dyDescent="0.6">
      <c r="A185" s="1022" t="s">
        <v>157</v>
      </c>
      <c r="B185" s="1023"/>
      <c r="C185" s="1026">
        <v>9.6</v>
      </c>
      <c r="D185" s="1026">
        <v>17.100000000000001</v>
      </c>
      <c r="E185" s="1026">
        <v>22.5</v>
      </c>
      <c r="F185" s="1026">
        <v>43.8</v>
      </c>
      <c r="G185" s="1026">
        <v>81</v>
      </c>
      <c r="H185" s="211">
        <f>H202+H234+H258</f>
        <v>127.90821580133473</v>
      </c>
      <c r="I185" s="211">
        <f t="shared" ref="I185:O185" si="112">I202+I234+I258</f>
        <v>164.91252074447053</v>
      </c>
      <c r="J185" s="211">
        <f t="shared" si="112"/>
        <v>224.13230824887597</v>
      </c>
      <c r="K185" s="211">
        <f t="shared" si="112"/>
        <v>266.28763415334771</v>
      </c>
      <c r="L185" s="211">
        <f t="shared" si="112"/>
        <v>315.25672759927772</v>
      </c>
      <c r="M185" s="211">
        <f t="shared" si="112"/>
        <v>350.35426059768201</v>
      </c>
      <c r="N185" s="211">
        <f t="shared" si="112"/>
        <v>386.35744052393522</v>
      </c>
      <c r="O185" s="211">
        <f t="shared" si="112"/>
        <v>423.70873206245506</v>
      </c>
    </row>
    <row r="186" spans="1:15" x14ac:dyDescent="0.6">
      <c r="A186" s="1019" t="s">
        <v>234</v>
      </c>
      <c r="B186" s="1023"/>
      <c r="C186" s="211">
        <f t="shared" ref="C186:G188" si="113">C$185*C190</f>
        <v>5.8559999999999999</v>
      </c>
      <c r="D186" s="211">
        <f t="shared" si="113"/>
        <v>9.4049999999999994</v>
      </c>
      <c r="E186" s="211">
        <f t="shared" si="113"/>
        <v>9.6750000000000007</v>
      </c>
      <c r="F186" s="211">
        <f t="shared" si="113"/>
        <v>15.329999999999998</v>
      </c>
      <c r="G186" s="211">
        <f t="shared" si="113"/>
        <v>20.25</v>
      </c>
      <c r="H186" s="211">
        <f t="shared" ref="H186:O186" si="114">H$185*H190</f>
        <v>31.977053950333683</v>
      </c>
      <c r="I186" s="211">
        <f t="shared" si="114"/>
        <v>41.228130186117632</v>
      </c>
      <c r="J186" s="211">
        <f t="shared" si="114"/>
        <v>56.033077062218993</v>
      </c>
      <c r="K186" s="211">
        <f t="shared" si="114"/>
        <v>66.571908538336928</v>
      </c>
      <c r="L186" s="211">
        <f t="shared" si="114"/>
        <v>78.814181899819431</v>
      </c>
      <c r="M186" s="211">
        <f t="shared" si="114"/>
        <v>87.588565149420504</v>
      </c>
      <c r="N186" s="211">
        <f t="shared" si="114"/>
        <v>96.589360130983806</v>
      </c>
      <c r="O186" s="211">
        <f t="shared" si="114"/>
        <v>105.92718301561376</v>
      </c>
    </row>
    <row r="187" spans="1:15" x14ac:dyDescent="0.6">
      <c r="A187" s="1019" t="s">
        <v>235</v>
      </c>
      <c r="B187" s="1023"/>
      <c r="C187" s="211">
        <f t="shared" si="113"/>
        <v>2.7840000000000003</v>
      </c>
      <c r="D187" s="211">
        <f t="shared" si="113"/>
        <v>5.1300000000000008</v>
      </c>
      <c r="E187" s="211">
        <f t="shared" si="113"/>
        <v>8.3249999999999993</v>
      </c>
      <c r="F187" s="211">
        <f t="shared" si="113"/>
        <v>17.52</v>
      </c>
      <c r="G187" s="211">
        <f t="shared" si="113"/>
        <v>32.4</v>
      </c>
      <c r="H187" s="211">
        <f t="shared" ref="H187:O187" si="115">H$185*H191</f>
        <v>51.163286320533899</v>
      </c>
      <c r="I187" s="211">
        <f t="shared" si="115"/>
        <v>65.965008297788216</v>
      </c>
      <c r="J187" s="211">
        <f t="shared" si="115"/>
        <v>89.652923299550395</v>
      </c>
      <c r="K187" s="211">
        <f t="shared" si="115"/>
        <v>106.5150536613391</v>
      </c>
      <c r="L187" s="211">
        <f t="shared" si="115"/>
        <v>126.10269103971109</v>
      </c>
      <c r="M187" s="211">
        <f t="shared" si="115"/>
        <v>140.14170423907282</v>
      </c>
      <c r="N187" s="211">
        <f t="shared" si="115"/>
        <v>154.54297620957411</v>
      </c>
      <c r="O187" s="211">
        <f t="shared" si="115"/>
        <v>169.48349282498202</v>
      </c>
    </row>
    <row r="188" spans="1:15" x14ac:dyDescent="0.6">
      <c r="A188" s="1019" t="s">
        <v>1148</v>
      </c>
      <c r="B188" s="1023"/>
      <c r="C188" s="211">
        <f t="shared" si="113"/>
        <v>0.96</v>
      </c>
      <c r="D188" s="211">
        <f t="shared" si="113"/>
        <v>2.5649999999999999</v>
      </c>
      <c r="E188" s="211">
        <f t="shared" si="113"/>
        <v>4.5</v>
      </c>
      <c r="F188" s="211">
        <f t="shared" si="113"/>
        <v>10.95</v>
      </c>
      <c r="G188" s="211">
        <f t="shared" si="113"/>
        <v>28.349999999999998</v>
      </c>
      <c r="H188" s="211">
        <f t="shared" ref="H188:O188" si="116">H$185*H192</f>
        <v>44.767875530467151</v>
      </c>
      <c r="I188" s="211">
        <f t="shared" si="116"/>
        <v>57.719382260564679</v>
      </c>
      <c r="J188" s="211">
        <f t="shared" si="116"/>
        <v>78.446307887106585</v>
      </c>
      <c r="K188" s="211">
        <f t="shared" si="116"/>
        <v>93.200671953671687</v>
      </c>
      <c r="L188" s="211">
        <f t="shared" si="116"/>
        <v>110.3398546597472</v>
      </c>
      <c r="M188" s="211">
        <f t="shared" si="116"/>
        <v>122.6239912091887</v>
      </c>
      <c r="N188" s="211">
        <f t="shared" si="116"/>
        <v>135.22510418337731</v>
      </c>
      <c r="O188" s="211">
        <f t="shared" si="116"/>
        <v>148.29805622185927</v>
      </c>
    </row>
    <row r="189" spans="1:15" x14ac:dyDescent="0.6">
      <c r="A189" s="1019"/>
      <c r="B189" s="1023"/>
      <c r="C189" s="1032"/>
      <c r="D189" s="1032"/>
      <c r="E189" s="1073"/>
      <c r="F189" s="126"/>
      <c r="G189" s="1058"/>
      <c r="H189" s="1058"/>
      <c r="I189" s="1058"/>
      <c r="J189" s="1058"/>
      <c r="K189" s="1058"/>
      <c r="L189" s="1058"/>
      <c r="M189" s="1058"/>
      <c r="N189" s="1058"/>
      <c r="O189" s="1058"/>
    </row>
    <row r="190" spans="1:15" x14ac:dyDescent="0.6">
      <c r="A190" s="1019" t="s">
        <v>234</v>
      </c>
      <c r="B190" s="1023"/>
      <c r="C190" s="272">
        <f>1-C191-C192</f>
        <v>0.61</v>
      </c>
      <c r="D190" s="272">
        <f t="shared" ref="D190:O190" si="117">1-D191-D192</f>
        <v>0.54999999999999993</v>
      </c>
      <c r="E190" s="272">
        <f t="shared" si="117"/>
        <v>0.43</v>
      </c>
      <c r="F190" s="272">
        <f t="shared" si="117"/>
        <v>0.35</v>
      </c>
      <c r="G190" s="272">
        <f t="shared" si="117"/>
        <v>0.25</v>
      </c>
      <c r="H190" s="272">
        <f t="shared" si="117"/>
        <v>0.25</v>
      </c>
      <c r="I190" s="272">
        <f t="shared" si="117"/>
        <v>0.25</v>
      </c>
      <c r="J190" s="272">
        <f t="shared" si="117"/>
        <v>0.25</v>
      </c>
      <c r="K190" s="272">
        <f t="shared" si="117"/>
        <v>0.25</v>
      </c>
      <c r="L190" s="272">
        <f t="shared" si="117"/>
        <v>0.25</v>
      </c>
      <c r="M190" s="272">
        <f t="shared" si="117"/>
        <v>0.25</v>
      </c>
      <c r="N190" s="272">
        <f t="shared" si="117"/>
        <v>0.25</v>
      </c>
      <c r="O190" s="272">
        <f t="shared" si="117"/>
        <v>0.25</v>
      </c>
    </row>
    <row r="191" spans="1:15" x14ac:dyDescent="0.6">
      <c r="A191" s="1019" t="s">
        <v>235</v>
      </c>
      <c r="B191" s="1023"/>
      <c r="C191" s="1073">
        <v>0.29000000000000004</v>
      </c>
      <c r="D191" s="1073">
        <v>0.30000000000000004</v>
      </c>
      <c r="E191" s="1073">
        <v>0.37</v>
      </c>
      <c r="F191" s="1073">
        <v>0.4</v>
      </c>
      <c r="G191" s="1073">
        <v>0.4</v>
      </c>
      <c r="H191" s="378">
        <f t="shared" ref="H191:O192" si="118">G191</f>
        <v>0.4</v>
      </c>
      <c r="I191" s="378">
        <f t="shared" si="118"/>
        <v>0.4</v>
      </c>
      <c r="J191" s="378">
        <f t="shared" si="118"/>
        <v>0.4</v>
      </c>
      <c r="K191" s="378">
        <f t="shared" si="118"/>
        <v>0.4</v>
      </c>
      <c r="L191" s="378">
        <f t="shared" si="118"/>
        <v>0.4</v>
      </c>
      <c r="M191" s="378">
        <f t="shared" si="118"/>
        <v>0.4</v>
      </c>
      <c r="N191" s="378">
        <f t="shared" si="118"/>
        <v>0.4</v>
      </c>
      <c r="O191" s="378">
        <f t="shared" si="118"/>
        <v>0.4</v>
      </c>
    </row>
    <row r="192" spans="1:15" x14ac:dyDescent="0.6">
      <c r="A192" s="1019" t="s">
        <v>1148</v>
      </c>
      <c r="B192" s="1023"/>
      <c r="C192" s="1073">
        <v>0.1</v>
      </c>
      <c r="D192" s="1073">
        <v>0.15</v>
      </c>
      <c r="E192" s="1073">
        <v>0.2</v>
      </c>
      <c r="F192" s="1073">
        <v>0.25</v>
      </c>
      <c r="G192" s="1032">
        <v>0.35</v>
      </c>
      <c r="H192" s="272">
        <f t="shared" si="118"/>
        <v>0.35</v>
      </c>
      <c r="I192" s="272">
        <f t="shared" si="118"/>
        <v>0.35</v>
      </c>
      <c r="J192" s="272">
        <f t="shared" si="118"/>
        <v>0.35</v>
      </c>
      <c r="K192" s="272">
        <f t="shared" si="118"/>
        <v>0.35</v>
      </c>
      <c r="L192" s="272">
        <f t="shared" si="118"/>
        <v>0.35</v>
      </c>
      <c r="M192" s="272">
        <f t="shared" si="118"/>
        <v>0.35</v>
      </c>
      <c r="N192" s="272">
        <f t="shared" si="118"/>
        <v>0.35</v>
      </c>
      <c r="O192" s="272">
        <f t="shared" si="118"/>
        <v>0.35</v>
      </c>
    </row>
    <row r="193" spans="1:15" x14ac:dyDescent="0.6">
      <c r="A193" s="1019"/>
      <c r="B193" s="1023"/>
      <c r="C193" s="407"/>
      <c r="D193" s="407"/>
      <c r="E193" s="407"/>
      <c r="F193" s="126"/>
      <c r="G193" s="1058"/>
      <c r="H193" s="1074"/>
      <c r="I193" s="1058"/>
      <c r="J193" s="1058"/>
      <c r="K193" s="1058"/>
      <c r="L193" s="1058"/>
      <c r="M193" s="1058"/>
      <c r="N193" s="1058"/>
      <c r="O193" s="1058"/>
    </row>
    <row r="194" spans="1:15" x14ac:dyDescent="0.6">
      <c r="A194" s="1019" t="s">
        <v>237</v>
      </c>
      <c r="B194" s="1023"/>
      <c r="C194" s="173">
        <v>116.5</v>
      </c>
      <c r="D194" s="173">
        <v>203.9</v>
      </c>
      <c r="E194" s="173">
        <v>254.3</v>
      </c>
      <c r="F194" s="173">
        <v>471.505</v>
      </c>
      <c r="G194" s="173">
        <v>917</v>
      </c>
      <c r="H194" s="97">
        <f>H227+H251+H275</f>
        <v>1168.3232454497493</v>
      </c>
      <c r="I194" s="97">
        <f>I227+I251+I275</f>
        <v>1425.9836566140139</v>
      </c>
      <c r="J194" s="97">
        <f t="shared" ref="J194:O194" si="119">J227+J251+J275</f>
        <v>1973.9597576059828</v>
      </c>
      <c r="K194" s="97">
        <f t="shared" si="119"/>
        <v>2372.5599282977792</v>
      </c>
      <c r="L194" s="97">
        <f t="shared" si="119"/>
        <v>2827.3795756649079</v>
      </c>
      <c r="M194" s="97">
        <f t="shared" si="119"/>
        <v>3163.8126412799993</v>
      </c>
      <c r="N194" s="97">
        <f t="shared" si="119"/>
        <v>3507.7517656954888</v>
      </c>
      <c r="O194" s="97">
        <f t="shared" si="119"/>
        <v>3864.1938799484037</v>
      </c>
    </row>
    <row r="195" spans="1:15" x14ac:dyDescent="0.6">
      <c r="A195" s="1019" t="s">
        <v>238</v>
      </c>
      <c r="B195" s="1023"/>
      <c r="C195" s="1075">
        <f t="shared" ref="C195:O195" si="120">C194/(C185*1000)</f>
        <v>1.2135416666666666E-2</v>
      </c>
      <c r="D195" s="1075">
        <f t="shared" si="120"/>
        <v>1.1923976608187135E-2</v>
      </c>
      <c r="E195" s="1075">
        <f t="shared" si="120"/>
        <v>1.1302222222222222E-2</v>
      </c>
      <c r="F195" s="1075">
        <f t="shared" si="120"/>
        <v>1.0764954337899544E-2</v>
      </c>
      <c r="G195" s="1075">
        <f t="shared" si="120"/>
        <v>1.1320987654320987E-2</v>
      </c>
      <c r="H195" s="1075">
        <f t="shared" si="120"/>
        <v>9.1340750719591992E-3</v>
      </c>
      <c r="I195" s="1075">
        <f t="shared" si="120"/>
        <v>8.6469095868321241E-3</v>
      </c>
      <c r="J195" s="1075">
        <f t="shared" si="120"/>
        <v>8.8071183178736658E-3</v>
      </c>
      <c r="K195" s="1075">
        <f t="shared" si="120"/>
        <v>8.9097638192672801E-3</v>
      </c>
      <c r="L195" s="1075">
        <f t="shared" si="120"/>
        <v>8.9684987762062452E-3</v>
      </c>
      <c r="M195" s="1075">
        <f t="shared" si="120"/>
        <v>9.0303244375642428E-3</v>
      </c>
      <c r="N195" s="1075">
        <f t="shared" si="120"/>
        <v>9.07903251698392E-3</v>
      </c>
      <c r="O195" s="1075">
        <f t="shared" si="120"/>
        <v>9.1199297714233043E-3</v>
      </c>
    </row>
    <row r="196" spans="1:15" x14ac:dyDescent="0.6">
      <c r="A196" s="1019"/>
      <c r="B196" s="1023"/>
      <c r="C196" s="1076"/>
      <c r="D196" s="1076"/>
      <c r="E196" s="1076"/>
      <c r="F196" s="1076"/>
      <c r="G196" s="1076"/>
      <c r="H196" s="1076"/>
      <c r="I196" s="1076"/>
      <c r="J196" s="1076"/>
      <c r="K196" s="1076"/>
      <c r="L196" s="1076"/>
      <c r="M196" s="1076"/>
      <c r="N196" s="1076"/>
      <c r="O196" s="1076"/>
    </row>
    <row r="197" spans="1:15" x14ac:dyDescent="0.6">
      <c r="A197" s="1023"/>
      <c r="B197" s="1023"/>
      <c r="C197" s="211">
        <f>'Revenue and Expenses breakdown'!B8</f>
        <v>128.5</v>
      </c>
      <c r="D197" s="211">
        <f>'Revenue and Expenses breakdown'!C8</f>
        <v>214.6</v>
      </c>
      <c r="E197" s="211">
        <f>'Revenue and Expenses breakdown'!D8</f>
        <v>217.5</v>
      </c>
      <c r="F197" s="211">
        <f>'Revenue and Expenses breakdown'!E8</f>
        <v>357</v>
      </c>
      <c r="G197" s="211">
        <f>'Revenue and Expenses breakdown'!F8</f>
        <v>1014.875</v>
      </c>
      <c r="H197" s="211">
        <f>'Revenue and Expenses breakdown'!G8</f>
        <v>2416.3429306511539</v>
      </c>
      <c r="I197" s="211">
        <f>'Revenue and Expenses breakdown'!H8</f>
        <v>3452.5218107423561</v>
      </c>
      <c r="J197" s="211">
        <f>'Revenue and Expenses breakdown'!I8</f>
        <v>4201.0839206008495</v>
      </c>
      <c r="K197" s="211">
        <f>'Revenue and Expenses breakdown'!J8</f>
        <v>4714.7589002941468</v>
      </c>
      <c r="L197" s="211">
        <f>'Revenue and Expenses breakdown'!K8</f>
        <v>4919.1324653571673</v>
      </c>
      <c r="M197" s="211">
        <f>'Revenue and Expenses breakdown'!L8</f>
        <v>4814.4490974593227</v>
      </c>
      <c r="N197" s="211">
        <f>'Revenue and Expenses breakdown'!M8</f>
        <v>5257.7143377202174</v>
      </c>
      <c r="O197" s="211">
        <f>'Revenue and Expenses breakdown'!N8</f>
        <v>5685.3676201321423</v>
      </c>
    </row>
    <row r="198" spans="1:15" x14ac:dyDescent="0.6">
      <c r="A198" s="1023"/>
      <c r="B198" s="1023"/>
      <c r="C198" s="1070">
        <f>C197/(C186*1000)</f>
        <v>2.1943306010928962E-2</v>
      </c>
      <c r="D198" s="1070">
        <f>D197/(D186*1000)</f>
        <v>2.2817650186071237E-2</v>
      </c>
      <c r="E198" s="1070">
        <f>E197/(E186*1000)</f>
        <v>2.2480620155038759E-2</v>
      </c>
      <c r="F198" s="1070">
        <f>F197/(F186*1000)</f>
        <v>2.3287671232876714E-2</v>
      </c>
      <c r="G198" s="1070">
        <f t="shared" ref="G198:O198" si="121">G197/(G186*1000)</f>
        <v>5.0117283950617285E-2</v>
      </c>
      <c r="H198" s="1070">
        <f t="shared" si="121"/>
        <v>7.5564901457281966E-2</v>
      </c>
      <c r="I198" s="1070">
        <f t="shared" si="121"/>
        <v>8.3741896495342194E-2</v>
      </c>
      <c r="J198" s="1070">
        <f t="shared" si="121"/>
        <v>7.497507081283393E-2</v>
      </c>
      <c r="K198" s="1070">
        <f t="shared" si="121"/>
        <v>7.0822047975071162E-2</v>
      </c>
      <c r="L198" s="1070">
        <f t="shared" si="121"/>
        <v>6.24143059888621E-2</v>
      </c>
      <c r="M198" s="1070">
        <f t="shared" si="121"/>
        <v>5.4966639643498891E-2</v>
      </c>
      <c r="N198" s="1070">
        <f t="shared" si="121"/>
        <v>5.443368017543844E-2</v>
      </c>
      <c r="O198" s="1070">
        <f t="shared" si="121"/>
        <v>5.3672413994943248E-2</v>
      </c>
    </row>
    <row r="199" spans="1:15" x14ac:dyDescent="0.6">
      <c r="A199" s="40" t="s">
        <v>228</v>
      </c>
      <c r="B199" s="1023"/>
      <c r="C199" s="149"/>
      <c r="D199" s="1030"/>
      <c r="E199" s="1025"/>
      <c r="F199" s="1057"/>
      <c r="G199" s="1058"/>
      <c r="H199" s="1058"/>
      <c r="I199" s="1058"/>
      <c r="J199" s="1058"/>
      <c r="K199" s="1058"/>
      <c r="L199" s="1058"/>
      <c r="M199" s="1058"/>
      <c r="N199" s="1058"/>
      <c r="O199" s="1058"/>
    </row>
    <row r="200" spans="1:15" x14ac:dyDescent="0.6">
      <c r="A200" s="1023"/>
      <c r="B200" s="1023"/>
      <c r="C200" s="149"/>
      <c r="D200" s="1030"/>
      <c r="E200" s="1025"/>
      <c r="F200" s="1057"/>
      <c r="G200" s="1058"/>
      <c r="H200" s="1058"/>
      <c r="I200" s="1058"/>
      <c r="J200" s="1058"/>
      <c r="K200" s="1058"/>
      <c r="L200" s="1058"/>
      <c r="M200" s="1058"/>
      <c r="N200" s="1058"/>
      <c r="O200" s="1058"/>
    </row>
    <row r="201" spans="1:15" x14ac:dyDescent="0.6">
      <c r="A201" s="1019" t="s">
        <v>1312</v>
      </c>
      <c r="B201" s="1023"/>
      <c r="C201" s="272">
        <f>C23</f>
        <v>1</v>
      </c>
      <c r="D201" s="272">
        <f>D23</f>
        <v>1</v>
      </c>
      <c r="E201" s="272">
        <f>E23</f>
        <v>1</v>
      </c>
      <c r="F201" s="272">
        <f>F23</f>
        <v>0.9721706864564007</v>
      </c>
      <c r="G201" s="272">
        <f>G23</f>
        <v>0.95040214477211815</v>
      </c>
      <c r="H201" s="272">
        <v>1.4999999999999999E-2</v>
      </c>
      <c r="I201" s="272">
        <f t="shared" ref="I201:O201" si="122">I202/I185</f>
        <v>0.79453651331344377</v>
      </c>
      <c r="J201" s="272">
        <f t="shared" si="122"/>
        <v>0.76959547932940653</v>
      </c>
      <c r="K201" s="272">
        <f t="shared" si="122"/>
        <v>0.76077668104964036</v>
      </c>
      <c r="L201" s="272">
        <f t="shared" si="122"/>
        <v>0.76833158384467581</v>
      </c>
      <c r="M201" s="272">
        <f t="shared" si="122"/>
        <v>0.77570841545402891</v>
      </c>
      <c r="N201" s="272">
        <f t="shared" si="122"/>
        <v>0.7889372802454826</v>
      </c>
      <c r="O201" s="272">
        <f t="shared" si="122"/>
        <v>0.80654676899211153</v>
      </c>
    </row>
    <row r="202" spans="1:15" x14ac:dyDescent="0.6">
      <c r="A202" s="1019" t="s">
        <v>157</v>
      </c>
      <c r="B202" s="1023"/>
      <c r="C202" s="211">
        <f>C201*C185</f>
        <v>9.6</v>
      </c>
      <c r="D202" s="211">
        <f>D201*D185</f>
        <v>17.100000000000001</v>
      </c>
      <c r="E202" s="211">
        <f>E201*E185</f>
        <v>22.5</v>
      </c>
      <c r="F202" s="211">
        <f>F201*F185</f>
        <v>42.581076066790345</v>
      </c>
      <c r="G202" s="211">
        <f>G201*G185</f>
        <v>76.982573726541574</v>
      </c>
      <c r="H202" s="211">
        <f>H218*H213</f>
        <v>109.15456127617151</v>
      </c>
      <c r="I202" s="211">
        <f t="shared" ref="I202:O202" si="123">I218*I213</f>
        <v>131.02901923404258</v>
      </c>
      <c r="J202" s="211">
        <f t="shared" si="123"/>
        <v>172.49121120000001</v>
      </c>
      <c r="K202" s="211">
        <f t="shared" si="123"/>
        <v>202.58542251574474</v>
      </c>
      <c r="L202" s="211">
        <f t="shared" si="123"/>
        <v>242.22170083404259</v>
      </c>
      <c r="M202" s="211">
        <f t="shared" si="123"/>
        <v>271.77274833579582</v>
      </c>
      <c r="N202" s="211">
        <f t="shared" si="123"/>
        <v>304.81178832955925</v>
      </c>
      <c r="O202" s="211">
        <f t="shared" si="123"/>
        <v>341.74090883871742</v>
      </c>
    </row>
    <row r="203" spans="1:15" x14ac:dyDescent="0.6">
      <c r="A203" s="1018" t="s">
        <v>289</v>
      </c>
      <c r="B203" s="1023"/>
      <c r="C203" s="272">
        <f>1-C204-C205</f>
        <v>0.6</v>
      </c>
      <c r="D203" s="272">
        <f t="shared" ref="D203:O203" si="124">1-D204-D205</f>
        <v>0.54999999999999993</v>
      </c>
      <c r="E203" s="272">
        <f t="shared" si="124"/>
        <v>0.49999999999999994</v>
      </c>
      <c r="F203" s="272">
        <f t="shared" si="124"/>
        <v>0.29999999999999993</v>
      </c>
      <c r="G203" s="272">
        <f t="shared" si="124"/>
        <v>0.35</v>
      </c>
      <c r="H203" s="272">
        <f t="shared" si="124"/>
        <v>0.3</v>
      </c>
      <c r="I203" s="272">
        <f t="shared" si="124"/>
        <v>0.35</v>
      </c>
      <c r="J203" s="272">
        <f t="shared" si="124"/>
        <v>0.39999999999999997</v>
      </c>
      <c r="K203" s="272">
        <f t="shared" si="124"/>
        <v>0.41999999999999993</v>
      </c>
      <c r="L203" s="272">
        <f t="shared" si="124"/>
        <v>0.43999999999999995</v>
      </c>
      <c r="M203" s="272">
        <f t="shared" si="124"/>
        <v>0.45999999999999996</v>
      </c>
      <c r="N203" s="272">
        <f t="shared" si="124"/>
        <v>0.47999999999999993</v>
      </c>
      <c r="O203" s="272">
        <f t="shared" si="124"/>
        <v>0.49999999999999994</v>
      </c>
    </row>
    <row r="204" spans="1:15" x14ac:dyDescent="0.6">
      <c r="A204" s="1018" t="s">
        <v>290</v>
      </c>
      <c r="B204" s="1023"/>
      <c r="C204" s="1073">
        <v>0.3</v>
      </c>
      <c r="D204" s="1073">
        <v>0.3</v>
      </c>
      <c r="E204" s="1073">
        <v>0.3</v>
      </c>
      <c r="F204" s="1073">
        <v>0.3</v>
      </c>
      <c r="G204" s="1073">
        <v>0.3</v>
      </c>
      <c r="H204" s="1073">
        <v>0.4</v>
      </c>
      <c r="I204" s="378">
        <f t="shared" ref="I204:O204" si="125">H204</f>
        <v>0.4</v>
      </c>
      <c r="J204" s="378">
        <f t="shared" si="125"/>
        <v>0.4</v>
      </c>
      <c r="K204" s="378">
        <f t="shared" si="125"/>
        <v>0.4</v>
      </c>
      <c r="L204" s="378">
        <f t="shared" si="125"/>
        <v>0.4</v>
      </c>
      <c r="M204" s="378">
        <f t="shared" si="125"/>
        <v>0.4</v>
      </c>
      <c r="N204" s="378">
        <f t="shared" si="125"/>
        <v>0.4</v>
      </c>
      <c r="O204" s="378">
        <f t="shared" si="125"/>
        <v>0.4</v>
      </c>
    </row>
    <row r="205" spans="1:15" x14ac:dyDescent="0.6">
      <c r="A205" s="1018" t="s">
        <v>1151</v>
      </c>
      <c r="B205" s="1023"/>
      <c r="C205" s="1073">
        <v>0.1</v>
      </c>
      <c r="D205" s="1073">
        <v>0.15</v>
      </c>
      <c r="E205" s="1073">
        <v>0.2</v>
      </c>
      <c r="F205" s="1073">
        <v>0.4</v>
      </c>
      <c r="G205" s="1032">
        <v>0.35</v>
      </c>
      <c r="H205" s="1032">
        <v>0.3</v>
      </c>
      <c r="I205" s="1032">
        <f>H205-5%</f>
        <v>0.25</v>
      </c>
      <c r="J205" s="1032">
        <f>I205-5%</f>
        <v>0.2</v>
      </c>
      <c r="K205" s="1032">
        <f>J205-2%</f>
        <v>0.18000000000000002</v>
      </c>
      <c r="L205" s="1032">
        <f>K205-2%</f>
        <v>0.16000000000000003</v>
      </c>
      <c r="M205" s="1032">
        <f>L205-2%</f>
        <v>0.14000000000000004</v>
      </c>
      <c r="N205" s="1032">
        <f>M205-2%</f>
        <v>0.12000000000000004</v>
      </c>
      <c r="O205" s="1032">
        <f>N205-2%</f>
        <v>0.10000000000000003</v>
      </c>
    </row>
    <row r="206" spans="1:15" x14ac:dyDescent="0.6">
      <c r="A206" s="1018"/>
      <c r="B206" s="1023"/>
      <c r="C206" s="149"/>
      <c r="D206" s="1030"/>
      <c r="E206" s="1025"/>
      <c r="F206" s="1057"/>
      <c r="G206" s="1058"/>
      <c r="H206" s="1058"/>
      <c r="I206" s="1058"/>
      <c r="J206" s="1058"/>
      <c r="K206" s="1058"/>
      <c r="L206" s="1058"/>
      <c r="M206" s="1058"/>
      <c r="N206" s="1058"/>
      <c r="O206" s="1058"/>
    </row>
    <row r="207" spans="1:15" x14ac:dyDescent="0.6">
      <c r="A207" s="1018" t="s">
        <v>291</v>
      </c>
      <c r="B207" s="1023"/>
      <c r="C207" s="211">
        <f t="shared" ref="C207:O207" si="126">C203*C$202</f>
        <v>5.76</v>
      </c>
      <c r="D207" s="211">
        <f t="shared" si="126"/>
        <v>9.4049999999999994</v>
      </c>
      <c r="E207" s="211">
        <f t="shared" si="126"/>
        <v>11.249999999999998</v>
      </c>
      <c r="F207" s="211">
        <f t="shared" si="126"/>
        <v>12.774322820037101</v>
      </c>
      <c r="G207" s="211">
        <f>G203*G$202</f>
        <v>26.943900804289548</v>
      </c>
      <c r="H207" s="211">
        <f t="shared" si="126"/>
        <v>32.74636838285145</v>
      </c>
      <c r="I207" s="211">
        <f t="shared" si="126"/>
        <v>45.860156731914898</v>
      </c>
      <c r="J207" s="211">
        <f t="shared" si="126"/>
        <v>68.996484479999992</v>
      </c>
      <c r="K207" s="211">
        <f t="shared" si="126"/>
        <v>85.085877456612778</v>
      </c>
      <c r="L207" s="211">
        <f t="shared" si="126"/>
        <v>106.57754836697873</v>
      </c>
      <c r="M207" s="211">
        <f t="shared" si="126"/>
        <v>125.01546423446607</v>
      </c>
      <c r="N207" s="211">
        <f t="shared" si="126"/>
        <v>146.30965839818842</v>
      </c>
      <c r="O207" s="211">
        <f t="shared" si="126"/>
        <v>170.87045441935868</v>
      </c>
    </row>
    <row r="208" spans="1:15" x14ac:dyDescent="0.6">
      <c r="A208" s="1018" t="s">
        <v>292</v>
      </c>
      <c r="B208" s="1023"/>
      <c r="C208" s="211">
        <f>C204*C$202</f>
        <v>2.88</v>
      </c>
      <c r="D208" s="211">
        <f>D204*D$202</f>
        <v>5.13</v>
      </c>
      <c r="E208" s="211">
        <f t="shared" ref="D208:O209" si="127">E204*E$202</f>
        <v>6.75</v>
      </c>
      <c r="F208" s="211">
        <f>F204*F$202</f>
        <v>12.774322820037103</v>
      </c>
      <c r="G208" s="211">
        <f>G204*G$202</f>
        <v>23.094772117962471</v>
      </c>
      <c r="H208" s="211">
        <f t="shared" si="127"/>
        <v>43.661824510468605</v>
      </c>
      <c r="I208" s="211">
        <f t="shared" si="127"/>
        <v>52.411607693617036</v>
      </c>
      <c r="J208" s="211">
        <f t="shared" si="127"/>
        <v>68.996484480000007</v>
      </c>
      <c r="K208" s="211">
        <f t="shared" si="127"/>
        <v>81.034169006297901</v>
      </c>
      <c r="L208" s="211">
        <f t="shared" si="127"/>
        <v>96.888680333617046</v>
      </c>
      <c r="M208" s="211">
        <f t="shared" si="127"/>
        <v>108.70909933431834</v>
      </c>
      <c r="N208" s="211">
        <f t="shared" si="127"/>
        <v>121.92471533182371</v>
      </c>
      <c r="O208" s="211">
        <f t="shared" si="127"/>
        <v>136.69636353548697</v>
      </c>
    </row>
    <row r="209" spans="1:15" x14ac:dyDescent="0.6">
      <c r="A209" s="1018" t="s">
        <v>1150</v>
      </c>
      <c r="B209" s="1023"/>
      <c r="C209" s="211">
        <f>C205*C$202</f>
        <v>0.96</v>
      </c>
      <c r="D209" s="211">
        <f t="shared" si="127"/>
        <v>2.5649999999999999</v>
      </c>
      <c r="E209" s="211">
        <f>E205*E$202</f>
        <v>4.5</v>
      </c>
      <c r="F209" s="211">
        <f>F205*F$202</f>
        <v>17.032430426716139</v>
      </c>
      <c r="G209" s="211">
        <f>G205*G$202</f>
        <v>26.943900804289548</v>
      </c>
      <c r="H209" s="211">
        <f t="shared" si="127"/>
        <v>32.74636838285145</v>
      </c>
      <c r="I209" s="211">
        <f t="shared" si="127"/>
        <v>32.757254808510645</v>
      </c>
      <c r="J209" s="211">
        <f t="shared" si="127"/>
        <v>34.498242240000003</v>
      </c>
      <c r="K209" s="211">
        <f t="shared" si="127"/>
        <v>36.46537605283406</v>
      </c>
      <c r="L209" s="211">
        <f t="shared" si="127"/>
        <v>38.755472133446823</v>
      </c>
      <c r="M209" s="211">
        <f t="shared" si="127"/>
        <v>38.048184767011428</v>
      </c>
      <c r="N209" s="211">
        <f t="shared" si="127"/>
        <v>36.577414599547119</v>
      </c>
      <c r="O209" s="211">
        <f t="shared" si="127"/>
        <v>34.174090883871756</v>
      </c>
    </row>
    <row r="210" spans="1:15" x14ac:dyDescent="0.6">
      <c r="A210" s="1018"/>
      <c r="B210" s="1023"/>
      <c r="C210" s="149"/>
      <c r="D210" s="1030"/>
      <c r="E210" s="1025"/>
      <c r="F210" s="1057"/>
      <c r="G210" s="1074"/>
      <c r="H210" s="1074"/>
      <c r="I210" s="1074"/>
      <c r="J210" s="1074"/>
      <c r="K210" s="1074"/>
      <c r="L210" s="1074"/>
      <c r="M210" s="1074"/>
      <c r="N210" s="1074"/>
      <c r="O210" s="1074"/>
    </row>
    <row r="211" spans="1:15" x14ac:dyDescent="0.6">
      <c r="A211" s="1019" t="s">
        <v>262</v>
      </c>
      <c r="B211" s="1022"/>
      <c r="C211" s="173">
        <v>1434.759</v>
      </c>
      <c r="D211" s="173">
        <v>1798.5219999999999</v>
      </c>
      <c r="E211" s="173">
        <v>2005.9680000000001</v>
      </c>
      <c r="F211" s="173">
        <v>2633.4</v>
      </c>
      <c r="G211" s="59">
        <f t="shared" ref="G211:O211" si="128">F211*(1+G212)</f>
        <v>2949.4080000000004</v>
      </c>
      <c r="H211" s="59">
        <f t="shared" si="128"/>
        <v>3421.3132800000003</v>
      </c>
      <c r="I211" s="59">
        <f t="shared" si="128"/>
        <v>3763.4446080000007</v>
      </c>
      <c r="J211" s="59">
        <f t="shared" si="128"/>
        <v>4139.7890688000007</v>
      </c>
      <c r="K211" s="59">
        <f t="shared" si="128"/>
        <v>4553.7679756800007</v>
      </c>
      <c r="L211" s="59">
        <f t="shared" si="128"/>
        <v>5009.144773248001</v>
      </c>
      <c r="M211" s="59">
        <f t="shared" si="128"/>
        <v>5510.0592505728018</v>
      </c>
      <c r="N211" s="59">
        <f t="shared" si="128"/>
        <v>6061.0651756300822</v>
      </c>
      <c r="O211" s="59">
        <f t="shared" si="128"/>
        <v>6667.1716931930905</v>
      </c>
    </row>
    <row r="212" spans="1:15" x14ac:dyDescent="0.6">
      <c r="A212" s="1023" t="s">
        <v>261</v>
      </c>
      <c r="B212" s="1023"/>
      <c r="C212" s="149"/>
      <c r="D212" s="1025">
        <f>D211/C211-1</f>
        <v>0.2535359596977611</v>
      </c>
      <c r="E212" s="1025">
        <f>E211/D211-1</f>
        <v>0.11534248677525216</v>
      </c>
      <c r="F212" s="1025">
        <f>F211/E211-1</f>
        <v>0.31278265655284621</v>
      </c>
      <c r="G212" s="1077">
        <v>0.12</v>
      </c>
      <c r="H212" s="1077">
        <v>0.16</v>
      </c>
      <c r="I212" s="1077">
        <v>0.1</v>
      </c>
      <c r="J212" s="1077">
        <v>0.1</v>
      </c>
      <c r="K212" s="1077">
        <v>0.1</v>
      </c>
      <c r="L212" s="1077">
        <v>0.1</v>
      </c>
      <c r="M212" s="1077">
        <v>0.1</v>
      </c>
      <c r="N212" s="1077">
        <v>0.1</v>
      </c>
      <c r="O212" s="1077">
        <v>0.1</v>
      </c>
    </row>
    <row r="213" spans="1:15" x14ac:dyDescent="0.6">
      <c r="A213" s="1019" t="s">
        <v>302</v>
      </c>
      <c r="B213" s="1023"/>
      <c r="C213" s="97">
        <f t="shared" ref="C213:O213" si="129">C211/C4</f>
        <v>392.46102084359097</v>
      </c>
      <c r="D213" s="97">
        <f t="shared" si="129"/>
        <v>455.77202807835585</v>
      </c>
      <c r="E213" s="97">
        <f t="shared" si="129"/>
        <v>389.11545623836128</v>
      </c>
      <c r="F213" s="97">
        <f t="shared" si="129"/>
        <v>488.0643487285937</v>
      </c>
      <c r="G213" s="97">
        <f t="shared" si="129"/>
        <v>571.59069767441861</v>
      </c>
      <c r="H213" s="97">
        <f t="shared" si="129"/>
        <v>682.21600797607186</v>
      </c>
      <c r="I213" s="97">
        <f t="shared" si="129"/>
        <v>727.93899574468105</v>
      </c>
      <c r="J213" s="97">
        <f t="shared" si="129"/>
        <v>821.38672000000008</v>
      </c>
      <c r="K213" s="97">
        <f t="shared" si="129"/>
        <v>880.80618485106402</v>
      </c>
      <c r="L213" s="97">
        <f t="shared" si="129"/>
        <v>968.88680333617037</v>
      </c>
      <c r="M213" s="97">
        <f t="shared" si="129"/>
        <v>1065.7754836697875</v>
      </c>
      <c r="N213" s="97">
        <f t="shared" si="129"/>
        <v>1172.3530320367663</v>
      </c>
      <c r="O213" s="97">
        <f t="shared" si="129"/>
        <v>1289.588335240443</v>
      </c>
    </row>
    <row r="214" spans="1:15" x14ac:dyDescent="0.6">
      <c r="A214" s="1023"/>
      <c r="B214" s="1023"/>
      <c r="C214" s="178"/>
      <c r="D214" s="1078"/>
      <c r="E214" s="1078"/>
      <c r="F214" s="1078"/>
      <c r="G214" s="1079"/>
      <c r="H214" s="1079"/>
      <c r="I214" s="1079"/>
      <c r="J214" s="1079"/>
      <c r="K214" s="1079"/>
      <c r="L214" s="1079"/>
      <c r="M214" s="1079"/>
      <c r="N214" s="1079"/>
      <c r="O214" s="1079"/>
    </row>
    <row r="215" spans="1:15" x14ac:dyDescent="0.6">
      <c r="A215" s="1019" t="s">
        <v>492</v>
      </c>
      <c r="B215" s="1023"/>
      <c r="C215" s="178"/>
      <c r="D215" s="1078"/>
      <c r="E215" s="1080">
        <f t="shared" ref="E215:O215" si="130">E207*5.6</f>
        <v>62.999999999999986</v>
      </c>
      <c r="F215" s="1080">
        <f t="shared" si="130"/>
        <v>71.536207792207762</v>
      </c>
      <c r="G215" s="1080">
        <f>G207*5.6</f>
        <v>150.88584450402146</v>
      </c>
      <c r="H215" s="1080">
        <f t="shared" si="130"/>
        <v>183.3796629439681</v>
      </c>
      <c r="I215" s="1080">
        <f t="shared" si="130"/>
        <v>256.81687769872343</v>
      </c>
      <c r="J215" s="1080">
        <f t="shared" si="130"/>
        <v>386.38031308799992</v>
      </c>
      <c r="K215" s="1080">
        <f t="shared" si="130"/>
        <v>476.48091375703154</v>
      </c>
      <c r="L215" s="1080">
        <f t="shared" si="130"/>
        <v>596.83427085508083</v>
      </c>
      <c r="M215" s="1080">
        <f t="shared" si="130"/>
        <v>700.08659971300995</v>
      </c>
      <c r="N215" s="1080">
        <f t="shared" si="130"/>
        <v>819.33408702985514</v>
      </c>
      <c r="O215" s="1080">
        <f t="shared" si="130"/>
        <v>956.87454474840854</v>
      </c>
    </row>
    <row r="216" spans="1:15" x14ac:dyDescent="0.6">
      <c r="A216" s="1019" t="s">
        <v>493</v>
      </c>
      <c r="B216" s="1023"/>
      <c r="C216" s="178"/>
      <c r="D216" s="1078"/>
      <c r="E216" s="1080"/>
      <c r="F216" s="1080">
        <f>F215*1000/Drivers!F79/12</f>
        <v>248.66180048661792</v>
      </c>
      <c r="G216" s="1080">
        <f>G215*1000/Drivers!G79/12</f>
        <v>389.11764705882348</v>
      </c>
      <c r="H216" s="1080">
        <f>H215*1000/Drivers!H79/12</f>
        <v>382.05274357263528</v>
      </c>
      <c r="I216" s="1080">
        <f>I215*1000/Drivers!I79/12</f>
        <v>459.43514032508727</v>
      </c>
      <c r="J216" s="1080">
        <f>J215*1000/Drivers!J79/12</f>
        <v>599.98551566343406</v>
      </c>
      <c r="K216" s="1080">
        <f>K215*1000/Drivers!K79/12</f>
        <v>703.2069877772916</v>
      </c>
      <c r="L216" s="1080">
        <f>L215*1000/Drivers!L79/12</f>
        <v>849.24435602132974</v>
      </c>
      <c r="M216" s="1080">
        <f>M215*1000/Drivers!M79/12</f>
        <v>972.90633316445621</v>
      </c>
      <c r="N216" s="1080">
        <f>N215*1000/Drivers!N79/12</f>
        <v>1112.6470632044559</v>
      </c>
      <c r="O216" s="1080">
        <f>O215*1000/Drivers!O79/12</f>
        <v>1270.4414225272169</v>
      </c>
    </row>
    <row r="217" spans="1:15" x14ac:dyDescent="0.6">
      <c r="A217" s="1023"/>
      <c r="B217" s="1023"/>
      <c r="C217" s="178"/>
      <c r="D217" s="1078"/>
      <c r="E217" s="1078"/>
      <c r="F217" s="1078"/>
      <c r="G217" s="1079"/>
      <c r="H217" s="1079"/>
      <c r="I217" s="1079"/>
      <c r="J217" s="1079"/>
      <c r="K217" s="1079"/>
      <c r="L217" s="1079"/>
      <c r="M217" s="1079"/>
      <c r="N217" s="1079"/>
      <c r="O217" s="1079"/>
    </row>
    <row r="218" spans="1:15" x14ac:dyDescent="0.6">
      <c r="A218" s="168" t="s">
        <v>263</v>
      </c>
      <c r="B218" s="94"/>
      <c r="C218" s="1081">
        <f>C202/C213</f>
        <v>2.4461027949641719E-2</v>
      </c>
      <c r="D218" s="1081">
        <f>D202/D213</f>
        <v>3.7518757068303869E-2</v>
      </c>
      <c r="E218" s="1082">
        <f>E202/E213</f>
        <v>5.7823454810844437E-2</v>
      </c>
      <c r="F218" s="1082">
        <f>F202/F213</f>
        <v>8.7244799128872924E-2</v>
      </c>
      <c r="G218" s="1082">
        <f>G202/G213</f>
        <v>0.13468129211996255</v>
      </c>
      <c r="H218" s="1083">
        <v>0.16</v>
      </c>
      <c r="I218" s="1083">
        <v>0.18</v>
      </c>
      <c r="J218" s="1084">
        <v>0.21</v>
      </c>
      <c r="K218" s="1084">
        <v>0.23</v>
      </c>
      <c r="L218" s="1084">
        <v>0.25</v>
      </c>
      <c r="M218" s="1084">
        <f>L218+0.5%</f>
        <v>0.255</v>
      </c>
      <c r="N218" s="1084">
        <f>M218+0.5%</f>
        <v>0.26</v>
      </c>
      <c r="O218" s="1084">
        <f>N218+0.5%</f>
        <v>0.26500000000000001</v>
      </c>
    </row>
    <row r="219" spans="1:15" x14ac:dyDescent="0.6">
      <c r="A219" s="168"/>
      <c r="B219" s="94"/>
      <c r="C219" s="1085"/>
      <c r="D219" s="1085"/>
      <c r="E219" s="1086"/>
      <c r="F219" s="1083"/>
      <c r="G219" s="1081"/>
      <c r="H219" s="1081"/>
      <c r="I219" s="1081"/>
      <c r="J219" s="1081"/>
      <c r="K219" s="1081"/>
      <c r="L219" s="1081"/>
      <c r="M219" s="1081"/>
      <c r="N219" s="1081"/>
      <c r="O219" s="1081"/>
    </row>
    <row r="220" spans="1:15" x14ac:dyDescent="0.6">
      <c r="A220" s="1019" t="s">
        <v>1318</v>
      </c>
      <c r="B220" s="1022"/>
      <c r="C220" s="279">
        <f>C224/(C207*1000)</f>
        <v>1.5225694444444444E-2</v>
      </c>
      <c r="D220" s="279">
        <f>D224/(D207*1000)</f>
        <v>1.5134502923976608E-2</v>
      </c>
      <c r="E220" s="279">
        <f>E224/(E207*1000)</f>
        <v>1.4204444444444448E-2</v>
      </c>
      <c r="F220" s="279">
        <f>F224/(F207*1000)</f>
        <v>1.3480091527530881E-2</v>
      </c>
      <c r="G220" s="279">
        <f>G224/(G207*1000)</f>
        <v>1.5026140600940784E-2</v>
      </c>
      <c r="H220" s="1088">
        <v>1.2999999999999999E-2</v>
      </c>
      <c r="I220" s="1088">
        <v>1.2E-2</v>
      </c>
      <c r="J220" s="1088">
        <v>1.2E-2</v>
      </c>
      <c r="K220" s="1088">
        <v>1.2E-2</v>
      </c>
      <c r="L220" s="1088">
        <v>1.2E-2</v>
      </c>
      <c r="M220" s="1088">
        <v>1.2E-2</v>
      </c>
      <c r="N220" s="1088">
        <v>1.2E-2</v>
      </c>
      <c r="O220" s="1088">
        <v>1.2E-2</v>
      </c>
    </row>
    <row r="221" spans="1:15" x14ac:dyDescent="0.6">
      <c r="A221" s="1019" t="s">
        <v>294</v>
      </c>
      <c r="B221" s="1022"/>
      <c r="C221" s="279">
        <v>6.0000000000000001E-3</v>
      </c>
      <c r="D221" s="279">
        <v>6.0000000000000001E-3</v>
      </c>
      <c r="E221" s="279">
        <v>6.0000000000000001E-3</v>
      </c>
      <c r="F221" s="279">
        <v>6.0000000000000001E-3</v>
      </c>
      <c r="G221" s="279">
        <v>6.0000000000000001E-3</v>
      </c>
      <c r="H221" s="1088">
        <f>(3*0.7%+9*0.5%)/12</f>
        <v>5.5000000000000005E-3</v>
      </c>
      <c r="I221" s="1088">
        <v>5.0000000000000001E-3</v>
      </c>
      <c r="J221" s="1088">
        <f t="shared" ref="J221:O222" si="131">I221</f>
        <v>5.0000000000000001E-3</v>
      </c>
      <c r="K221" s="1088">
        <f t="shared" si="131"/>
        <v>5.0000000000000001E-3</v>
      </c>
      <c r="L221" s="1088">
        <f t="shared" si="131"/>
        <v>5.0000000000000001E-3</v>
      </c>
      <c r="M221" s="1088">
        <f t="shared" si="131"/>
        <v>5.0000000000000001E-3</v>
      </c>
      <c r="N221" s="1088">
        <f t="shared" si="131"/>
        <v>5.0000000000000001E-3</v>
      </c>
      <c r="O221" s="1088">
        <f t="shared" si="131"/>
        <v>5.0000000000000001E-3</v>
      </c>
    </row>
    <row r="222" spans="1:15" x14ac:dyDescent="0.6">
      <c r="A222" s="1019" t="s">
        <v>1149</v>
      </c>
      <c r="B222" s="1022"/>
      <c r="C222" s="1087">
        <v>1.2E-2</v>
      </c>
      <c r="D222" s="1087">
        <v>1.2E-2</v>
      </c>
      <c r="E222" s="1087">
        <v>1.2E-2</v>
      </c>
      <c r="F222" s="1087">
        <v>1.2E-2</v>
      </c>
      <c r="G222" s="1087">
        <f>F222</f>
        <v>1.2E-2</v>
      </c>
      <c r="H222" s="1088">
        <f>(3*1.2%+9*0.7%)/12</f>
        <v>8.2500000000000004E-3</v>
      </c>
      <c r="I222" s="1088">
        <v>7.0000000000000001E-3</v>
      </c>
      <c r="J222" s="1088">
        <f>I222</f>
        <v>7.0000000000000001E-3</v>
      </c>
      <c r="K222" s="1088">
        <f t="shared" si="131"/>
        <v>7.0000000000000001E-3</v>
      </c>
      <c r="L222" s="1088">
        <f t="shared" si="131"/>
        <v>7.0000000000000001E-3</v>
      </c>
      <c r="M222" s="1088">
        <f t="shared" si="131"/>
        <v>7.0000000000000001E-3</v>
      </c>
      <c r="N222" s="1088">
        <f t="shared" si="131"/>
        <v>7.0000000000000001E-3</v>
      </c>
      <c r="O222" s="1088">
        <f t="shared" si="131"/>
        <v>7.0000000000000001E-3</v>
      </c>
    </row>
    <row r="223" spans="1:15" x14ac:dyDescent="0.6">
      <c r="A223" s="1023"/>
      <c r="B223" s="1023"/>
      <c r="C223" s="149"/>
      <c r="D223" s="1030"/>
      <c r="E223" s="1025"/>
      <c r="F223" s="1057"/>
      <c r="G223" s="1058"/>
      <c r="H223" s="1016"/>
      <c r="I223" s="1058"/>
      <c r="J223" s="1058"/>
      <c r="K223" s="1058"/>
      <c r="L223" s="1058"/>
      <c r="M223" s="1058"/>
      <c r="N223" s="1058"/>
      <c r="O223" s="1058"/>
    </row>
    <row r="224" spans="1:15" x14ac:dyDescent="0.6">
      <c r="A224" s="1019" t="s">
        <v>1315</v>
      </c>
      <c r="B224" s="1023"/>
      <c r="C224" s="97">
        <f>C227-C225-C226</f>
        <v>87.7</v>
      </c>
      <c r="D224" s="97">
        <f>D227-D225-D226</f>
        <v>142.34</v>
      </c>
      <c r="E224" s="97">
        <f>E227-E225-E226</f>
        <v>159.80000000000001</v>
      </c>
      <c r="F224" s="97">
        <f>F227-F225-F226</f>
        <v>172.19904081632652</v>
      </c>
      <c r="G224" s="97">
        <f>G227-G225-G226</f>
        <v>404.86284182305621</v>
      </c>
      <c r="H224" s="1017">
        <f>H220*H207*1000</f>
        <v>425.70278897706879</v>
      </c>
      <c r="I224" s="1017">
        <f t="shared" ref="I224:O224" si="132">I220*I207*1000</f>
        <v>550.32188078297884</v>
      </c>
      <c r="J224" s="1017">
        <f t="shared" si="132"/>
        <v>827.95781375999991</v>
      </c>
      <c r="K224" s="1017">
        <f t="shared" si="132"/>
        <v>1021.0305294793534</v>
      </c>
      <c r="L224" s="1017">
        <f t="shared" si="132"/>
        <v>1278.9305804037447</v>
      </c>
      <c r="M224" s="1017">
        <f t="shared" si="132"/>
        <v>1500.1855708135927</v>
      </c>
      <c r="N224" s="1017">
        <f t="shared" si="132"/>
        <v>1755.7159007782609</v>
      </c>
      <c r="O224" s="1017">
        <f t="shared" si="132"/>
        <v>2050.4454530323046</v>
      </c>
    </row>
    <row r="225" spans="1:15" x14ac:dyDescent="0.6">
      <c r="A225" s="1019" t="s">
        <v>1316</v>
      </c>
      <c r="B225" s="1023"/>
      <c r="C225" s="97">
        <f t="shared" ref="C225:G226" si="133">C221*C208*1000</f>
        <v>17.28</v>
      </c>
      <c r="D225" s="97">
        <f t="shared" si="133"/>
        <v>30.779999999999998</v>
      </c>
      <c r="E225" s="97">
        <f t="shared" si="133"/>
        <v>40.5</v>
      </c>
      <c r="F225" s="97">
        <f t="shared" si="133"/>
        <v>76.645936920222624</v>
      </c>
      <c r="G225" s="97">
        <f t="shared" si="133"/>
        <v>138.56863270777484</v>
      </c>
      <c r="H225" s="1017">
        <f>H221*H208*1000</f>
        <v>240.14003480757734</v>
      </c>
      <c r="I225" s="1017">
        <f t="shared" ref="I225:O225" si="134">I221*I208*1000</f>
        <v>262.05803846808516</v>
      </c>
      <c r="J225" s="1017">
        <f t="shared" si="134"/>
        <v>344.98242240000002</v>
      </c>
      <c r="K225" s="1017">
        <f t="shared" si="134"/>
        <v>405.17084503148953</v>
      </c>
      <c r="L225" s="1017">
        <f t="shared" si="134"/>
        <v>484.44340166808524</v>
      </c>
      <c r="M225" s="1017">
        <f t="shared" si="134"/>
        <v>543.54549667159165</v>
      </c>
      <c r="N225" s="1017">
        <f t="shared" si="134"/>
        <v>609.62357665911861</v>
      </c>
      <c r="O225" s="1017">
        <f t="shared" si="134"/>
        <v>683.48181767743483</v>
      </c>
    </row>
    <row r="226" spans="1:15" x14ac:dyDescent="0.6">
      <c r="A226" s="1095" t="s">
        <v>1317</v>
      </c>
      <c r="B226" s="1096"/>
      <c r="C226" s="1093">
        <f t="shared" si="133"/>
        <v>11.52</v>
      </c>
      <c r="D226" s="1093">
        <f t="shared" si="133"/>
        <v>30.779999999999998</v>
      </c>
      <c r="E226" s="1093">
        <f t="shared" si="133"/>
        <v>54</v>
      </c>
      <c r="F226" s="1093">
        <f t="shared" si="133"/>
        <v>204.38916512059367</v>
      </c>
      <c r="G226" s="1093">
        <f t="shared" si="133"/>
        <v>323.3268096514746</v>
      </c>
      <c r="H226" s="1094">
        <f>H222*H209*1000</f>
        <v>270.15753915852446</v>
      </c>
      <c r="I226" s="1094">
        <f t="shared" ref="I226:O226" si="135">I222*I209*1000</f>
        <v>229.30078365957451</v>
      </c>
      <c r="J226" s="1094">
        <f t="shared" si="135"/>
        <v>241.48769568000003</v>
      </c>
      <c r="K226" s="1094">
        <f t="shared" si="135"/>
        <v>255.25763236983846</v>
      </c>
      <c r="L226" s="1094">
        <f t="shared" si="135"/>
        <v>271.28830493412778</v>
      </c>
      <c r="M226" s="1094">
        <f t="shared" si="135"/>
        <v>266.33729336908004</v>
      </c>
      <c r="N226" s="1094">
        <f t="shared" si="135"/>
        <v>256.04190219682982</v>
      </c>
      <c r="O226" s="1094">
        <f t="shared" si="135"/>
        <v>239.21863618710228</v>
      </c>
    </row>
    <row r="227" spans="1:15" x14ac:dyDescent="0.6">
      <c r="A227" s="1019" t="s">
        <v>237</v>
      </c>
      <c r="B227" s="1023"/>
      <c r="C227" s="173">
        <v>116.5</v>
      </c>
      <c r="D227" s="173">
        <v>203.9</v>
      </c>
      <c r="E227" s="97">
        <f>E194-E251</f>
        <v>254.3</v>
      </c>
      <c r="F227" s="97">
        <f>F194-F251</f>
        <v>453.23414285714284</v>
      </c>
      <c r="G227" s="97">
        <f>G194-G251</f>
        <v>866.7582841823056</v>
      </c>
      <c r="H227" s="1068">
        <f>((H220*H207)+(H221*H208)+(H222*H209))*1000</f>
        <v>936.00036294317056</v>
      </c>
      <c r="I227" s="1068">
        <f t="shared" ref="I227:O227" si="136">((I220*I207)+(I221*I208)+(I222*I209))*1000</f>
        <v>1041.6807029106385</v>
      </c>
      <c r="J227" s="1068">
        <f t="shared" si="136"/>
        <v>1414.4279318399999</v>
      </c>
      <c r="K227" s="1068">
        <f t="shared" si="136"/>
        <v>1681.4590068806813</v>
      </c>
      <c r="L227" s="1068">
        <f t="shared" si="136"/>
        <v>2034.6622870059578</v>
      </c>
      <c r="M227" s="1068">
        <f t="shared" si="136"/>
        <v>2310.0683608542645</v>
      </c>
      <c r="N227" s="1068">
        <f t="shared" si="136"/>
        <v>2621.3813796342092</v>
      </c>
      <c r="O227" s="1068">
        <f t="shared" si="136"/>
        <v>2973.1459068968416</v>
      </c>
    </row>
    <row r="228" spans="1:15" x14ac:dyDescent="0.6">
      <c r="A228" s="1019" t="s">
        <v>238</v>
      </c>
      <c r="B228" s="1023"/>
      <c r="C228" s="269">
        <f t="shared" ref="C228:O228" si="137">(C227/1000)/C202</f>
        <v>1.2135416666666668E-2</v>
      </c>
      <c r="D228" s="269">
        <f t="shared" si="137"/>
        <v>1.1923976608187134E-2</v>
      </c>
      <c r="E228" s="268">
        <f t="shared" si="137"/>
        <v>1.1302222222222224E-2</v>
      </c>
      <c r="F228" s="268">
        <f t="shared" si="137"/>
        <v>1.0644027458259266E-2</v>
      </c>
      <c r="G228" s="269">
        <f t="shared" si="137"/>
        <v>1.1259149210329273E-2</v>
      </c>
      <c r="H228" s="269">
        <f t="shared" si="137"/>
        <v>8.5749999999999993E-3</v>
      </c>
      <c r="I228" s="269">
        <f t="shared" si="137"/>
        <v>7.9500000000000005E-3</v>
      </c>
      <c r="J228" s="269">
        <f t="shared" si="137"/>
        <v>8.199999999999999E-3</v>
      </c>
      <c r="K228" s="269">
        <f t="shared" si="137"/>
        <v>8.2999999999999984E-3</v>
      </c>
      <c r="L228" s="269">
        <f t="shared" si="137"/>
        <v>8.3999999999999995E-3</v>
      </c>
      <c r="M228" s="269">
        <f t="shared" si="137"/>
        <v>8.5000000000000006E-3</v>
      </c>
      <c r="N228" s="269">
        <f t="shared" si="137"/>
        <v>8.6E-3</v>
      </c>
      <c r="O228" s="269">
        <f t="shared" si="137"/>
        <v>8.7000000000000011E-3</v>
      </c>
    </row>
    <row r="229" spans="1:15" x14ac:dyDescent="0.6">
      <c r="A229" s="1023"/>
      <c r="B229" s="1023"/>
      <c r="C229" s="149"/>
      <c r="D229" s="1030"/>
      <c r="E229" s="1025"/>
      <c r="F229" s="1057"/>
      <c r="G229" s="1058"/>
      <c r="H229" s="1074"/>
      <c r="I229" s="1058"/>
      <c r="J229" s="1058"/>
      <c r="K229" s="1058"/>
      <c r="L229" s="1058"/>
      <c r="M229" s="1058"/>
      <c r="N229" s="1058"/>
      <c r="O229" s="1058"/>
    </row>
    <row r="230" spans="1:15" x14ac:dyDescent="0.6">
      <c r="A230" s="1023"/>
      <c r="B230" s="1023"/>
      <c r="C230" s="149"/>
      <c r="D230" s="1030"/>
      <c r="E230" s="1025"/>
      <c r="F230" s="1057"/>
      <c r="G230" s="1058"/>
      <c r="H230" s="1058"/>
      <c r="I230" s="1058"/>
      <c r="J230" s="1058"/>
      <c r="K230" s="1058"/>
      <c r="L230" s="1058"/>
      <c r="M230" s="1058"/>
      <c r="N230" s="1058"/>
      <c r="O230" s="1058"/>
    </row>
    <row r="231" spans="1:15" x14ac:dyDescent="0.6">
      <c r="A231" s="40" t="s">
        <v>229</v>
      </c>
      <c r="B231" s="1023"/>
      <c r="C231" s="149"/>
      <c r="D231" s="1030"/>
      <c r="E231" s="1025"/>
      <c r="F231" s="1057"/>
      <c r="G231" s="1058"/>
      <c r="H231" s="1058"/>
      <c r="I231" s="1058"/>
      <c r="J231" s="1058"/>
      <c r="K231" s="1058"/>
      <c r="L231" s="1058"/>
      <c r="M231" s="1058"/>
      <c r="N231" s="1058"/>
      <c r="O231" s="1058"/>
    </row>
    <row r="232" spans="1:15" x14ac:dyDescent="0.6">
      <c r="A232" s="40"/>
      <c r="B232" s="1023"/>
      <c r="C232" s="149"/>
      <c r="D232" s="1030"/>
      <c r="E232" s="1025"/>
      <c r="F232" s="1057"/>
      <c r="G232" s="1058"/>
      <c r="H232" s="1058"/>
      <c r="I232" s="1058"/>
      <c r="J232" s="1058"/>
      <c r="K232" s="1058"/>
      <c r="L232" s="1058"/>
      <c r="M232" s="1058"/>
      <c r="N232" s="1058"/>
      <c r="O232" s="1058"/>
    </row>
    <row r="233" spans="1:15" x14ac:dyDescent="0.6">
      <c r="A233" s="1019" t="s">
        <v>1313</v>
      </c>
      <c r="B233" s="1023"/>
      <c r="C233" s="272">
        <f>C24</f>
        <v>0</v>
      </c>
      <c r="D233" s="272">
        <f>D24</f>
        <v>0</v>
      </c>
      <c r="E233" s="272">
        <f>E24</f>
        <v>0</v>
      </c>
      <c r="F233" s="272">
        <f>F24</f>
        <v>2.5974025974025972E-2</v>
      </c>
      <c r="G233" s="272">
        <f>G24</f>
        <v>4.2895442359249338E-2</v>
      </c>
      <c r="H233" s="272">
        <f>H234/H185</f>
        <v>0.12155164118427839</v>
      </c>
      <c r="I233" s="272">
        <f t="shared" ref="I233:O233" si="138">I234/I185</f>
        <v>0.16356608362566027</v>
      </c>
      <c r="J233" s="272">
        <f t="shared" si="138"/>
        <v>0.17640596729118799</v>
      </c>
      <c r="K233" s="272">
        <f t="shared" si="138"/>
        <v>0.18662692203815942</v>
      </c>
      <c r="L233" s="272">
        <f t="shared" si="138"/>
        <v>0.18194007160645242</v>
      </c>
      <c r="M233" s="272">
        <f t="shared" si="138"/>
        <v>0.1786019815528026</v>
      </c>
      <c r="N233" s="272">
        <f t="shared" si="138"/>
        <v>0.16920670557515075</v>
      </c>
      <c r="O233" s="272">
        <f t="shared" si="138"/>
        <v>0.15530755001277075</v>
      </c>
    </row>
    <row r="234" spans="1:15" x14ac:dyDescent="0.6">
      <c r="A234" s="1019" t="s">
        <v>157</v>
      </c>
      <c r="B234" s="1023"/>
      <c r="C234" s="211">
        <f>C233*C185</f>
        <v>0</v>
      </c>
      <c r="D234" s="211">
        <f>D233*D185</f>
        <v>0</v>
      </c>
      <c r="E234" s="211">
        <f>E233*E185</f>
        <v>0</v>
      </c>
      <c r="F234" s="211">
        <f>F233*F185</f>
        <v>1.1376623376623376</v>
      </c>
      <c r="G234" s="211">
        <f>G233*G185</f>
        <v>3.4745308310991962</v>
      </c>
      <c r="H234" s="211">
        <f t="shared" ref="H234:O234" si="139">H246*H244</f>
        <v>15.547453551605086</v>
      </c>
      <c r="I234" s="211">
        <f t="shared" si="139"/>
        <v>26.974095159008503</v>
      </c>
      <c r="J234" s="211">
        <f t="shared" si="139"/>
        <v>39.538276637849677</v>
      </c>
      <c r="K234" s="211">
        <f t="shared" si="139"/>
        <v>49.696441538862743</v>
      </c>
      <c r="L234" s="211">
        <f t="shared" si="139"/>
        <v>57.357831593828458</v>
      </c>
      <c r="M234" s="211">
        <f t="shared" si="139"/>
        <v>62.573965188212995</v>
      </c>
      <c r="N234" s="211">
        <f t="shared" si="139"/>
        <v>65.374269685502327</v>
      </c>
      <c r="O234" s="211">
        <f t="shared" si="139"/>
        <v>65.80516509563742</v>
      </c>
    </row>
    <row r="235" spans="1:15" x14ac:dyDescent="0.6">
      <c r="A235" s="1018" t="s">
        <v>289</v>
      </c>
      <c r="B235" s="1023"/>
      <c r="C235" s="1032">
        <v>0.71</v>
      </c>
      <c r="D235" s="1032">
        <v>0.7</v>
      </c>
      <c r="E235" s="1073">
        <v>0.63</v>
      </c>
      <c r="F235" s="1073">
        <v>0.6</v>
      </c>
      <c r="G235" s="1024">
        <f>F235</f>
        <v>0.6</v>
      </c>
      <c r="H235" s="1024">
        <f t="shared" ref="H235:O235" si="140">G235</f>
        <v>0.6</v>
      </c>
      <c r="I235" s="1024">
        <f t="shared" si="140"/>
        <v>0.6</v>
      </c>
      <c r="J235" s="1024">
        <f t="shared" si="140"/>
        <v>0.6</v>
      </c>
      <c r="K235" s="1024">
        <f t="shared" si="140"/>
        <v>0.6</v>
      </c>
      <c r="L235" s="1024">
        <f t="shared" si="140"/>
        <v>0.6</v>
      </c>
      <c r="M235" s="1024">
        <f t="shared" si="140"/>
        <v>0.6</v>
      </c>
      <c r="N235" s="1024">
        <f t="shared" si="140"/>
        <v>0.6</v>
      </c>
      <c r="O235" s="1024">
        <f t="shared" si="140"/>
        <v>0.6</v>
      </c>
    </row>
    <row r="236" spans="1:15" x14ac:dyDescent="0.6">
      <c r="A236" s="1018" t="s">
        <v>290</v>
      </c>
      <c r="B236" s="1023"/>
      <c r="C236" s="272">
        <f t="shared" ref="C236:O236" si="141">1-C235</f>
        <v>0.29000000000000004</v>
      </c>
      <c r="D236" s="272">
        <f t="shared" si="141"/>
        <v>0.30000000000000004</v>
      </c>
      <c r="E236" s="378">
        <f t="shared" si="141"/>
        <v>0.37</v>
      </c>
      <c r="F236" s="378">
        <f t="shared" si="141"/>
        <v>0.4</v>
      </c>
      <c r="G236" s="272">
        <f t="shared" si="141"/>
        <v>0.4</v>
      </c>
      <c r="H236" s="272">
        <f t="shared" si="141"/>
        <v>0.4</v>
      </c>
      <c r="I236" s="272">
        <f t="shared" si="141"/>
        <v>0.4</v>
      </c>
      <c r="J236" s="272">
        <f t="shared" si="141"/>
        <v>0.4</v>
      </c>
      <c r="K236" s="272">
        <f t="shared" si="141"/>
        <v>0.4</v>
      </c>
      <c r="L236" s="272">
        <f t="shared" si="141"/>
        <v>0.4</v>
      </c>
      <c r="M236" s="272">
        <f t="shared" si="141"/>
        <v>0.4</v>
      </c>
      <c r="N236" s="272">
        <f t="shared" si="141"/>
        <v>0.4</v>
      </c>
      <c r="O236" s="272">
        <f t="shared" si="141"/>
        <v>0.4</v>
      </c>
    </row>
    <row r="237" spans="1:15" x14ac:dyDescent="0.6">
      <c r="A237" s="1018"/>
      <c r="B237" s="1023"/>
      <c r="C237" s="149"/>
      <c r="D237" s="1030"/>
      <c r="E237" s="1025"/>
      <c r="F237" s="1057"/>
      <c r="G237" s="1058"/>
      <c r="H237" s="1058"/>
      <c r="I237" s="1058"/>
      <c r="J237" s="1058"/>
      <c r="K237" s="1058"/>
      <c r="L237" s="1058"/>
      <c r="M237" s="1058"/>
      <c r="N237" s="1058"/>
      <c r="O237" s="1058"/>
    </row>
    <row r="238" spans="1:15" x14ac:dyDescent="0.6">
      <c r="A238" s="1018" t="s">
        <v>291</v>
      </c>
      <c r="B238" s="1023"/>
      <c r="C238" s="211">
        <f t="shared" ref="C238:O238" si="142">C235*C$234</f>
        <v>0</v>
      </c>
      <c r="D238" s="211">
        <f t="shared" si="142"/>
        <v>0</v>
      </c>
      <c r="E238" s="211">
        <f t="shared" si="142"/>
        <v>0</v>
      </c>
      <c r="F238" s="211">
        <f t="shared" si="142"/>
        <v>0.68259740259740254</v>
      </c>
      <c r="G238" s="211">
        <f t="shared" si="142"/>
        <v>2.0847184986595177</v>
      </c>
      <c r="H238" s="211">
        <f t="shared" si="142"/>
        <v>9.3284721309630516</v>
      </c>
      <c r="I238" s="211">
        <f t="shared" si="142"/>
        <v>16.184457095405101</v>
      </c>
      <c r="J238" s="211">
        <f t="shared" si="142"/>
        <v>23.722965982709805</v>
      </c>
      <c r="K238" s="211">
        <f t="shared" si="142"/>
        <v>29.817864923317643</v>
      </c>
      <c r="L238" s="211">
        <f t="shared" si="142"/>
        <v>34.414698956297073</v>
      </c>
      <c r="M238" s="211">
        <f t="shared" si="142"/>
        <v>37.544379112927793</v>
      </c>
      <c r="N238" s="211">
        <f t="shared" si="142"/>
        <v>39.224561811301392</v>
      </c>
      <c r="O238" s="211">
        <f t="shared" si="142"/>
        <v>39.483099057382454</v>
      </c>
    </row>
    <row r="239" spans="1:15" x14ac:dyDescent="0.6">
      <c r="A239" s="1018" t="s">
        <v>292</v>
      </c>
      <c r="B239" s="1023"/>
      <c r="C239" s="211">
        <f t="shared" ref="C239:O239" si="143">C236*C$234</f>
        <v>0</v>
      </c>
      <c r="D239" s="211">
        <f t="shared" si="143"/>
        <v>0</v>
      </c>
      <c r="E239" s="211">
        <f t="shared" si="143"/>
        <v>0</v>
      </c>
      <c r="F239" s="211">
        <f t="shared" si="143"/>
        <v>0.45506493506493506</v>
      </c>
      <c r="G239" s="211">
        <f t="shared" si="143"/>
        <v>1.3898123324396785</v>
      </c>
      <c r="H239" s="211">
        <f t="shared" si="143"/>
        <v>6.2189814206420344</v>
      </c>
      <c r="I239" s="211">
        <f t="shared" si="143"/>
        <v>10.789638063603402</v>
      </c>
      <c r="J239" s="211">
        <f t="shared" si="143"/>
        <v>15.815310655139871</v>
      </c>
      <c r="K239" s="211">
        <f t="shared" si="143"/>
        <v>19.8785766155451</v>
      </c>
      <c r="L239" s="211">
        <f t="shared" si="143"/>
        <v>22.943132637531384</v>
      </c>
      <c r="M239" s="211">
        <f t="shared" si="143"/>
        <v>25.029586075285199</v>
      </c>
      <c r="N239" s="211">
        <f t="shared" si="143"/>
        <v>26.149707874200931</v>
      </c>
      <c r="O239" s="211">
        <f t="shared" si="143"/>
        <v>26.32206603825497</v>
      </c>
    </row>
    <row r="240" spans="1:15" x14ac:dyDescent="0.6">
      <c r="A240" s="1018"/>
      <c r="B240" s="1023"/>
      <c r="C240" s="149"/>
      <c r="D240" s="1030"/>
      <c r="E240" s="1025"/>
      <c r="F240" s="1057"/>
      <c r="G240" s="1058"/>
      <c r="H240" s="1058"/>
      <c r="I240" s="1058"/>
      <c r="J240" s="1058"/>
      <c r="K240" s="1058"/>
      <c r="L240" s="1058"/>
      <c r="M240" s="1058"/>
      <c r="N240" s="1058"/>
      <c r="O240" s="1058"/>
    </row>
    <row r="241" spans="1:15" x14ac:dyDescent="0.6">
      <c r="A241" s="1019" t="s">
        <v>303</v>
      </c>
      <c r="B241" s="1022"/>
      <c r="C241" s="59"/>
      <c r="D241" s="59"/>
      <c r="E241" s="173">
        <f>E243*E244</f>
        <v>2751.4879999999998</v>
      </c>
      <c r="F241" s="59">
        <f t="shared" ref="F241:O241" si="144">E241*(1+F242)</f>
        <v>3164.2111999999997</v>
      </c>
      <c r="G241" s="59">
        <f t="shared" si="144"/>
        <v>3607.2007679999992</v>
      </c>
      <c r="H241" s="59">
        <f t="shared" si="144"/>
        <v>4076.1368678399986</v>
      </c>
      <c r="I241" s="59">
        <f t="shared" si="144"/>
        <v>4565.2732919807977</v>
      </c>
      <c r="J241" s="59">
        <f t="shared" si="144"/>
        <v>5067.4533540986849</v>
      </c>
      <c r="K241" s="59">
        <f t="shared" si="144"/>
        <v>5574.1986895085538</v>
      </c>
      <c r="L241" s="59">
        <f t="shared" si="144"/>
        <v>6075.876571564324</v>
      </c>
      <c r="M241" s="59">
        <f t="shared" si="144"/>
        <v>6561.9466972894706</v>
      </c>
      <c r="N241" s="59">
        <f t="shared" si="144"/>
        <v>7021.282966099734</v>
      </c>
      <c r="O241" s="59">
        <f t="shared" si="144"/>
        <v>7442.5599440657188</v>
      </c>
    </row>
    <row r="242" spans="1:15" x14ac:dyDescent="0.6">
      <c r="A242" s="1023" t="s">
        <v>261</v>
      </c>
      <c r="B242" s="1023"/>
      <c r="C242" s="149"/>
      <c r="D242" s="1025"/>
      <c r="E242" s="1025"/>
      <c r="F242" s="1071">
        <v>0.15</v>
      </c>
      <c r="G242" s="1038">
        <f t="shared" ref="G242:O242" si="145">F242-1%</f>
        <v>0.13999999999999999</v>
      </c>
      <c r="H242" s="1038">
        <f t="shared" si="145"/>
        <v>0.12999999999999998</v>
      </c>
      <c r="I242" s="1038">
        <f t="shared" si="145"/>
        <v>0.11999999999999998</v>
      </c>
      <c r="J242" s="1038">
        <f t="shared" si="145"/>
        <v>0.10999999999999999</v>
      </c>
      <c r="K242" s="1038">
        <f t="shared" si="145"/>
        <v>9.9999999999999992E-2</v>
      </c>
      <c r="L242" s="1038">
        <f t="shared" si="145"/>
        <v>0.09</v>
      </c>
      <c r="M242" s="1038">
        <f t="shared" si="145"/>
        <v>0.08</v>
      </c>
      <c r="N242" s="1038">
        <f t="shared" si="145"/>
        <v>7.0000000000000007E-2</v>
      </c>
      <c r="O242" s="1038">
        <f t="shared" si="145"/>
        <v>6.0000000000000005E-2</v>
      </c>
    </row>
    <row r="243" spans="1:15" s="32" customFormat="1" ht="14.4" x14ac:dyDescent="0.55000000000000004">
      <c r="A243" s="1023" t="s">
        <v>299</v>
      </c>
      <c r="B243" s="1023"/>
      <c r="C243" s="172">
        <v>19.238</v>
      </c>
      <c r="D243" s="172">
        <v>19.262</v>
      </c>
      <c r="E243" s="1089">
        <v>21.495999999999999</v>
      </c>
      <c r="F243" s="172">
        <v>20.463000000000001</v>
      </c>
      <c r="G243" s="178">
        <f t="shared" ref="G243:O243" si="146">F243</f>
        <v>20.463000000000001</v>
      </c>
      <c r="H243" s="178">
        <f t="shared" si="146"/>
        <v>20.463000000000001</v>
      </c>
      <c r="I243" s="178">
        <f t="shared" si="146"/>
        <v>20.463000000000001</v>
      </c>
      <c r="J243" s="178">
        <f t="shared" si="146"/>
        <v>20.463000000000001</v>
      </c>
      <c r="K243" s="178">
        <f t="shared" si="146"/>
        <v>20.463000000000001</v>
      </c>
      <c r="L243" s="178">
        <f t="shared" si="146"/>
        <v>20.463000000000001</v>
      </c>
      <c r="M243" s="178">
        <f t="shared" si="146"/>
        <v>20.463000000000001</v>
      </c>
      <c r="N243" s="178">
        <f t="shared" si="146"/>
        <v>20.463000000000001</v>
      </c>
      <c r="O243" s="178">
        <f t="shared" si="146"/>
        <v>20.463000000000001</v>
      </c>
    </row>
    <row r="244" spans="1:15" x14ac:dyDescent="0.6">
      <c r="A244" s="1019" t="s">
        <v>295</v>
      </c>
      <c r="B244" s="1023"/>
      <c r="C244" s="97">
        <f>C241/C243</f>
        <v>0</v>
      </c>
      <c r="D244" s="97">
        <f>D241/D243</f>
        <v>0</v>
      </c>
      <c r="E244" s="173">
        <v>128</v>
      </c>
      <c r="F244" s="97">
        <f t="shared" ref="F244:O244" si="147">F241/F243</f>
        <v>154.63085569075892</v>
      </c>
      <c r="G244" s="97">
        <f t="shared" si="147"/>
        <v>176.27917548746512</v>
      </c>
      <c r="H244" s="97">
        <f t="shared" si="147"/>
        <v>199.19546830083559</v>
      </c>
      <c r="I244" s="97">
        <f t="shared" si="147"/>
        <v>223.09892449693581</v>
      </c>
      <c r="J244" s="97">
        <f t="shared" si="147"/>
        <v>247.63980619159872</v>
      </c>
      <c r="K244" s="97">
        <f t="shared" si="147"/>
        <v>272.40378681075862</v>
      </c>
      <c r="L244" s="97">
        <f t="shared" si="147"/>
        <v>296.9201276237269</v>
      </c>
      <c r="M244" s="97">
        <f t="shared" si="147"/>
        <v>320.67373783362507</v>
      </c>
      <c r="N244" s="97">
        <f t="shared" si="147"/>
        <v>343.12089948197888</v>
      </c>
      <c r="O244" s="97">
        <f t="shared" si="147"/>
        <v>363.70815345089767</v>
      </c>
    </row>
    <row r="245" spans="1:15" x14ac:dyDescent="0.6">
      <c r="A245" s="1023"/>
      <c r="B245" s="1023"/>
      <c r="C245" s="178"/>
      <c r="D245" s="1078"/>
      <c r="E245" s="1078"/>
      <c r="F245" s="1078"/>
      <c r="G245" s="1079"/>
      <c r="H245" s="1079"/>
      <c r="I245" s="1079"/>
      <c r="J245" s="1079"/>
      <c r="K245" s="1079"/>
      <c r="L245" s="1079"/>
      <c r="M245" s="1079"/>
      <c r="N245" s="1079"/>
      <c r="O245" s="1079"/>
    </row>
    <row r="246" spans="1:15" x14ac:dyDescent="0.6">
      <c r="A246" s="168" t="s">
        <v>298</v>
      </c>
      <c r="B246" s="94"/>
      <c r="C246" s="1085"/>
      <c r="D246" s="1085"/>
      <c r="E246" s="1082">
        <f>E234/E244</f>
        <v>0</v>
      </c>
      <c r="F246" s="1082">
        <f>F234/F244</f>
        <v>7.3572789375072108E-3</v>
      </c>
      <c r="G246" s="1082">
        <f>G234/G244</f>
        <v>1.9710387352851348E-2</v>
      </c>
      <c r="H246" s="1084">
        <f>H134</f>
        <v>7.8051241246736069E-2</v>
      </c>
      <c r="I246" s="1084">
        <f t="shared" ref="I246:O246" si="148">I134</f>
        <v>0.12090643296390692</v>
      </c>
      <c r="J246" s="1084">
        <f t="shared" si="148"/>
        <v>0.15966042473502398</v>
      </c>
      <c r="K246" s="1084">
        <f t="shared" si="148"/>
        <v>0.18243667652604004</v>
      </c>
      <c r="L246" s="1084">
        <f t="shared" si="148"/>
        <v>0.19317596302031562</v>
      </c>
      <c r="M246" s="1084">
        <f t="shared" si="148"/>
        <v>0.19513280261409557</v>
      </c>
      <c r="N246" s="1084">
        <f t="shared" si="148"/>
        <v>0.19052838164099026</v>
      </c>
      <c r="O246" s="1084">
        <f t="shared" si="148"/>
        <v>0.18092848475150125</v>
      </c>
    </row>
    <row r="247" spans="1:15" x14ac:dyDescent="0.6">
      <c r="A247" s="168"/>
      <c r="B247" s="94"/>
      <c r="C247" s="1085"/>
      <c r="D247" s="1085"/>
      <c r="E247" s="1086"/>
      <c r="F247" s="1083"/>
      <c r="G247" s="1081"/>
      <c r="H247" s="1081"/>
      <c r="I247" s="1081"/>
      <c r="J247" s="1081"/>
      <c r="K247" s="1081"/>
      <c r="L247" s="1081"/>
      <c r="M247" s="1081"/>
      <c r="N247" s="1081"/>
      <c r="O247" s="1081"/>
    </row>
    <row r="248" spans="1:15" x14ac:dyDescent="0.6">
      <c r="A248" s="1019" t="s">
        <v>293</v>
      </c>
      <c r="B248" s="1022"/>
      <c r="C248" s="1088">
        <v>1.9099999999999999E-2</v>
      </c>
      <c r="D248" s="1088">
        <v>1.9099999999999999E-2</v>
      </c>
      <c r="E248" s="1059">
        <v>1.9099999999999999E-2</v>
      </c>
      <c r="F248" s="1087">
        <f>E248</f>
        <v>1.9099999999999999E-2</v>
      </c>
      <c r="G248" s="279">
        <f>F248-0.1%</f>
        <v>1.8099999999999998E-2</v>
      </c>
      <c r="H248" s="279">
        <f>G248-0.1%</f>
        <v>1.7099999999999997E-2</v>
      </c>
      <c r="I248" s="279">
        <f>H248-0.1%</f>
        <v>1.6099999999999996E-2</v>
      </c>
      <c r="J248" s="279">
        <f>I248-0.1%</f>
        <v>1.5099999999999995E-2</v>
      </c>
      <c r="K248" s="279">
        <f t="shared" ref="K248:O249" si="149">J248</f>
        <v>1.5099999999999995E-2</v>
      </c>
      <c r="L248" s="279">
        <f t="shared" si="149"/>
        <v>1.5099999999999995E-2</v>
      </c>
      <c r="M248" s="279">
        <f t="shared" si="149"/>
        <v>1.5099999999999995E-2</v>
      </c>
      <c r="N248" s="279">
        <f t="shared" si="149"/>
        <v>1.5099999999999995E-2</v>
      </c>
      <c r="O248" s="279">
        <f t="shared" si="149"/>
        <v>1.5099999999999995E-2</v>
      </c>
    </row>
    <row r="249" spans="1:15" x14ac:dyDescent="0.6">
      <c r="A249" s="1019" t="s">
        <v>294</v>
      </c>
      <c r="B249" s="1022"/>
      <c r="C249" s="1088">
        <v>1.15E-2</v>
      </c>
      <c r="D249" s="1088">
        <v>1.15E-2</v>
      </c>
      <c r="E249" s="1059">
        <v>1.15E-2</v>
      </c>
      <c r="F249" s="1087">
        <f>E249</f>
        <v>1.15E-2</v>
      </c>
      <c r="G249" s="279">
        <f>F249-0.25%</f>
        <v>8.9999999999999993E-3</v>
      </c>
      <c r="H249" s="279">
        <f>G249-0.25%</f>
        <v>6.4999999999999988E-3</v>
      </c>
      <c r="I249" s="279">
        <f>H249-0.15%</f>
        <v>4.9999999999999992E-3</v>
      </c>
      <c r="J249" s="279">
        <f>I249</f>
        <v>4.9999999999999992E-3</v>
      </c>
      <c r="K249" s="279">
        <f t="shared" si="149"/>
        <v>4.9999999999999992E-3</v>
      </c>
      <c r="L249" s="279">
        <f t="shared" si="149"/>
        <v>4.9999999999999992E-3</v>
      </c>
      <c r="M249" s="279">
        <f t="shared" si="149"/>
        <v>4.9999999999999992E-3</v>
      </c>
      <c r="N249" s="279">
        <f t="shared" si="149"/>
        <v>4.9999999999999992E-3</v>
      </c>
      <c r="O249" s="279">
        <f t="shared" si="149"/>
        <v>4.9999999999999992E-3</v>
      </c>
    </row>
    <row r="250" spans="1:15" x14ac:dyDescent="0.6">
      <c r="A250" s="1023"/>
      <c r="B250" s="1023"/>
      <c r="C250" s="149"/>
      <c r="D250" s="1030"/>
      <c r="E250" s="1025"/>
      <c r="F250" s="1057"/>
      <c r="G250" s="1058"/>
      <c r="H250" s="1058"/>
      <c r="I250" s="1058"/>
      <c r="J250" s="1058"/>
      <c r="K250" s="1058"/>
      <c r="L250" s="1058"/>
      <c r="M250" s="1058"/>
      <c r="N250" s="1058"/>
      <c r="O250" s="1058"/>
    </row>
    <row r="251" spans="1:15" x14ac:dyDescent="0.6">
      <c r="A251" s="1019" t="s">
        <v>237</v>
      </c>
      <c r="B251" s="1023"/>
      <c r="C251" s="59">
        <v>0</v>
      </c>
      <c r="D251" s="59">
        <v>0</v>
      </c>
      <c r="E251" s="1069">
        <f t="shared" ref="E251:O251" si="150">((E248*E238)+(E249*E239))*1000</f>
        <v>0</v>
      </c>
      <c r="F251" s="1069">
        <f t="shared" si="150"/>
        <v>18.270857142857142</v>
      </c>
      <c r="G251" s="1068">
        <f t="shared" si="150"/>
        <v>50.241715817694377</v>
      </c>
      <c r="H251" s="1068">
        <f t="shared" si="150"/>
        <v>199.94025267364137</v>
      </c>
      <c r="I251" s="1068">
        <f t="shared" si="150"/>
        <v>314.51794955403903</v>
      </c>
      <c r="J251" s="1068">
        <f t="shared" si="150"/>
        <v>437.29333961461731</v>
      </c>
      <c r="K251" s="1068">
        <f t="shared" si="150"/>
        <v>549.64264341982187</v>
      </c>
      <c r="L251" s="1068">
        <f t="shared" si="150"/>
        <v>634.37761742774262</v>
      </c>
      <c r="M251" s="1068">
        <f t="shared" si="150"/>
        <v>692.06805498163533</v>
      </c>
      <c r="N251" s="1068">
        <f t="shared" si="150"/>
        <v>723.03942272165546</v>
      </c>
      <c r="O251" s="1068">
        <f t="shared" si="150"/>
        <v>727.80512595774962</v>
      </c>
    </row>
    <row r="252" spans="1:15" x14ac:dyDescent="0.6">
      <c r="A252" s="1019" t="s">
        <v>238</v>
      </c>
      <c r="B252" s="1023"/>
      <c r="C252" s="181"/>
      <c r="D252" s="181"/>
      <c r="E252" s="1091"/>
      <c r="F252" s="1091">
        <f>(F251/1000)/F234</f>
        <v>1.6059999999999998E-2</v>
      </c>
      <c r="G252" s="1092">
        <f t="shared" ref="G252:O252" si="151">(G251/1000)/G234</f>
        <v>1.4459999999999999E-2</v>
      </c>
      <c r="H252" s="1092">
        <f t="shared" si="151"/>
        <v>1.2859999999999998E-2</v>
      </c>
      <c r="I252" s="1092">
        <f t="shared" si="151"/>
        <v>1.1659999999999997E-2</v>
      </c>
      <c r="J252" s="1092">
        <f t="shared" si="151"/>
        <v>1.1059999999999997E-2</v>
      </c>
      <c r="K252" s="1092">
        <f t="shared" si="151"/>
        <v>1.1059999999999999E-2</v>
      </c>
      <c r="L252" s="1092">
        <f t="shared" si="151"/>
        <v>1.1059999999999997E-2</v>
      </c>
      <c r="M252" s="1092">
        <f t="shared" si="151"/>
        <v>1.1059999999999995E-2</v>
      </c>
      <c r="N252" s="1092">
        <f t="shared" si="151"/>
        <v>1.1059999999999995E-2</v>
      </c>
      <c r="O252" s="1092">
        <f t="shared" si="151"/>
        <v>1.1059999999999995E-2</v>
      </c>
    </row>
    <row r="253" spans="1:15" x14ac:dyDescent="0.6">
      <c r="A253" s="1023"/>
      <c r="B253" s="1023"/>
      <c r="C253" s="149"/>
      <c r="D253" s="1030"/>
      <c r="E253" s="1025"/>
      <c r="F253" s="1057"/>
      <c r="G253" s="1058"/>
      <c r="H253" s="1058"/>
      <c r="I253" s="1058"/>
      <c r="J253" s="1058"/>
      <c r="K253" s="1058"/>
      <c r="L253" s="1058"/>
      <c r="M253" s="1058"/>
      <c r="N253" s="1058"/>
      <c r="O253" s="1058"/>
    </row>
    <row r="254" spans="1:15" x14ac:dyDescent="0.6">
      <c r="A254" s="1023"/>
      <c r="B254" s="1023"/>
      <c r="C254" s="149"/>
      <c r="D254" s="1030"/>
      <c r="E254" s="1025"/>
      <c r="F254" s="1057"/>
      <c r="G254" s="1058"/>
      <c r="H254" s="1058"/>
      <c r="I254" s="1058"/>
      <c r="J254" s="1058"/>
      <c r="K254" s="1058"/>
      <c r="L254" s="1058"/>
      <c r="M254" s="1058"/>
      <c r="N254" s="1058"/>
      <c r="O254" s="1058"/>
    </row>
    <row r="255" spans="1:15" x14ac:dyDescent="0.6">
      <c r="A255" s="40" t="s">
        <v>230</v>
      </c>
      <c r="B255" s="1023"/>
      <c r="C255" s="149"/>
      <c r="D255" s="1030"/>
      <c r="E255" s="1025"/>
      <c r="F255" s="1057"/>
      <c r="G255" s="1058"/>
      <c r="H255" s="1058"/>
      <c r="I255" s="1058"/>
      <c r="J255" s="1058"/>
      <c r="K255" s="1058"/>
      <c r="L255" s="1058"/>
      <c r="M255" s="1058"/>
      <c r="N255" s="1058"/>
      <c r="O255" s="1058"/>
    </row>
    <row r="256" spans="1:15" x14ac:dyDescent="0.6">
      <c r="A256" s="40"/>
      <c r="B256" s="1023"/>
      <c r="C256" s="149"/>
      <c r="D256" s="1030"/>
      <c r="E256" s="1025"/>
      <c r="F256" s="1057"/>
      <c r="G256" s="1058"/>
      <c r="H256" s="1058"/>
      <c r="I256" s="1058"/>
      <c r="J256" s="1058"/>
      <c r="K256" s="1058"/>
      <c r="L256" s="1058"/>
      <c r="M256" s="1058"/>
      <c r="N256" s="1058"/>
      <c r="O256" s="1058"/>
    </row>
    <row r="257" spans="1:15" x14ac:dyDescent="0.6">
      <c r="A257" s="1019" t="s">
        <v>1314</v>
      </c>
      <c r="B257" s="1023"/>
      <c r="C257" s="1015">
        <f>C25</f>
        <v>0</v>
      </c>
      <c r="D257" s="1015">
        <f>D25</f>
        <v>0</v>
      </c>
      <c r="E257" s="1015">
        <f>E25</f>
        <v>0</v>
      </c>
      <c r="F257" s="1015">
        <f>F25</f>
        <v>1.8552875695732854E-3</v>
      </c>
      <c r="G257" s="1015">
        <f>G25</f>
        <v>6.7024128686325535E-3</v>
      </c>
      <c r="H257" s="1038">
        <f>H258/H185</f>
        <v>2.5066419334141644E-2</v>
      </c>
      <c r="I257" s="1038">
        <f t="shared" ref="I257:O257" si="152">I258/I185</f>
        <v>4.1897403060895962E-2</v>
      </c>
      <c r="J257" s="1038">
        <f t="shared" si="152"/>
        <v>5.3998553379405505E-2</v>
      </c>
      <c r="K257" s="1038">
        <f t="shared" si="152"/>
        <v>5.2596396912200201E-2</v>
      </c>
      <c r="L257" s="1038">
        <f t="shared" si="152"/>
        <v>4.9728344548871643E-2</v>
      </c>
      <c r="M257" s="1038">
        <f t="shared" si="152"/>
        <v>4.5689602993168606E-2</v>
      </c>
      <c r="N257" s="1038">
        <f t="shared" si="152"/>
        <v>4.1856014179366727E-2</v>
      </c>
      <c r="O257" s="1038">
        <f t="shared" si="152"/>
        <v>3.8145680995117774E-2</v>
      </c>
    </row>
    <row r="258" spans="1:15" x14ac:dyDescent="0.6">
      <c r="A258" s="1019" t="s">
        <v>157</v>
      </c>
      <c r="B258" s="1023"/>
      <c r="C258" s="211">
        <f>C257*C185</f>
        <v>0</v>
      </c>
      <c r="D258" s="211">
        <f>D257*D185</f>
        <v>0</v>
      </c>
      <c r="E258" s="211">
        <f>E257*E185</f>
        <v>0</v>
      </c>
      <c r="F258" s="211">
        <f>F257*F185</f>
        <v>8.1261595547309898E-2</v>
      </c>
      <c r="G258" s="211">
        <f>G257*G185</f>
        <v>0.54289544235923681</v>
      </c>
      <c r="H258" s="211">
        <f t="shared" ref="H258:O258" si="153">H270*H268</f>
        <v>3.2062009735581389</v>
      </c>
      <c r="I258" s="211">
        <f t="shared" si="153"/>
        <v>6.9094063514194479</v>
      </c>
      <c r="J258" s="211">
        <f t="shared" si="153"/>
        <v>12.102820411026299</v>
      </c>
      <c r="K258" s="211">
        <f t="shared" si="153"/>
        <v>14.005770098740234</v>
      </c>
      <c r="L258" s="211">
        <f t="shared" si="153"/>
        <v>15.677195171406655</v>
      </c>
      <c r="M258" s="211">
        <f t="shared" si="153"/>
        <v>16.007547073673226</v>
      </c>
      <c r="N258" s="211">
        <f t="shared" si="153"/>
        <v>16.17138250887367</v>
      </c>
      <c r="O258" s="211">
        <f t="shared" si="153"/>
        <v>16.16265812810024</v>
      </c>
    </row>
    <row r="259" spans="1:15" x14ac:dyDescent="0.6">
      <c r="A259" s="1018" t="s">
        <v>289</v>
      </c>
      <c r="B259" s="1023"/>
      <c r="C259" s="1032">
        <v>0.71</v>
      </c>
      <c r="D259" s="1032">
        <v>0.7</v>
      </c>
      <c r="E259" s="1073">
        <v>0.63</v>
      </c>
      <c r="F259" s="1073">
        <v>0.6</v>
      </c>
      <c r="G259" s="1073">
        <v>0.6</v>
      </c>
      <c r="H259" s="1024">
        <f t="shared" ref="H259:O259" si="154">G259</f>
        <v>0.6</v>
      </c>
      <c r="I259" s="1024">
        <f t="shared" si="154"/>
        <v>0.6</v>
      </c>
      <c r="J259" s="1024">
        <f t="shared" si="154"/>
        <v>0.6</v>
      </c>
      <c r="K259" s="1024">
        <f t="shared" si="154"/>
        <v>0.6</v>
      </c>
      <c r="L259" s="1024">
        <f t="shared" si="154"/>
        <v>0.6</v>
      </c>
      <c r="M259" s="1024">
        <f t="shared" si="154"/>
        <v>0.6</v>
      </c>
      <c r="N259" s="1024">
        <f t="shared" si="154"/>
        <v>0.6</v>
      </c>
      <c r="O259" s="1024">
        <f t="shared" si="154"/>
        <v>0.6</v>
      </c>
    </row>
    <row r="260" spans="1:15" x14ac:dyDescent="0.6">
      <c r="A260" s="1018" t="s">
        <v>290</v>
      </c>
      <c r="B260" s="1023"/>
      <c r="C260" s="272">
        <f t="shared" ref="C260:O260" si="155">1-C259</f>
        <v>0.29000000000000004</v>
      </c>
      <c r="D260" s="272">
        <f t="shared" si="155"/>
        <v>0.30000000000000004</v>
      </c>
      <c r="E260" s="378">
        <f t="shared" si="155"/>
        <v>0.37</v>
      </c>
      <c r="F260" s="378">
        <f t="shared" si="155"/>
        <v>0.4</v>
      </c>
      <c r="G260" s="378">
        <f>1-G259</f>
        <v>0.4</v>
      </c>
      <c r="H260" s="272">
        <f t="shared" si="155"/>
        <v>0.4</v>
      </c>
      <c r="I260" s="272">
        <f t="shared" si="155"/>
        <v>0.4</v>
      </c>
      <c r="J260" s="272">
        <f t="shared" si="155"/>
        <v>0.4</v>
      </c>
      <c r="K260" s="272">
        <f t="shared" si="155"/>
        <v>0.4</v>
      </c>
      <c r="L260" s="272">
        <f t="shared" si="155"/>
        <v>0.4</v>
      </c>
      <c r="M260" s="272">
        <f t="shared" si="155"/>
        <v>0.4</v>
      </c>
      <c r="N260" s="272">
        <f t="shared" si="155"/>
        <v>0.4</v>
      </c>
      <c r="O260" s="272">
        <f t="shared" si="155"/>
        <v>0.4</v>
      </c>
    </row>
    <row r="261" spans="1:15" x14ac:dyDescent="0.6">
      <c r="A261" s="1018"/>
      <c r="B261" s="1023"/>
      <c r="C261" s="149"/>
      <c r="D261" s="1030"/>
      <c r="E261" s="1025"/>
      <c r="F261" s="1057"/>
      <c r="G261" s="1058"/>
      <c r="H261" s="1058"/>
      <c r="I261" s="1058"/>
      <c r="J261" s="1058"/>
      <c r="K261" s="1058"/>
      <c r="L261" s="1058"/>
      <c r="M261" s="1058"/>
      <c r="N261" s="1058"/>
      <c r="O261" s="1058"/>
    </row>
    <row r="262" spans="1:15" x14ac:dyDescent="0.6">
      <c r="A262" s="1018" t="s">
        <v>291</v>
      </c>
      <c r="B262" s="1023"/>
      <c r="C262" s="211">
        <f t="shared" ref="C262:O262" si="156">C259*C$258</f>
        <v>0</v>
      </c>
      <c r="D262" s="211">
        <f t="shared" si="156"/>
        <v>0</v>
      </c>
      <c r="E262" s="211">
        <f t="shared" si="156"/>
        <v>0</v>
      </c>
      <c r="F262" s="211">
        <f t="shared" si="156"/>
        <v>4.875695732838594E-2</v>
      </c>
      <c r="G262" s="211">
        <f t="shared" si="156"/>
        <v>0.3257372654155421</v>
      </c>
      <c r="H262" s="211">
        <f t="shared" si="156"/>
        <v>1.9237205841348832</v>
      </c>
      <c r="I262" s="211">
        <f t="shared" si="156"/>
        <v>4.1456438108516682</v>
      </c>
      <c r="J262" s="211">
        <f t="shared" si="156"/>
        <v>7.2616922466157785</v>
      </c>
      <c r="K262" s="211">
        <f t="shared" si="156"/>
        <v>8.4034620592441396</v>
      </c>
      <c r="L262" s="211">
        <f t="shared" si="156"/>
        <v>9.4063171028439925</v>
      </c>
      <c r="M262" s="211">
        <f t="shared" si="156"/>
        <v>9.6045282442039355</v>
      </c>
      <c r="N262" s="211">
        <f t="shared" si="156"/>
        <v>9.7028295053242015</v>
      </c>
      <c r="O262" s="211">
        <f t="shared" si="156"/>
        <v>9.6975948768601441</v>
      </c>
    </row>
    <row r="263" spans="1:15" x14ac:dyDescent="0.6">
      <c r="A263" s="1018" t="s">
        <v>292</v>
      </c>
      <c r="B263" s="1023"/>
      <c r="C263" s="211">
        <f t="shared" ref="C263:O263" si="157">C260*C$258</f>
        <v>0</v>
      </c>
      <c r="D263" s="211">
        <f t="shared" si="157"/>
        <v>0</v>
      </c>
      <c r="E263" s="211">
        <f t="shared" si="157"/>
        <v>0</v>
      </c>
      <c r="F263" s="211">
        <f t="shared" si="157"/>
        <v>3.2504638218923958E-2</v>
      </c>
      <c r="G263" s="211">
        <f t="shared" si="157"/>
        <v>0.21715817694369474</v>
      </c>
      <c r="H263" s="211">
        <f t="shared" si="157"/>
        <v>1.2824803894232557</v>
      </c>
      <c r="I263" s="211">
        <f t="shared" si="157"/>
        <v>2.7637625405677793</v>
      </c>
      <c r="J263" s="211">
        <f t="shared" si="157"/>
        <v>4.8411281644105202</v>
      </c>
      <c r="K263" s="211">
        <f t="shared" si="157"/>
        <v>5.6023080394960942</v>
      </c>
      <c r="L263" s="211">
        <f t="shared" si="157"/>
        <v>6.2708780685626628</v>
      </c>
      <c r="M263" s="211">
        <f t="shared" si="157"/>
        <v>6.4030188294692909</v>
      </c>
      <c r="N263" s="211">
        <f t="shared" si="157"/>
        <v>6.4685530035494683</v>
      </c>
      <c r="O263" s="211">
        <f t="shared" si="157"/>
        <v>6.4650632512400961</v>
      </c>
    </row>
    <row r="264" spans="1:15" x14ac:dyDescent="0.6">
      <c r="A264" s="1018"/>
      <c r="B264" s="1023"/>
      <c r="C264" s="149"/>
      <c r="D264" s="1030"/>
      <c r="E264" s="1025"/>
      <c r="F264" s="1057"/>
      <c r="G264" s="1058"/>
      <c r="H264" s="1058"/>
      <c r="I264" s="1058"/>
      <c r="J264" s="1058"/>
      <c r="K264" s="1058"/>
      <c r="L264" s="1058"/>
      <c r="M264" s="1058"/>
      <c r="N264" s="1058"/>
      <c r="O264" s="1058"/>
    </row>
    <row r="265" spans="1:15" x14ac:dyDescent="0.6">
      <c r="A265" s="1019" t="s">
        <v>296</v>
      </c>
      <c r="B265" s="1022"/>
      <c r="C265" s="173">
        <v>249000</v>
      </c>
      <c r="D265" s="59">
        <f t="shared" ref="D265:O265" si="158">C265*(1+D266)</f>
        <v>286350</v>
      </c>
      <c r="E265" s="59">
        <f t="shared" si="158"/>
        <v>325723.125</v>
      </c>
      <c r="F265" s="59">
        <f t="shared" si="158"/>
        <v>366438.515625</v>
      </c>
      <c r="G265" s="59">
        <f t="shared" si="158"/>
        <v>407662.8486328125</v>
      </c>
      <c r="H265" s="59">
        <f t="shared" si="158"/>
        <v>448429.1334960938</v>
      </c>
      <c r="I265" s="59">
        <f t="shared" si="158"/>
        <v>487666.68267700198</v>
      </c>
      <c r="J265" s="59">
        <f t="shared" si="158"/>
        <v>524241.68387777713</v>
      </c>
      <c r="K265" s="59">
        <f t="shared" si="158"/>
        <v>557006.78912013816</v>
      </c>
      <c r="L265" s="59">
        <f t="shared" si="158"/>
        <v>584857.12857614504</v>
      </c>
      <c r="M265" s="59">
        <f t="shared" si="158"/>
        <v>606789.27089775051</v>
      </c>
      <c r="N265" s="59">
        <f t="shared" si="158"/>
        <v>621959.00267019426</v>
      </c>
      <c r="O265" s="59">
        <f t="shared" si="158"/>
        <v>629733.49020357162</v>
      </c>
    </row>
    <row r="266" spans="1:15" x14ac:dyDescent="0.6">
      <c r="A266" s="1023" t="s">
        <v>261</v>
      </c>
      <c r="B266" s="1023"/>
      <c r="C266" s="149"/>
      <c r="D266" s="316">
        <v>0.15</v>
      </c>
      <c r="E266" s="1025">
        <f t="shared" ref="E266:O266" si="159">D266-1.25%</f>
        <v>0.13749999999999998</v>
      </c>
      <c r="F266" s="1025">
        <f t="shared" si="159"/>
        <v>0.12499999999999999</v>
      </c>
      <c r="G266" s="1025">
        <f t="shared" si="159"/>
        <v>0.11249999999999999</v>
      </c>
      <c r="H266" s="1025">
        <f t="shared" si="159"/>
        <v>9.9999999999999992E-2</v>
      </c>
      <c r="I266" s="1025">
        <f t="shared" si="159"/>
        <v>8.7499999999999994E-2</v>
      </c>
      <c r="J266" s="1025">
        <f t="shared" si="159"/>
        <v>7.4999999999999997E-2</v>
      </c>
      <c r="K266" s="1025">
        <f t="shared" si="159"/>
        <v>6.25E-2</v>
      </c>
      <c r="L266" s="1025">
        <f t="shared" si="159"/>
        <v>0.05</v>
      </c>
      <c r="M266" s="1025">
        <f t="shared" si="159"/>
        <v>3.7500000000000006E-2</v>
      </c>
      <c r="N266" s="1025">
        <f t="shared" si="159"/>
        <v>2.5000000000000005E-2</v>
      </c>
      <c r="O266" s="1025">
        <f t="shared" si="159"/>
        <v>1.2500000000000004E-2</v>
      </c>
    </row>
    <row r="267" spans="1:15" x14ac:dyDescent="0.6">
      <c r="A267" s="1023" t="s">
        <v>300</v>
      </c>
      <c r="B267" s="1023"/>
      <c r="C267" s="173">
        <v>2956.43</v>
      </c>
      <c r="D267" s="173">
        <v>3281.09</v>
      </c>
      <c r="E267" s="1090">
        <v>3693.36</v>
      </c>
      <c r="F267" s="173">
        <v>3749</v>
      </c>
      <c r="G267" s="173">
        <v>4260</v>
      </c>
      <c r="H267" s="97">
        <f t="shared" ref="H267:O267" si="160">G267</f>
        <v>4260</v>
      </c>
      <c r="I267" s="97">
        <f t="shared" si="160"/>
        <v>4260</v>
      </c>
      <c r="J267" s="97">
        <f t="shared" si="160"/>
        <v>4260</v>
      </c>
      <c r="K267" s="97">
        <f t="shared" si="160"/>
        <v>4260</v>
      </c>
      <c r="L267" s="97">
        <f t="shared" si="160"/>
        <v>4260</v>
      </c>
      <c r="M267" s="97">
        <f t="shared" si="160"/>
        <v>4260</v>
      </c>
      <c r="N267" s="97">
        <f t="shared" si="160"/>
        <v>4260</v>
      </c>
      <c r="O267" s="97">
        <f t="shared" si="160"/>
        <v>4260</v>
      </c>
    </row>
    <row r="268" spans="1:15" x14ac:dyDescent="0.6">
      <c r="A268" s="1019" t="s">
        <v>295</v>
      </c>
      <c r="B268" s="1023"/>
      <c r="C268" s="97">
        <f t="shared" ref="C268:O268" si="161">C265/C267</f>
        <v>84.223201631697691</v>
      </c>
      <c r="D268" s="97">
        <f t="shared" si="161"/>
        <v>87.272827017850773</v>
      </c>
      <c r="E268" s="97">
        <f t="shared" si="161"/>
        <v>88.191545097147312</v>
      </c>
      <c r="F268" s="97">
        <f t="shared" si="161"/>
        <v>97.743002300613497</v>
      </c>
      <c r="G268" s="97">
        <f t="shared" si="161"/>
        <v>95.695504373899652</v>
      </c>
      <c r="H268" s="97">
        <f t="shared" si="161"/>
        <v>105.26505481128963</v>
      </c>
      <c r="I268" s="97">
        <f t="shared" si="161"/>
        <v>114.47574710727746</v>
      </c>
      <c r="J268" s="97">
        <f t="shared" si="161"/>
        <v>123.06142814032327</v>
      </c>
      <c r="K268" s="97">
        <f t="shared" si="161"/>
        <v>130.75276739909347</v>
      </c>
      <c r="L268" s="97">
        <f t="shared" si="161"/>
        <v>137.29040576904814</v>
      </c>
      <c r="M268" s="97">
        <f t="shared" si="161"/>
        <v>142.43879598538746</v>
      </c>
      <c r="N268" s="97">
        <f t="shared" si="161"/>
        <v>145.99976588502213</v>
      </c>
      <c r="O268" s="97">
        <f t="shared" si="161"/>
        <v>147.8247629585849</v>
      </c>
    </row>
    <row r="269" spans="1:15" x14ac:dyDescent="0.6">
      <c r="A269" s="1023"/>
      <c r="B269" s="1023"/>
      <c r="C269" s="178"/>
      <c r="D269" s="1078"/>
      <c r="E269" s="1078"/>
      <c r="F269" s="1078"/>
      <c r="G269" s="1079"/>
      <c r="H269" s="1079"/>
      <c r="I269" s="1079"/>
      <c r="J269" s="1079"/>
      <c r="K269" s="1079"/>
      <c r="L269" s="1079"/>
      <c r="M269" s="1079"/>
      <c r="N269" s="1079"/>
      <c r="O269" s="1079"/>
    </row>
    <row r="270" spans="1:15" x14ac:dyDescent="0.6">
      <c r="A270" s="168" t="s">
        <v>297</v>
      </c>
      <c r="B270" s="94"/>
      <c r="C270" s="1081">
        <f>C258/C268</f>
        <v>0</v>
      </c>
      <c r="D270" s="1081">
        <f>D258/D268</f>
        <v>0</v>
      </c>
      <c r="E270" s="1082">
        <f>E258/E268</f>
        <v>0</v>
      </c>
      <c r="F270" s="1082">
        <f>F258/F268</f>
        <v>8.3138018717069685E-4</v>
      </c>
      <c r="G270" s="1082">
        <f>G258/G268</f>
        <v>5.6731551383860839E-3</v>
      </c>
      <c r="H270" s="1084">
        <f>H165</f>
        <v>3.0458360367606775E-2</v>
      </c>
      <c r="I270" s="1084">
        <f t="shared" ref="I270:O270" si="162">I165</f>
        <v>6.0356944820325206E-2</v>
      </c>
      <c r="J270" s="1084">
        <f t="shared" si="162"/>
        <v>9.8347797469291634E-2</v>
      </c>
      <c r="K270" s="1084">
        <f t="shared" si="162"/>
        <v>0.10711643338294144</v>
      </c>
      <c r="L270" s="1084">
        <f t="shared" si="162"/>
        <v>0.11419002721704424</v>
      </c>
      <c r="M270" s="1084">
        <f t="shared" si="162"/>
        <v>0.11238193192334631</v>
      </c>
      <c r="N270" s="1084">
        <f t="shared" si="162"/>
        <v>0.11076307150799797</v>
      </c>
      <c r="O270" s="1084">
        <f t="shared" si="162"/>
        <v>0.10933660778220512</v>
      </c>
    </row>
    <row r="271" spans="1:15" x14ac:dyDescent="0.6">
      <c r="A271" s="168"/>
      <c r="B271" s="94"/>
      <c r="C271" s="1085"/>
      <c r="D271" s="1085"/>
      <c r="E271" s="1086"/>
      <c r="F271" s="1083"/>
      <c r="G271" s="1081"/>
      <c r="H271" s="1081"/>
      <c r="I271" s="1081"/>
      <c r="J271" s="1081"/>
      <c r="K271" s="1081"/>
      <c r="L271" s="1081"/>
      <c r="M271" s="1081"/>
      <c r="N271" s="1081"/>
      <c r="O271" s="1081"/>
    </row>
    <row r="272" spans="1:15" x14ac:dyDescent="0.6">
      <c r="A272" s="1019" t="s">
        <v>293</v>
      </c>
      <c r="B272" s="1022"/>
      <c r="C272" s="1088">
        <v>1.35E-2</v>
      </c>
      <c r="D272" s="1088">
        <v>1.35E-2</v>
      </c>
      <c r="E272" s="1088">
        <v>1.35E-2</v>
      </c>
      <c r="F272" s="1087">
        <f t="shared" ref="F272:O272" si="163">E272</f>
        <v>1.35E-2</v>
      </c>
      <c r="G272" s="1087">
        <f t="shared" si="163"/>
        <v>1.35E-2</v>
      </c>
      <c r="H272" s="1087">
        <f t="shared" si="163"/>
        <v>1.35E-2</v>
      </c>
      <c r="I272" s="1087">
        <f t="shared" si="163"/>
        <v>1.35E-2</v>
      </c>
      <c r="J272" s="1087">
        <f t="shared" si="163"/>
        <v>1.35E-2</v>
      </c>
      <c r="K272" s="1087">
        <f t="shared" si="163"/>
        <v>1.35E-2</v>
      </c>
      <c r="L272" s="1087">
        <f t="shared" si="163"/>
        <v>1.35E-2</v>
      </c>
      <c r="M272" s="1087">
        <f t="shared" si="163"/>
        <v>1.35E-2</v>
      </c>
      <c r="N272" s="1087">
        <f t="shared" si="163"/>
        <v>1.35E-2</v>
      </c>
      <c r="O272" s="1087">
        <f t="shared" si="163"/>
        <v>1.35E-2</v>
      </c>
    </row>
    <row r="273" spans="1:16" x14ac:dyDescent="0.6">
      <c r="A273" s="1019" t="s">
        <v>294</v>
      </c>
      <c r="B273" s="1022"/>
      <c r="C273" s="1088">
        <v>5.0000000000000001E-3</v>
      </c>
      <c r="D273" s="1088">
        <v>5.0000000000000001E-3</v>
      </c>
      <c r="E273" s="1059">
        <v>5.0000000000000001E-3</v>
      </c>
      <c r="F273" s="1087">
        <v>5.0000000000000001E-3</v>
      </c>
      <c r="G273" s="279">
        <v>5.0000000000000001E-3</v>
      </c>
      <c r="H273" s="279">
        <v>5.0000000000000001E-3</v>
      </c>
      <c r="I273" s="279">
        <v>5.0000000000000001E-3</v>
      </c>
      <c r="J273" s="279">
        <v>5.0000000000000001E-3</v>
      </c>
      <c r="K273" s="279">
        <v>5.0000000000000001E-3</v>
      </c>
      <c r="L273" s="279">
        <v>5.0000000000000001E-3</v>
      </c>
      <c r="M273" s="279">
        <v>5.0000000000000001E-3</v>
      </c>
      <c r="N273" s="279">
        <v>5.0000000000000001E-3</v>
      </c>
      <c r="O273" s="279">
        <v>5.0000000000000001E-3</v>
      </c>
    </row>
    <row r="274" spans="1:16" x14ac:dyDescent="0.6">
      <c r="A274" s="1023"/>
      <c r="B274" s="1023"/>
      <c r="C274" s="149"/>
      <c r="D274" s="1030"/>
      <c r="E274" s="1025"/>
      <c r="F274" s="1057"/>
      <c r="G274" s="1058"/>
      <c r="H274" s="1058"/>
      <c r="I274" s="1058"/>
      <c r="J274" s="1058"/>
      <c r="K274" s="1058"/>
      <c r="L274" s="1058"/>
      <c r="M274" s="1058"/>
      <c r="N274" s="1058"/>
      <c r="O274" s="1058"/>
    </row>
    <row r="275" spans="1:16" x14ac:dyDescent="0.6">
      <c r="A275" s="1019" t="s">
        <v>237</v>
      </c>
      <c r="B275" s="1023"/>
      <c r="C275" s="59">
        <v>0</v>
      </c>
      <c r="D275" s="59">
        <v>0</v>
      </c>
      <c r="E275" s="1069">
        <f t="shared" ref="E275:O275" si="164">((E272*E262)+(E273*E263))*1000</f>
        <v>0</v>
      </c>
      <c r="F275" s="1069">
        <f t="shared" si="164"/>
        <v>0.82074211502783001</v>
      </c>
      <c r="G275" s="1068">
        <f t="shared" si="164"/>
        <v>5.483243967828292</v>
      </c>
      <c r="H275" s="1068">
        <f t="shared" si="164"/>
        <v>32.382629832937198</v>
      </c>
      <c r="I275" s="1068">
        <f t="shared" si="164"/>
        <v>69.785004149336416</v>
      </c>
      <c r="J275" s="1068">
        <f t="shared" si="164"/>
        <v>122.23848615136562</v>
      </c>
      <c r="K275" s="1068">
        <f t="shared" si="164"/>
        <v>141.45827799727635</v>
      </c>
      <c r="L275" s="1068">
        <f t="shared" si="164"/>
        <v>158.33967123120721</v>
      </c>
      <c r="M275" s="1068">
        <f t="shared" si="164"/>
        <v>161.6762254440996</v>
      </c>
      <c r="N275" s="1068">
        <f t="shared" si="164"/>
        <v>163.33096333962405</v>
      </c>
      <c r="O275" s="1068">
        <f t="shared" si="164"/>
        <v>163.24284709381243</v>
      </c>
    </row>
    <row r="276" spans="1:16" x14ac:dyDescent="0.6">
      <c r="A276" s="1019" t="s">
        <v>238</v>
      </c>
      <c r="B276" s="1023"/>
      <c r="C276" s="181"/>
      <c r="D276" s="181"/>
      <c r="E276" s="268"/>
      <c r="F276" s="269">
        <f t="shared" ref="F276:O276" si="165">(F275/1000)/F258</f>
        <v>1.01E-2</v>
      </c>
      <c r="G276" s="269">
        <f t="shared" si="165"/>
        <v>1.01E-2</v>
      </c>
      <c r="H276" s="269">
        <f t="shared" si="165"/>
        <v>1.01E-2</v>
      </c>
      <c r="I276" s="269">
        <f t="shared" si="165"/>
        <v>1.01E-2</v>
      </c>
      <c r="J276" s="269">
        <f t="shared" si="165"/>
        <v>1.01E-2</v>
      </c>
      <c r="K276" s="269">
        <f t="shared" si="165"/>
        <v>1.01E-2</v>
      </c>
      <c r="L276" s="269">
        <f t="shared" si="165"/>
        <v>1.01E-2</v>
      </c>
      <c r="M276" s="269">
        <f t="shared" si="165"/>
        <v>1.0100000000000001E-2</v>
      </c>
      <c r="N276" s="269">
        <f t="shared" si="165"/>
        <v>1.01E-2</v>
      </c>
      <c r="O276" s="269">
        <f t="shared" si="165"/>
        <v>1.01E-2</v>
      </c>
    </row>
    <row r="277" spans="1:16" x14ac:dyDescent="0.6">
      <c r="A277" s="167"/>
      <c r="B277" s="92"/>
      <c r="C277" s="181"/>
      <c r="D277" s="181"/>
      <c r="E277" s="226"/>
      <c r="F277" s="226"/>
      <c r="G277" s="181"/>
      <c r="H277" s="181"/>
      <c r="I277" s="181"/>
      <c r="J277" s="181"/>
      <c r="K277" s="181"/>
      <c r="L277" s="181"/>
      <c r="M277" s="181"/>
      <c r="N277" s="181"/>
      <c r="O277" s="181"/>
    </row>
    <row r="278" spans="1:16" x14ac:dyDescent="0.6">
      <c r="A278" s="167"/>
      <c r="B278" s="92"/>
      <c r="C278" s="181"/>
      <c r="D278" s="181"/>
      <c r="E278" s="226"/>
      <c r="F278" s="226"/>
      <c r="G278" s="181"/>
      <c r="H278" s="181"/>
      <c r="I278" s="181"/>
      <c r="J278" s="181"/>
      <c r="K278" s="181"/>
      <c r="L278" s="181"/>
      <c r="M278" s="181"/>
      <c r="N278" s="181"/>
      <c r="O278" s="181"/>
    </row>
    <row r="279" spans="1:16" s="101" customFormat="1" ht="15.9" thickBot="1" x14ac:dyDescent="0.65">
      <c r="A279" s="198" t="s">
        <v>399</v>
      </c>
      <c r="B279" s="196"/>
      <c r="C279" s="197"/>
      <c r="D279" s="197"/>
      <c r="E279" s="197"/>
      <c r="F279" s="197"/>
      <c r="G279" s="197"/>
      <c r="H279" s="197"/>
      <c r="I279" s="197"/>
      <c r="J279" s="197"/>
      <c r="K279" s="197"/>
      <c r="L279" s="197"/>
      <c r="M279" s="197"/>
      <c r="N279" s="197"/>
      <c r="O279" s="197"/>
    </row>
    <row r="280" spans="1:16" x14ac:dyDescent="0.6">
      <c r="A280" s="167"/>
      <c r="B280" s="92"/>
      <c r="C280" s="181"/>
      <c r="D280" s="181"/>
      <c r="E280" s="226"/>
      <c r="F280" s="226"/>
      <c r="G280" s="181"/>
      <c r="H280" s="181"/>
      <c r="I280" s="181"/>
      <c r="J280" s="181"/>
      <c r="K280" s="181"/>
      <c r="L280" s="181"/>
      <c r="M280" s="181"/>
      <c r="N280" s="181"/>
      <c r="O280" s="181"/>
    </row>
    <row r="281" spans="1:16" x14ac:dyDescent="0.6">
      <c r="A281" s="167" t="s">
        <v>612</v>
      </c>
      <c r="B281" s="92"/>
      <c r="C281" s="181"/>
      <c r="D281" s="181"/>
      <c r="E281" s="378">
        <f>Summary!D23/(Summary!D23+Summary!D31+Summary!D39)</f>
        <v>1</v>
      </c>
      <c r="F281" s="378">
        <f>Summary!E23/(Summary!E23+Summary!E31+Summary!E39)</f>
        <v>0.9721706864564007</v>
      </c>
      <c r="G281" s="378">
        <f>Summary!F23/(Summary!F23+Summary!F31+Summary!F39)</f>
        <v>0.95040214477211815</v>
      </c>
      <c r="H281" s="378">
        <f>Summary!G23/(Summary!G23+Summary!G31+Summary!G39)</f>
        <v>0.88064215667177836</v>
      </c>
      <c r="I281" s="378">
        <f>Summary!H23/(Summary!H23+Summary!H31+Summary!H39)</f>
        <v>0.82184187224832139</v>
      </c>
      <c r="J281" s="378">
        <f>Summary!I23/(Summary!I23+Summary!I31+Summary!I39)</f>
        <v>0.77282874254086309</v>
      </c>
      <c r="K281" s="378">
        <f>Summary!J23/(Summary!J23+Summary!J31+Summary!J39)</f>
        <v>0.73868691630085759</v>
      </c>
      <c r="L281" s="378">
        <f>Summary!K23/(Summary!K23+Summary!K31+Summary!K39)</f>
        <v>0.71386187081957031</v>
      </c>
      <c r="M281" s="378">
        <f>Summary!L23/(Summary!L23+Summary!L31+Summary!L39)</f>
        <v>0.69816309095398232</v>
      </c>
      <c r="N281" s="378">
        <f>Summary!M23/(Summary!M23+Summary!M31+Summary!M39)</f>
        <v>0.68918719544067319</v>
      </c>
      <c r="O281" s="378">
        <f>Summary!N23/(Summary!N23+Summary!N31+Summary!N39)</f>
        <v>0.6860337510333101</v>
      </c>
    </row>
    <row r="282" spans="1:16" x14ac:dyDescent="0.6">
      <c r="A282" s="167"/>
      <c r="B282" s="92"/>
      <c r="C282" s="181"/>
      <c r="D282" s="181"/>
      <c r="E282" s="226"/>
      <c r="F282" s="226"/>
      <c r="G282" s="181"/>
      <c r="H282" s="181"/>
      <c r="I282" s="181"/>
      <c r="J282" s="181"/>
      <c r="K282" s="181"/>
      <c r="L282" s="181"/>
      <c r="M282" s="181"/>
      <c r="N282" s="181"/>
      <c r="O282" s="181"/>
    </row>
    <row r="283" spans="1:16" x14ac:dyDescent="0.6">
      <c r="A283" s="167" t="str">
        <f>'Revenue and Expenses breakdown'!A8</f>
        <v>Interest income – credit card</v>
      </c>
      <c r="C283" s="278">
        <f>'Revenue and Expenses breakdown'!B8</f>
        <v>128.5</v>
      </c>
      <c r="D283" s="211">
        <f>'Revenue and Expenses breakdown'!C8</f>
        <v>214.6</v>
      </c>
      <c r="E283" s="211">
        <f>'Revenue and Expenses breakdown'!D8</f>
        <v>217.5</v>
      </c>
      <c r="F283" s="211">
        <f>'Revenue and Expenses breakdown'!E8</f>
        <v>357</v>
      </c>
      <c r="G283" s="211">
        <f>'Revenue and Expenses breakdown'!F8</f>
        <v>1014.875</v>
      </c>
      <c r="H283" s="211">
        <f>'Revenue and Expenses breakdown'!G8</f>
        <v>2416.3429306511539</v>
      </c>
      <c r="I283" s="211">
        <f>'Revenue and Expenses breakdown'!H8</f>
        <v>3452.5218107423561</v>
      </c>
      <c r="J283" s="211">
        <f>'Revenue and Expenses breakdown'!I8</f>
        <v>4201.0839206008495</v>
      </c>
      <c r="K283" s="211">
        <f>'Revenue and Expenses breakdown'!J8</f>
        <v>4714.7589002941468</v>
      </c>
      <c r="L283" s="211">
        <f>'Revenue and Expenses breakdown'!K8</f>
        <v>4919.1324653571673</v>
      </c>
      <c r="M283" s="211">
        <f>'Revenue and Expenses breakdown'!L8</f>
        <v>4814.4490974593227</v>
      </c>
      <c r="N283" s="211">
        <f>'Revenue and Expenses breakdown'!M8</f>
        <v>5257.7143377202174</v>
      </c>
      <c r="O283" s="211">
        <f>'Revenue and Expenses breakdown'!N8</f>
        <v>5685.3676201321423</v>
      </c>
      <c r="P283" s="211">
        <f>'Revenue and Expenses breakdown'!O8</f>
        <v>0</v>
      </c>
    </row>
    <row r="284" spans="1:16" x14ac:dyDescent="0.6">
      <c r="A284" s="167" t="s">
        <v>400</v>
      </c>
      <c r="C284" s="278"/>
      <c r="D284" s="211"/>
      <c r="E284" s="173">
        <v>10900</v>
      </c>
      <c r="F284" s="97">
        <f>($J$284-$E$284)/($J$1-$E$1)+E284</f>
        <v>11780</v>
      </c>
      <c r="G284" s="97">
        <f>($J$284-$E$284)/($J$1-$E$1)+F284</f>
        <v>12660</v>
      </c>
      <c r="H284" s="97">
        <f>($J$284-$E$284)/($J$1-$E$1)+G284</f>
        <v>13540</v>
      </c>
      <c r="I284" s="97">
        <f>($J$284-$E$284)/($J$1-$E$1)+H284</f>
        <v>14420</v>
      </c>
      <c r="J284" s="173">
        <v>15300</v>
      </c>
      <c r="K284" s="211"/>
      <c r="L284" s="211"/>
      <c r="M284" s="211"/>
      <c r="N284" s="211"/>
      <c r="O284" s="211"/>
      <c r="P284" s="211"/>
    </row>
    <row r="285" spans="1:16" x14ac:dyDescent="0.6">
      <c r="A285" s="167" t="s">
        <v>401</v>
      </c>
      <c r="C285" s="278"/>
      <c r="D285" s="211"/>
      <c r="E285" s="279">
        <f t="shared" ref="E285:J285" si="166">E283/E284*E281</f>
        <v>1.9954128440366974E-2</v>
      </c>
      <c r="F285" s="279">
        <f t="shared" si="166"/>
        <v>2.9462218596344233E-2</v>
      </c>
      <c r="G285" s="279">
        <f t="shared" si="166"/>
        <v>7.6187944445150341E-2</v>
      </c>
      <c r="H285" s="279">
        <f t="shared" si="166"/>
        <v>0.15715904355297175</v>
      </c>
      <c r="I285" s="279">
        <f t="shared" si="166"/>
        <v>0.19677024888478936</v>
      </c>
      <c r="J285" s="279">
        <f t="shared" si="166"/>
        <v>0.21220381723311071</v>
      </c>
      <c r="K285" s="211"/>
      <c r="L285" s="211"/>
      <c r="M285" s="211"/>
      <c r="N285" s="211"/>
      <c r="O285" s="211"/>
      <c r="P285" s="211"/>
    </row>
    <row r="286" spans="1:16" x14ac:dyDescent="0.6">
      <c r="A286" s="167"/>
      <c r="B286" s="92"/>
      <c r="C286" s="181"/>
      <c r="D286" s="181"/>
      <c r="E286" s="226"/>
      <c r="F286" s="226"/>
      <c r="G286" s="181"/>
      <c r="H286" s="181"/>
      <c r="I286" s="181"/>
      <c r="J286" s="181"/>
      <c r="K286" s="181"/>
      <c r="L286" s="181"/>
      <c r="M286" s="181"/>
      <c r="N286" s="181"/>
      <c r="O286" s="181"/>
    </row>
    <row r="287" spans="1:16" x14ac:dyDescent="0.6">
      <c r="A287" s="167" t="str">
        <f>'Revenue and Expenses breakdown'!A11</f>
        <v>Interest income – lending</v>
      </c>
      <c r="B287" s="92"/>
      <c r="C287" s="278">
        <f>'Revenue and Expenses breakdown'!B11</f>
        <v>0</v>
      </c>
      <c r="D287" s="211">
        <f>'Revenue and Expenses breakdown'!C11</f>
        <v>8.6</v>
      </c>
      <c r="E287" s="211">
        <f>'Revenue and Expenses breakdown'!D11</f>
        <v>38.9</v>
      </c>
      <c r="F287" s="211">
        <f>'Revenue and Expenses breakdown'!E11</f>
        <v>292.70100000000002</v>
      </c>
      <c r="G287" s="211">
        <f>'Revenue and Expenses breakdown'!F11</f>
        <v>932.19600000000003</v>
      </c>
      <c r="H287" s="211">
        <f>'Revenue and Expenses breakdown'!G11</f>
        <v>1495.1153443966684</v>
      </c>
      <c r="I287" s="211">
        <f>'Revenue and Expenses breakdown'!H11</f>
        <v>2210.5730526404723</v>
      </c>
      <c r="J287" s="211">
        <f>'Revenue and Expenses breakdown'!I11</f>
        <v>2995.7823982901446</v>
      </c>
      <c r="K287" s="211">
        <f>'Revenue and Expenses breakdown'!J11</f>
        <v>3747.2948319911425</v>
      </c>
      <c r="L287" s="211">
        <f>'Revenue and Expenses breakdown'!K11</f>
        <v>4518.2390532819763</v>
      </c>
      <c r="M287" s="211">
        <f>'Revenue and Expenses breakdown'!L11</f>
        <v>5441.9112288121569</v>
      </c>
      <c r="N287" s="211">
        <f>'Revenue and Expenses breakdown'!M11</f>
        <v>6277.5387976112988</v>
      </c>
      <c r="O287" s="211">
        <f>'Revenue and Expenses breakdown'!N11</f>
        <v>7037.9357356394248</v>
      </c>
      <c r="P287" s="211">
        <f>'Revenue and Expenses breakdown'!O11</f>
        <v>0</v>
      </c>
    </row>
    <row r="288" spans="1:16" x14ac:dyDescent="0.6">
      <c r="A288" s="167" t="s">
        <v>400</v>
      </c>
      <c r="B288" s="92"/>
      <c r="C288" s="278"/>
      <c r="D288" s="211"/>
      <c r="E288" s="173">
        <v>14700</v>
      </c>
      <c r="F288" s="97">
        <f>($J$288-$E$288)/($J$1-$E$1)+E288</f>
        <v>15760</v>
      </c>
      <c r="G288" s="97">
        <f>($J$288-$E$288)/($J$1-$E$1)+F288</f>
        <v>16820</v>
      </c>
      <c r="H288" s="97">
        <f>($J$288-$E$288)/($J$1-$E$1)+G288</f>
        <v>17880</v>
      </c>
      <c r="I288" s="97">
        <f>($J$288-$E$288)/($J$1-$E$1)+H288</f>
        <v>18940</v>
      </c>
      <c r="J288" s="173">
        <v>20000</v>
      </c>
      <c r="K288" s="211"/>
      <c r="L288" s="211"/>
      <c r="M288" s="211"/>
      <c r="N288" s="211"/>
      <c r="O288" s="211"/>
      <c r="P288" s="211"/>
    </row>
    <row r="289" spans="1:15" x14ac:dyDescent="0.6">
      <c r="A289" s="167" t="s">
        <v>401</v>
      </c>
      <c r="B289" s="92"/>
      <c r="C289" s="181"/>
      <c r="D289" s="181"/>
      <c r="E289" s="279">
        <f t="shared" ref="E289:J289" si="167">E287/E288*E281</f>
        <v>2.6462585034013604E-3</v>
      </c>
      <c r="F289" s="279">
        <f t="shared" si="167"/>
        <v>1.8055541376679883E-2</v>
      </c>
      <c r="G289" s="279">
        <f t="shared" si="167"/>
        <v>5.2673072398810312E-2</v>
      </c>
      <c r="H289" s="279">
        <f t="shared" si="167"/>
        <v>7.3638792022514027E-2</v>
      </c>
      <c r="I289" s="279">
        <f t="shared" si="167"/>
        <v>9.5920881537683883E-2</v>
      </c>
      <c r="J289" s="279">
        <f t="shared" si="167"/>
        <v>0.11576133718983117</v>
      </c>
      <c r="K289" s="181"/>
      <c r="L289" s="181"/>
      <c r="M289" s="181"/>
      <c r="N289" s="181"/>
      <c r="O289" s="181"/>
    </row>
    <row r="290" spans="1:15" x14ac:dyDescent="0.6">
      <c r="A290" s="167"/>
      <c r="B290" s="92"/>
      <c r="C290" s="181"/>
      <c r="D290" s="181"/>
      <c r="E290" s="226"/>
      <c r="F290" s="226"/>
      <c r="G290" s="181"/>
      <c r="H290" s="181"/>
      <c r="I290" s="181"/>
      <c r="J290" s="181"/>
      <c r="K290" s="181"/>
      <c r="L290" s="181"/>
      <c r="M290" s="181"/>
      <c r="N290" s="181"/>
      <c r="O290" s="181"/>
    </row>
    <row r="291" spans="1:15" x14ac:dyDescent="0.6">
      <c r="A291" s="167" t="s">
        <v>459</v>
      </c>
      <c r="B291" s="17">
        <v>2020</v>
      </c>
      <c r="C291" s="222">
        <v>2021</v>
      </c>
      <c r="D291" s="18">
        <v>2022</v>
      </c>
      <c r="E291" s="18">
        <v>2023</v>
      </c>
      <c r="F291" s="18">
        <v>2024</v>
      </c>
      <c r="G291" s="18">
        <v>2025</v>
      </c>
      <c r="H291" s="181"/>
      <c r="I291" s="181"/>
      <c r="J291" s="181"/>
      <c r="K291" s="181"/>
      <c r="L291" s="181"/>
      <c r="M291" s="181"/>
      <c r="N291" s="181"/>
      <c r="O291" s="181"/>
    </row>
    <row r="292" spans="1:15" x14ac:dyDescent="0.6">
      <c r="A292" s="200" t="s">
        <v>180</v>
      </c>
      <c r="B292" s="377">
        <f t="shared" ref="B292:G292" si="168">E285</f>
        <v>1.9954128440366974E-2</v>
      </c>
      <c r="C292" s="377">
        <f t="shared" si="168"/>
        <v>2.9462218596344233E-2</v>
      </c>
      <c r="D292" s="377">
        <f t="shared" si="168"/>
        <v>7.6187944445150341E-2</v>
      </c>
      <c r="E292" s="377">
        <f t="shared" si="168"/>
        <v>0.15715904355297175</v>
      </c>
      <c r="F292" s="377">
        <f t="shared" si="168"/>
        <v>0.19677024888478936</v>
      </c>
      <c r="G292" s="377">
        <f t="shared" si="168"/>
        <v>0.21220381723311071</v>
      </c>
      <c r="H292" s="181"/>
      <c r="I292" s="181"/>
      <c r="J292" s="181"/>
      <c r="K292" s="181"/>
      <c r="L292" s="181"/>
      <c r="M292" s="181"/>
      <c r="N292" s="181"/>
      <c r="O292" s="181"/>
    </row>
    <row r="293" spans="1:15" x14ac:dyDescent="0.6">
      <c r="A293" s="200" t="s">
        <v>218</v>
      </c>
      <c r="B293" s="377">
        <f t="shared" ref="B293:G293" si="169">E289</f>
        <v>2.6462585034013604E-3</v>
      </c>
      <c r="C293" s="377">
        <f t="shared" si="169"/>
        <v>1.8055541376679883E-2</v>
      </c>
      <c r="D293" s="377">
        <f t="shared" si="169"/>
        <v>5.2673072398810312E-2</v>
      </c>
      <c r="E293" s="377">
        <f t="shared" si="169"/>
        <v>7.3638792022514027E-2</v>
      </c>
      <c r="F293" s="377">
        <f t="shared" si="169"/>
        <v>9.5920881537683883E-2</v>
      </c>
      <c r="G293" s="377">
        <f t="shared" si="169"/>
        <v>0.11576133718983117</v>
      </c>
      <c r="H293" s="181"/>
      <c r="I293" s="181"/>
      <c r="J293" s="181"/>
      <c r="K293" s="181"/>
      <c r="L293" s="181"/>
      <c r="M293" s="181"/>
      <c r="N293" s="181"/>
      <c r="O293" s="181"/>
    </row>
    <row r="294" spans="1:15" x14ac:dyDescent="0.6">
      <c r="A294" s="167"/>
      <c r="B294" s="92"/>
      <c r="C294" s="181"/>
      <c r="D294" s="181"/>
      <c r="E294" s="226"/>
      <c r="F294" s="226"/>
      <c r="G294" s="181"/>
      <c r="H294" s="181"/>
      <c r="I294" s="181"/>
      <c r="J294" s="181"/>
      <c r="K294" s="181"/>
      <c r="L294" s="181"/>
      <c r="M294" s="181"/>
      <c r="N294" s="181"/>
      <c r="O294" s="181"/>
    </row>
    <row r="295" spans="1:15" x14ac:dyDescent="0.6">
      <c r="A295" s="167"/>
      <c r="B295" s="92"/>
      <c r="C295" s="181"/>
      <c r="D295" s="181"/>
      <c r="E295" s="226"/>
      <c r="F295" s="226"/>
      <c r="G295" s="181"/>
      <c r="H295" s="181"/>
      <c r="I295" s="181"/>
      <c r="J295" s="181"/>
      <c r="K295" s="181"/>
      <c r="L295" s="181"/>
      <c r="M295" s="181"/>
      <c r="N295" s="181"/>
      <c r="O295" s="181"/>
    </row>
    <row r="296" spans="1:15" x14ac:dyDescent="0.6">
      <c r="A296" s="167"/>
      <c r="B296" s="92"/>
      <c r="C296" s="181"/>
      <c r="D296" s="181"/>
      <c r="E296" s="226"/>
      <c r="F296" s="226"/>
      <c r="G296" s="181"/>
      <c r="H296" s="181"/>
      <c r="I296" s="181"/>
      <c r="J296" s="181"/>
      <c r="K296" s="181"/>
      <c r="L296" s="181"/>
      <c r="M296" s="181"/>
      <c r="N296" s="181"/>
      <c r="O296" s="181"/>
    </row>
    <row r="297" spans="1:15" x14ac:dyDescent="0.6">
      <c r="A297" s="167"/>
      <c r="B297" s="92"/>
      <c r="C297" s="181"/>
      <c r="D297" s="181"/>
      <c r="E297" s="226"/>
      <c r="F297" s="226"/>
      <c r="G297" s="181"/>
      <c r="H297" s="181"/>
      <c r="I297" s="181"/>
      <c r="J297" s="181"/>
      <c r="K297" s="181"/>
      <c r="L297" s="181"/>
      <c r="M297" s="181"/>
      <c r="N297" s="181"/>
      <c r="O297" s="181"/>
    </row>
    <row r="298" spans="1:15" x14ac:dyDescent="0.6">
      <c r="A298" s="167"/>
      <c r="B298" s="92"/>
      <c r="C298" s="181"/>
      <c r="D298" s="181"/>
      <c r="E298" s="226"/>
      <c r="F298" s="226"/>
      <c r="G298" s="181"/>
      <c r="H298" s="181"/>
      <c r="I298" s="181"/>
      <c r="J298" s="181"/>
      <c r="K298" s="181"/>
      <c r="L298" s="181"/>
      <c r="M298" s="181"/>
      <c r="N298" s="181"/>
      <c r="O298" s="181"/>
    </row>
    <row r="299" spans="1:15" x14ac:dyDescent="0.6">
      <c r="A299" s="167"/>
      <c r="B299" s="92"/>
      <c r="C299" s="181"/>
      <c r="D299" s="181"/>
      <c r="E299" s="226"/>
      <c r="F299" s="226"/>
      <c r="G299" s="181"/>
      <c r="H299" s="181"/>
      <c r="I299" s="181"/>
      <c r="J299" s="181"/>
      <c r="K299" s="181"/>
      <c r="L299" s="181"/>
      <c r="M299" s="181"/>
      <c r="N299" s="181"/>
      <c r="O299" s="181"/>
    </row>
    <row r="300" spans="1:15" x14ac:dyDescent="0.6">
      <c r="A300" s="167"/>
      <c r="B300" s="92"/>
      <c r="C300" s="181"/>
      <c r="D300" s="181"/>
      <c r="E300" s="226"/>
      <c r="F300" s="226"/>
      <c r="G300" s="181"/>
      <c r="H300" s="181"/>
      <c r="I300" s="181"/>
      <c r="J300" s="181"/>
      <c r="K300" s="181"/>
      <c r="L300" s="181"/>
      <c r="M300" s="181"/>
      <c r="N300" s="181"/>
      <c r="O300" s="181"/>
    </row>
    <row r="301" spans="1:15" x14ac:dyDescent="0.6">
      <c r="A301" s="167"/>
      <c r="B301" s="92"/>
      <c r="C301" s="181"/>
      <c r="D301" s="181"/>
      <c r="E301" s="226"/>
      <c r="F301" s="226"/>
      <c r="G301" s="181"/>
      <c r="H301" s="181"/>
      <c r="I301" s="181"/>
      <c r="J301" s="181"/>
      <c r="K301" s="181"/>
      <c r="L301" s="181"/>
      <c r="M301" s="181"/>
      <c r="N301" s="181"/>
      <c r="O301" s="181"/>
    </row>
    <row r="302" spans="1:15" x14ac:dyDescent="0.6">
      <c r="A302" s="167"/>
      <c r="B302" s="92"/>
      <c r="C302" s="181"/>
      <c r="D302" s="181"/>
      <c r="E302" s="226"/>
      <c r="F302" s="226"/>
      <c r="G302" s="181"/>
      <c r="H302" s="181"/>
      <c r="I302" s="181"/>
      <c r="J302" s="181"/>
      <c r="K302" s="181"/>
      <c r="L302" s="181"/>
      <c r="M302" s="181"/>
      <c r="N302" s="181"/>
      <c r="O302" s="181"/>
    </row>
    <row r="303" spans="1:15" x14ac:dyDescent="0.6">
      <c r="A303" s="167"/>
      <c r="B303" s="92"/>
      <c r="C303" s="181"/>
      <c r="D303" s="181"/>
      <c r="E303" s="226"/>
      <c r="F303" s="226"/>
      <c r="G303" s="181"/>
      <c r="H303" s="181"/>
      <c r="I303" s="181"/>
      <c r="J303" s="181"/>
      <c r="K303" s="181"/>
      <c r="L303" s="181"/>
      <c r="M303" s="181"/>
      <c r="N303" s="181"/>
      <c r="O303" s="181"/>
    </row>
    <row r="304" spans="1:15" x14ac:dyDescent="0.6">
      <c r="A304" s="167"/>
      <c r="B304" s="92"/>
      <c r="C304" s="181"/>
      <c r="D304" s="181"/>
      <c r="E304" s="226"/>
      <c r="F304" s="226"/>
      <c r="G304" s="181"/>
      <c r="H304" s="181"/>
      <c r="I304" s="181"/>
      <c r="J304" s="181"/>
      <c r="K304" s="181"/>
      <c r="L304" s="181"/>
      <c r="M304" s="181"/>
      <c r="N304" s="181"/>
      <c r="O304" s="181"/>
    </row>
    <row r="305" spans="1:15" x14ac:dyDescent="0.6">
      <c r="A305" s="167"/>
      <c r="B305" s="92"/>
      <c r="C305" s="181"/>
      <c r="D305" s="181"/>
      <c r="E305" s="226"/>
      <c r="F305" s="226"/>
      <c r="G305" s="181"/>
      <c r="H305" s="181"/>
      <c r="I305" s="181"/>
      <c r="J305" s="181"/>
      <c r="K305" s="181"/>
      <c r="L305" s="181"/>
      <c r="M305" s="181"/>
      <c r="N305" s="181"/>
      <c r="O305" s="181"/>
    </row>
    <row r="306" spans="1:15" x14ac:dyDescent="0.6">
      <c r="A306" s="167"/>
      <c r="B306" s="92"/>
      <c r="C306" s="181"/>
      <c r="D306" s="181"/>
      <c r="E306" s="226"/>
      <c r="F306" s="226"/>
      <c r="G306" s="181"/>
      <c r="H306" s="181"/>
      <c r="I306" s="181"/>
      <c r="J306" s="181"/>
      <c r="K306" s="181"/>
      <c r="L306" s="181"/>
      <c r="M306" s="181"/>
      <c r="N306" s="181"/>
      <c r="O306" s="181"/>
    </row>
    <row r="307" spans="1:15" x14ac:dyDescent="0.6">
      <c r="A307" s="167"/>
      <c r="B307" s="92"/>
      <c r="C307" s="181"/>
      <c r="D307" s="181"/>
      <c r="E307" s="226"/>
      <c r="F307" s="226"/>
      <c r="G307" s="181"/>
      <c r="H307" s="181"/>
      <c r="I307" s="181"/>
      <c r="J307" s="181"/>
      <c r="K307" s="181"/>
      <c r="L307" s="181"/>
      <c r="M307" s="181"/>
      <c r="N307" s="181"/>
      <c r="O307" s="181"/>
    </row>
    <row r="308" spans="1:15" x14ac:dyDescent="0.6">
      <c r="A308" s="167"/>
      <c r="B308" s="92"/>
      <c r="C308" s="181"/>
      <c r="D308" s="181"/>
      <c r="E308" s="226"/>
      <c r="F308" s="226"/>
      <c r="G308" s="181"/>
      <c r="H308" s="181"/>
      <c r="I308" s="181"/>
      <c r="J308" s="181"/>
      <c r="K308" s="181"/>
      <c r="L308" s="181"/>
      <c r="M308" s="181"/>
      <c r="N308" s="181"/>
      <c r="O308" s="181"/>
    </row>
    <row r="309" spans="1:15" x14ac:dyDescent="0.6">
      <c r="A309" s="167"/>
      <c r="B309" s="92"/>
      <c r="C309" s="181"/>
      <c r="D309" s="181"/>
      <c r="E309" s="226"/>
      <c r="F309" s="226"/>
      <c r="G309" s="181"/>
      <c r="H309" s="181"/>
      <c r="I309" s="181"/>
      <c r="J309" s="181"/>
      <c r="K309" s="181"/>
      <c r="L309" s="181"/>
      <c r="M309" s="181"/>
      <c r="N309" s="181"/>
      <c r="O309" s="181"/>
    </row>
    <row r="310" spans="1:15" x14ac:dyDescent="0.6">
      <c r="A310" s="167"/>
      <c r="B310" s="92"/>
      <c r="C310" s="181"/>
      <c r="D310" s="181"/>
      <c r="E310" s="226"/>
      <c r="F310" s="226"/>
      <c r="G310" s="181"/>
      <c r="H310" s="181"/>
      <c r="I310" s="181"/>
      <c r="J310" s="181"/>
      <c r="K310" s="181"/>
      <c r="L310" s="181"/>
      <c r="M310" s="181"/>
      <c r="N310" s="181"/>
      <c r="O310" s="181"/>
    </row>
    <row r="311" spans="1:15" s="101" customFormat="1" ht="15.9" thickBot="1" x14ac:dyDescent="0.65">
      <c r="A311" s="198" t="s">
        <v>316</v>
      </c>
      <c r="B311" s="196"/>
      <c r="C311" s="197"/>
      <c r="D311" s="197"/>
      <c r="E311" s="197"/>
      <c r="F311" s="197"/>
      <c r="G311" s="197"/>
      <c r="H311" s="197"/>
      <c r="I311" s="197"/>
      <c r="J311" s="197"/>
      <c r="K311" s="197"/>
      <c r="L311" s="197"/>
      <c r="M311" s="197"/>
      <c r="N311" s="197"/>
      <c r="O311" s="197"/>
    </row>
    <row r="312" spans="1:15" x14ac:dyDescent="0.6">
      <c r="A312" s="167"/>
      <c r="B312" s="92"/>
      <c r="C312" s="181"/>
      <c r="D312" s="181"/>
      <c r="E312" s="226"/>
      <c r="F312" s="226"/>
      <c r="G312" s="181"/>
      <c r="H312" s="181"/>
      <c r="I312" s="181"/>
      <c r="J312" s="181"/>
      <c r="K312" s="181"/>
      <c r="L312" s="181"/>
      <c r="M312" s="181"/>
      <c r="N312" s="181"/>
      <c r="O312" s="181"/>
    </row>
    <row r="313" spans="1:15" x14ac:dyDescent="0.6">
      <c r="A313" s="199" t="s">
        <v>317</v>
      </c>
      <c r="B313" s="92"/>
      <c r="C313" s="181"/>
      <c r="D313" s="181"/>
      <c r="E313" s="226"/>
      <c r="F313" s="226"/>
      <c r="G313" s="181"/>
      <c r="H313" s="181"/>
      <c r="I313" s="181"/>
      <c r="J313" s="181"/>
      <c r="K313" s="181"/>
      <c r="L313" s="181"/>
      <c r="M313" s="181"/>
      <c r="N313" s="181"/>
      <c r="O313" s="181"/>
    </row>
    <row r="314" spans="1:15" x14ac:dyDescent="0.6">
      <c r="A314" s="199"/>
      <c r="B314" s="92"/>
      <c r="C314" s="181"/>
      <c r="D314" s="181"/>
      <c r="E314" s="226"/>
      <c r="F314" s="226"/>
      <c r="G314" s="181"/>
      <c r="H314" s="181"/>
      <c r="I314" s="181"/>
      <c r="J314" s="181"/>
      <c r="K314" s="181"/>
      <c r="L314" s="181"/>
      <c r="M314" s="181"/>
      <c r="N314" s="181"/>
      <c r="O314" s="181"/>
    </row>
    <row r="315" spans="1:15" x14ac:dyDescent="0.6">
      <c r="A315" s="199" t="s">
        <v>132</v>
      </c>
      <c r="B315" s="92"/>
      <c r="C315" s="181"/>
      <c r="D315" s="181"/>
      <c r="E315" s="226"/>
      <c r="F315" s="226"/>
      <c r="G315" s="181"/>
      <c r="H315" s="181" t="s">
        <v>577</v>
      </c>
      <c r="I315" s="181"/>
      <c r="J315" s="181"/>
      <c r="K315" s="181"/>
      <c r="L315" s="181"/>
      <c r="M315" s="181"/>
      <c r="N315" s="181"/>
      <c r="O315" s="181"/>
    </row>
    <row r="316" spans="1:15" x14ac:dyDescent="0.6">
      <c r="A316" s="167" t="s">
        <v>324</v>
      </c>
      <c r="B316" s="182">
        <v>0</v>
      </c>
      <c r="C316" s="182">
        <v>0</v>
      </c>
      <c r="D316" s="182">
        <v>0</v>
      </c>
      <c r="E316" s="224">
        <v>0</v>
      </c>
      <c r="F316" s="231">
        <v>0</v>
      </c>
      <c r="G316" s="180">
        <v>0.04</v>
      </c>
      <c r="H316" s="180">
        <v>0.06</v>
      </c>
      <c r="I316" s="180">
        <v>7.0000000000000007E-2</v>
      </c>
      <c r="J316" s="180">
        <v>0.08</v>
      </c>
      <c r="K316" s="180">
        <v>0.09</v>
      </c>
      <c r="L316" s="180">
        <v>0.1</v>
      </c>
      <c r="M316" s="180">
        <v>0.1</v>
      </c>
      <c r="N316" s="180">
        <v>0.1</v>
      </c>
      <c r="O316" s="180">
        <v>0.1</v>
      </c>
    </row>
    <row r="317" spans="1:15" x14ac:dyDescent="0.6">
      <c r="A317" s="167" t="s">
        <v>320</v>
      </c>
      <c r="B317" s="205">
        <f>(B316*B8)+(B316*B8)</f>
        <v>0</v>
      </c>
      <c r="C317" s="205">
        <f t="shared" ref="C317:O317" si="170">0+((C316*C8)+(C316*C8))</f>
        <v>0</v>
      </c>
      <c r="D317" s="205">
        <f t="shared" si="170"/>
        <v>0</v>
      </c>
      <c r="E317" s="228">
        <f t="shared" si="170"/>
        <v>0</v>
      </c>
      <c r="F317" s="228">
        <f t="shared" si="170"/>
        <v>0</v>
      </c>
      <c r="G317" s="205">
        <f t="shared" si="170"/>
        <v>4.8959999999999999</v>
      </c>
      <c r="H317" s="205">
        <f t="shared" si="170"/>
        <v>9.0839999999999996</v>
      </c>
      <c r="I317" s="205">
        <f t="shared" si="170"/>
        <v>12.208000000000002</v>
      </c>
      <c r="J317" s="205">
        <f t="shared" si="170"/>
        <v>15.872000000000002</v>
      </c>
      <c r="K317" s="205">
        <f t="shared" si="170"/>
        <v>19.655999999999999</v>
      </c>
      <c r="L317" s="205">
        <f t="shared" si="170"/>
        <v>23.44</v>
      </c>
      <c r="M317" s="205">
        <f t="shared" si="170"/>
        <v>24.540000000000003</v>
      </c>
      <c r="N317" s="205">
        <f t="shared" si="170"/>
        <v>25.44</v>
      </c>
      <c r="O317" s="205">
        <f t="shared" si="170"/>
        <v>26.140000000000004</v>
      </c>
    </row>
    <row r="318" spans="1:15" x14ac:dyDescent="0.6">
      <c r="A318" s="167" t="s">
        <v>470</v>
      </c>
      <c r="B318" s="286">
        <v>0</v>
      </c>
      <c r="C318" s="286">
        <v>0</v>
      </c>
      <c r="D318" s="286">
        <v>0</v>
      </c>
      <c r="E318" s="287">
        <v>0</v>
      </c>
      <c r="F318" s="306">
        <v>1262</v>
      </c>
      <c r="G318" s="307">
        <f>F318</f>
        <v>1262</v>
      </c>
      <c r="H318" s="307">
        <f>G318</f>
        <v>1262</v>
      </c>
      <c r="I318" s="307">
        <v>1300</v>
      </c>
      <c r="J318" s="307">
        <f t="shared" ref="J318:O318" si="171">I318</f>
        <v>1300</v>
      </c>
      <c r="K318" s="307">
        <f t="shared" si="171"/>
        <v>1300</v>
      </c>
      <c r="L318" s="307">
        <f t="shared" si="171"/>
        <v>1300</v>
      </c>
      <c r="M318" s="307">
        <f t="shared" si="171"/>
        <v>1300</v>
      </c>
      <c r="N318" s="307">
        <f t="shared" si="171"/>
        <v>1300</v>
      </c>
      <c r="O318" s="307">
        <f t="shared" si="171"/>
        <v>1300</v>
      </c>
    </row>
    <row r="319" spans="1:15" x14ac:dyDescent="0.6">
      <c r="A319" s="167" t="s">
        <v>469</v>
      </c>
      <c r="B319" s="286"/>
      <c r="C319" s="286"/>
      <c r="D319" s="286"/>
      <c r="E319" s="287"/>
      <c r="F319" s="243">
        <f t="shared" ref="F319:O319" si="172">F318/F4</f>
        <v>233.89428423159612</v>
      </c>
      <c r="G319" s="243">
        <f t="shared" si="172"/>
        <v>244.5736434108527</v>
      </c>
      <c r="H319" s="243">
        <f t="shared" si="172"/>
        <v>251.64506480558327</v>
      </c>
      <c r="I319" s="243">
        <f t="shared" si="172"/>
        <v>251.45067698259189</v>
      </c>
      <c r="J319" s="243">
        <f t="shared" si="172"/>
        <v>257.93650793650795</v>
      </c>
      <c r="K319" s="243">
        <f t="shared" si="172"/>
        <v>251.45067698259189</v>
      </c>
      <c r="L319" s="243">
        <f t="shared" si="172"/>
        <v>251.45067698259189</v>
      </c>
      <c r="M319" s="243">
        <f t="shared" si="172"/>
        <v>251.45067698259189</v>
      </c>
      <c r="N319" s="243">
        <f t="shared" si="172"/>
        <v>251.45067698259189</v>
      </c>
      <c r="O319" s="243">
        <f t="shared" si="172"/>
        <v>251.45067698259189</v>
      </c>
    </row>
    <row r="320" spans="1:15" x14ac:dyDescent="0.6">
      <c r="A320" s="167" t="s">
        <v>325</v>
      </c>
      <c r="B320" s="92"/>
      <c r="C320" s="181"/>
      <c r="D320" s="181"/>
      <c r="E320" s="226"/>
      <c r="F320" s="243">
        <f t="shared" ref="F320:O320" si="173">F318*F317</f>
        <v>0</v>
      </c>
      <c r="G320" s="244">
        <f t="shared" si="173"/>
        <v>6178.7519999999995</v>
      </c>
      <c r="H320" s="244">
        <f t="shared" si="173"/>
        <v>11464.008</v>
      </c>
      <c r="I320" s="244">
        <f t="shared" si="173"/>
        <v>15870.400000000003</v>
      </c>
      <c r="J320" s="244">
        <f t="shared" si="173"/>
        <v>20633.600000000002</v>
      </c>
      <c r="K320" s="244">
        <f t="shared" si="173"/>
        <v>25552.799999999999</v>
      </c>
      <c r="L320" s="244">
        <f t="shared" si="173"/>
        <v>30472</v>
      </c>
      <c r="M320" s="244">
        <f t="shared" si="173"/>
        <v>31902.000000000004</v>
      </c>
      <c r="N320" s="244">
        <f t="shared" si="173"/>
        <v>33072</v>
      </c>
      <c r="O320" s="244">
        <f t="shared" si="173"/>
        <v>33982.000000000007</v>
      </c>
    </row>
    <row r="321" spans="1:20" x14ac:dyDescent="0.6">
      <c r="A321" s="167" t="s">
        <v>328</v>
      </c>
      <c r="B321" s="92"/>
      <c r="C321" s="181"/>
      <c r="D321" s="181"/>
      <c r="E321" s="226"/>
      <c r="F321" s="243">
        <f t="shared" ref="F321:O321" si="174">F320/F4</f>
        <v>0</v>
      </c>
      <c r="G321" s="244">
        <f t="shared" si="174"/>
        <v>1197.4325581395346</v>
      </c>
      <c r="H321" s="244">
        <f t="shared" si="174"/>
        <v>2285.9437686939182</v>
      </c>
      <c r="I321" s="244">
        <f t="shared" si="174"/>
        <v>3069.7098646034824</v>
      </c>
      <c r="J321" s="244">
        <f t="shared" si="174"/>
        <v>4093.9682539682544</v>
      </c>
      <c r="K321" s="244">
        <f t="shared" si="174"/>
        <v>4942.5145067698259</v>
      </c>
      <c r="L321" s="244">
        <f t="shared" si="174"/>
        <v>5894.0038684719539</v>
      </c>
      <c r="M321" s="244">
        <f t="shared" si="174"/>
        <v>6170.5996131528054</v>
      </c>
      <c r="N321" s="244">
        <f t="shared" si="174"/>
        <v>6396.9052224371371</v>
      </c>
      <c r="O321" s="244">
        <f t="shared" si="174"/>
        <v>6572.9206963249535</v>
      </c>
    </row>
    <row r="322" spans="1:20" x14ac:dyDescent="0.6">
      <c r="A322" s="167"/>
      <c r="B322" s="92"/>
      <c r="C322" s="181"/>
      <c r="D322" s="181"/>
      <c r="E322" s="226"/>
      <c r="F322" s="243"/>
      <c r="G322" s="244"/>
      <c r="H322" s="244"/>
      <c r="I322" s="244"/>
      <c r="J322" s="244"/>
      <c r="K322" s="244"/>
      <c r="L322" s="244"/>
      <c r="M322" s="244"/>
      <c r="N322" s="244"/>
      <c r="O322" s="244"/>
    </row>
    <row r="323" spans="1:20" x14ac:dyDescent="0.6">
      <c r="A323" s="167" t="s">
        <v>466</v>
      </c>
      <c r="B323" s="92"/>
      <c r="C323" s="181"/>
      <c r="D323" s="181"/>
      <c r="E323" s="226"/>
      <c r="F323" s="23">
        <v>170857.50000000003</v>
      </c>
      <c r="G323" s="23">
        <v>219237.15</v>
      </c>
      <c r="H323" s="23">
        <v>270233.61749999999</v>
      </c>
      <c r="I323" s="23">
        <v>325781.63887500006</v>
      </c>
      <c r="J323" s="23">
        <v>375174.3389625001</v>
      </c>
      <c r="K323" s="23">
        <v>417105.58861125004</v>
      </c>
      <c r="L323" s="23">
        <v>462292.02737746888</v>
      </c>
      <c r="M323" s="23">
        <v>504567.41672317171</v>
      </c>
      <c r="N323" s="23">
        <v>549914.61493500113</v>
      </c>
      <c r="O323" s="23">
        <v>598535.11442620552</v>
      </c>
    </row>
    <row r="324" spans="1:20" x14ac:dyDescent="0.6">
      <c r="A324" s="167" t="s">
        <v>465</v>
      </c>
      <c r="B324" s="92"/>
      <c r="C324" s="181"/>
      <c r="D324" s="181"/>
      <c r="E324" s="226"/>
      <c r="F324" s="304">
        <f t="shared" ref="F324:N324" si="175">G324-0.01</f>
        <v>0.90999999999999992</v>
      </c>
      <c r="G324" s="304">
        <f t="shared" si="175"/>
        <v>0.91999999999999993</v>
      </c>
      <c r="H324" s="304">
        <f t="shared" si="175"/>
        <v>0.92999999999999994</v>
      </c>
      <c r="I324" s="304">
        <f t="shared" si="175"/>
        <v>0.94</v>
      </c>
      <c r="J324" s="304">
        <f t="shared" si="175"/>
        <v>0.95</v>
      </c>
      <c r="K324" s="304">
        <f t="shared" si="175"/>
        <v>0.96</v>
      </c>
      <c r="L324" s="304">
        <f t="shared" si="175"/>
        <v>0.97</v>
      </c>
      <c r="M324" s="304">
        <f t="shared" si="175"/>
        <v>0.98</v>
      </c>
      <c r="N324" s="304">
        <f t="shared" si="175"/>
        <v>0.99</v>
      </c>
      <c r="O324" s="304">
        <v>1</v>
      </c>
    </row>
    <row r="325" spans="1:20" x14ac:dyDescent="0.6">
      <c r="A325" s="167" t="s">
        <v>467</v>
      </c>
      <c r="B325" s="92"/>
      <c r="C325" s="181"/>
      <c r="D325" s="181"/>
      <c r="E325" s="226"/>
      <c r="F325" s="23">
        <f t="shared" ref="F325:O325" si="176">F323*F324*(210+120+50)/210</f>
        <v>281345.35000000003</v>
      </c>
      <c r="G325" s="23">
        <f t="shared" si="176"/>
        <v>364977.65542857145</v>
      </c>
      <c r="H325" s="23">
        <f t="shared" si="176"/>
        <v>454764.57344999997</v>
      </c>
      <c r="I325" s="23">
        <f t="shared" si="176"/>
        <v>554139.05431500007</v>
      </c>
      <c r="J325" s="23">
        <f t="shared" si="176"/>
        <v>644942.55412125005</v>
      </c>
      <c r="K325" s="23">
        <f t="shared" si="176"/>
        <v>724571.99393040012</v>
      </c>
      <c r="L325" s="23">
        <f t="shared" si="176"/>
        <v>811432.57757778582</v>
      </c>
      <c r="M325" s="23">
        <f t="shared" si="176"/>
        <v>894766.21898909111</v>
      </c>
      <c r="N325" s="23">
        <f t="shared" si="176"/>
        <v>985132.75304070197</v>
      </c>
      <c r="O325" s="23">
        <f t="shared" si="176"/>
        <v>1083063.5403902766</v>
      </c>
    </row>
    <row r="326" spans="1:20" x14ac:dyDescent="0.6">
      <c r="A326" s="167" t="s">
        <v>468</v>
      </c>
      <c r="B326" s="92"/>
      <c r="C326" s="181"/>
      <c r="D326" s="181"/>
      <c r="E326" s="226"/>
      <c r="F326" s="271">
        <f t="shared" ref="F326:O326" si="177">F320/F325</f>
        <v>0</v>
      </c>
      <c r="G326" s="271">
        <f t="shared" si="177"/>
        <v>1.6929124038414518E-2</v>
      </c>
      <c r="H326" s="271">
        <f t="shared" si="177"/>
        <v>2.5208665470641448E-2</v>
      </c>
      <c r="I326" s="271">
        <f t="shared" si="177"/>
        <v>2.8639742816211042E-2</v>
      </c>
      <c r="J326" s="271">
        <f t="shared" si="177"/>
        <v>3.1992926917520252E-2</v>
      </c>
      <c r="K326" s="271">
        <f t="shared" si="177"/>
        <v>3.5266060811142134E-2</v>
      </c>
      <c r="L326" s="271">
        <f t="shared" si="177"/>
        <v>3.7553335720094234E-2</v>
      </c>
      <c r="M326" s="271">
        <f t="shared" si="177"/>
        <v>3.5654005843049098E-2</v>
      </c>
      <c r="N326" s="271">
        <f t="shared" si="177"/>
        <v>3.3571109982812222E-2</v>
      </c>
      <c r="O326" s="271">
        <f t="shared" si="177"/>
        <v>3.1375813821370779E-2</v>
      </c>
    </row>
    <row r="327" spans="1:20" x14ac:dyDescent="0.6">
      <c r="A327" s="200"/>
      <c r="B327" s="92"/>
      <c r="C327" s="181"/>
      <c r="D327" s="181"/>
      <c r="E327" s="226"/>
      <c r="F327" s="226"/>
      <c r="G327" s="181"/>
      <c r="H327" s="181"/>
      <c r="I327" s="181"/>
      <c r="J327" s="181"/>
      <c r="K327" s="181"/>
      <c r="L327" s="181"/>
      <c r="M327" s="181"/>
      <c r="N327" s="181"/>
      <c r="O327" s="181"/>
    </row>
    <row r="328" spans="1:20" x14ac:dyDescent="0.6">
      <c r="A328" s="200" t="s">
        <v>315</v>
      </c>
      <c r="B328" s="92"/>
      <c r="C328" s="181"/>
      <c r="D328" s="181"/>
      <c r="E328" s="226"/>
      <c r="F328" s="226"/>
      <c r="G328" s="181"/>
      <c r="H328" s="181"/>
      <c r="I328" s="181"/>
      <c r="J328" s="181"/>
      <c r="K328" s="181"/>
      <c r="L328" s="181"/>
      <c r="M328" s="181"/>
      <c r="N328" s="181"/>
      <c r="O328" s="181"/>
    </row>
    <row r="329" spans="1:20" x14ac:dyDescent="0.6">
      <c r="A329" s="201" t="s">
        <v>323</v>
      </c>
      <c r="B329" s="208">
        <v>0.23933825</v>
      </c>
      <c r="C329" s="208">
        <v>0.94468974999999999</v>
      </c>
      <c r="D329" s="208">
        <v>2.9499642499999998</v>
      </c>
      <c r="E329" s="229">
        <v>6.6124072500000004</v>
      </c>
      <c r="F329" s="207">
        <v>8.1573309480735237</v>
      </c>
      <c r="G329" s="204">
        <v>9.2167916228558333</v>
      </c>
      <c r="H329" s="204">
        <v>10.344095862422646</v>
      </c>
      <c r="I329" s="204">
        <v>11.539476804375891</v>
      </c>
      <c r="J329" s="204">
        <v>12.803092300119326</v>
      </c>
      <c r="K329" s="204">
        <v>14.134791657105056</v>
      </c>
      <c r="L329" s="204">
        <v>15.534234811801259</v>
      </c>
      <c r="M329" s="204">
        <v>17.001200836333304</v>
      </c>
      <c r="N329" s="204">
        <v>18.535460350797457</v>
      </c>
      <c r="O329" s="204">
        <v>20.136697041964293</v>
      </c>
      <c r="P329" s="204"/>
      <c r="Q329" s="204"/>
      <c r="R329" s="204"/>
      <c r="S329" s="204"/>
      <c r="T329" s="204"/>
    </row>
    <row r="330" spans="1:20" x14ac:dyDescent="0.6">
      <c r="A330" s="201" t="s">
        <v>322</v>
      </c>
      <c r="B330" s="208">
        <v>0</v>
      </c>
      <c r="C330" s="208">
        <v>0</v>
      </c>
      <c r="D330" s="208">
        <v>34.038955899999998</v>
      </c>
      <c r="E330" s="305">
        <v>1170.1627680000001</v>
      </c>
      <c r="F330" s="243">
        <v>3571.9433748980655</v>
      </c>
      <c r="G330" s="244">
        <v>4583.367341053412</v>
      </c>
      <c r="H330" s="244">
        <v>5649.4984399506193</v>
      </c>
      <c r="I330" s="244">
        <v>6810.7842303849138</v>
      </c>
      <c r="J330" s="244">
        <v>7843.3870007981104</v>
      </c>
      <c r="K330" s="244">
        <v>8720.0008420637823</v>
      </c>
      <c r="L330" s="244">
        <v>9664.6675999540257</v>
      </c>
      <c r="M330" s="244">
        <v>10548.476018634034</v>
      </c>
      <c r="N330" s="244">
        <v>11496.503610182157</v>
      </c>
      <c r="O330" s="244">
        <v>12512.962770838505</v>
      </c>
      <c r="P330" s="204"/>
      <c r="Q330" s="204"/>
      <c r="R330" s="204"/>
      <c r="S330" s="204"/>
      <c r="T330" s="204"/>
    </row>
    <row r="331" spans="1:20" x14ac:dyDescent="0.6">
      <c r="A331" s="201" t="s">
        <v>320</v>
      </c>
      <c r="B331" s="208">
        <v>0</v>
      </c>
      <c r="C331" s="208">
        <v>0</v>
      </c>
      <c r="D331" s="208">
        <v>0</v>
      </c>
      <c r="E331" s="229">
        <v>0.55000000000000004</v>
      </c>
      <c r="F331" s="207">
        <f t="shared" ref="F331:O331" si="178">F333*F329</f>
        <v>1.6314661896147049</v>
      </c>
      <c r="G331" s="204">
        <f t="shared" si="178"/>
        <v>1.8433583245711667</v>
      </c>
      <c r="H331" s="204">
        <f t="shared" si="178"/>
        <v>2.0688191724845293</v>
      </c>
      <c r="I331" s="204">
        <f t="shared" si="178"/>
        <v>2.3078953608751784</v>
      </c>
      <c r="J331" s="204">
        <f t="shared" si="178"/>
        <v>2.5606184600238655</v>
      </c>
      <c r="K331" s="204">
        <f t="shared" si="178"/>
        <v>2.8269583314210114</v>
      </c>
      <c r="L331" s="204">
        <f t="shared" si="178"/>
        <v>3.1068469623602519</v>
      </c>
      <c r="M331" s="204">
        <f t="shared" si="178"/>
        <v>3.4002401672666611</v>
      </c>
      <c r="N331" s="204">
        <f t="shared" si="178"/>
        <v>3.7070920701594918</v>
      </c>
      <c r="O331" s="204">
        <f t="shared" si="178"/>
        <v>4.0273394083928586</v>
      </c>
    </row>
    <row r="332" spans="1:20" x14ac:dyDescent="0.6">
      <c r="A332" s="201" t="s">
        <v>321</v>
      </c>
      <c r="B332" s="202"/>
      <c r="C332" s="202"/>
      <c r="D332" s="203"/>
      <c r="E332" s="243">
        <f t="shared" ref="E332:O332" si="179">E330/E331</f>
        <v>2127.5686690909092</v>
      </c>
      <c r="F332" s="243">
        <f t="shared" si="179"/>
        <v>2189.4069258901609</v>
      </c>
      <c r="G332" s="243">
        <f t="shared" si="179"/>
        <v>2486.4223520512069</v>
      </c>
      <c r="H332" s="243">
        <f t="shared" si="179"/>
        <v>2730.7840700093216</v>
      </c>
      <c r="I332" s="243">
        <f t="shared" si="179"/>
        <v>2951.0801684709795</v>
      </c>
      <c r="J332" s="243">
        <f t="shared" si="179"/>
        <v>3063.0830493680846</v>
      </c>
      <c r="K332" s="243">
        <f t="shared" si="179"/>
        <v>3084.5876803852811</v>
      </c>
      <c r="L332" s="243">
        <f t="shared" si="179"/>
        <v>3110.7639729418274</v>
      </c>
      <c r="M332" s="243">
        <f t="shared" si="179"/>
        <v>3102.2738100037209</v>
      </c>
      <c r="N332" s="243">
        <f t="shared" si="179"/>
        <v>3101.2187969983538</v>
      </c>
      <c r="O332" s="243">
        <f t="shared" si="179"/>
        <v>3107.0047746067426</v>
      </c>
    </row>
    <row r="333" spans="1:20" x14ac:dyDescent="0.6">
      <c r="A333" s="201" t="s">
        <v>324</v>
      </c>
      <c r="B333" s="159">
        <f>B331/B329</f>
        <v>0</v>
      </c>
      <c r="C333" s="159">
        <f>C331/C329</f>
        <v>0</v>
      </c>
      <c r="D333" s="159">
        <f>D331/D329</f>
        <v>0</v>
      </c>
      <c r="E333" s="177">
        <f>E331/E329</f>
        <v>8.3176970081508511E-2</v>
      </c>
      <c r="F333" s="223">
        <v>0.2</v>
      </c>
      <c r="G333" s="159">
        <f t="shared" ref="G333:O333" si="180">F333</f>
        <v>0.2</v>
      </c>
      <c r="H333" s="159">
        <f t="shared" si="180"/>
        <v>0.2</v>
      </c>
      <c r="I333" s="159">
        <f t="shared" si="180"/>
        <v>0.2</v>
      </c>
      <c r="J333" s="159">
        <f t="shared" si="180"/>
        <v>0.2</v>
      </c>
      <c r="K333" s="159">
        <f t="shared" si="180"/>
        <v>0.2</v>
      </c>
      <c r="L333" s="159">
        <f t="shared" si="180"/>
        <v>0.2</v>
      </c>
      <c r="M333" s="159">
        <f t="shared" si="180"/>
        <v>0.2</v>
      </c>
      <c r="N333" s="159">
        <f t="shared" si="180"/>
        <v>0.2</v>
      </c>
      <c r="O333" s="159">
        <f t="shared" si="180"/>
        <v>0.2</v>
      </c>
    </row>
    <row r="334" spans="1:20" x14ac:dyDescent="0.6">
      <c r="A334" s="201"/>
      <c r="B334" s="92"/>
      <c r="C334" s="181"/>
      <c r="D334" s="181"/>
      <c r="E334" s="226"/>
      <c r="F334" s="226"/>
      <c r="G334" s="181"/>
      <c r="H334" s="181"/>
      <c r="I334" s="181"/>
      <c r="J334" s="181"/>
      <c r="K334" s="181"/>
      <c r="L334" s="181"/>
      <c r="M334" s="181"/>
      <c r="N334" s="181"/>
      <c r="O334" s="181"/>
    </row>
    <row r="335" spans="1:20" x14ac:dyDescent="0.6">
      <c r="A335" s="200"/>
      <c r="B335" s="92"/>
      <c r="C335" s="181"/>
      <c r="D335" s="181"/>
      <c r="E335" s="226"/>
      <c r="F335" s="226"/>
      <c r="G335" s="181"/>
      <c r="H335" s="181"/>
      <c r="I335" s="181"/>
      <c r="J335" s="181"/>
      <c r="K335" s="181"/>
      <c r="L335" s="181"/>
      <c r="M335" s="181"/>
      <c r="N335" s="181"/>
      <c r="O335" s="181"/>
    </row>
    <row r="336" spans="1:20" x14ac:dyDescent="0.6">
      <c r="A336" s="199" t="s">
        <v>318</v>
      </c>
      <c r="B336" s="92"/>
      <c r="C336" s="181"/>
      <c r="D336" s="181"/>
      <c r="E336" s="226"/>
      <c r="F336" s="226"/>
      <c r="G336" s="181"/>
      <c r="H336" s="181"/>
      <c r="I336" s="181"/>
      <c r="J336" s="181"/>
      <c r="K336" s="181"/>
      <c r="L336" s="181"/>
      <c r="M336" s="181"/>
      <c r="N336" s="181"/>
      <c r="O336" s="181"/>
    </row>
    <row r="337" spans="1:15" x14ac:dyDescent="0.6">
      <c r="A337" s="199"/>
      <c r="B337" s="92"/>
      <c r="C337" s="181"/>
      <c r="D337" s="181"/>
      <c r="E337" s="226"/>
      <c r="F337" s="226"/>
      <c r="G337" s="181"/>
      <c r="H337" s="181"/>
      <c r="I337" s="181"/>
      <c r="J337" s="181"/>
      <c r="K337" s="181"/>
      <c r="L337" s="181"/>
      <c r="M337" s="181"/>
      <c r="N337" s="181"/>
      <c r="O337" s="181"/>
    </row>
    <row r="338" spans="1:15" x14ac:dyDescent="0.6">
      <c r="A338" s="199" t="s">
        <v>132</v>
      </c>
      <c r="B338" s="92"/>
      <c r="C338" s="181"/>
      <c r="D338" s="181"/>
      <c r="E338" s="226"/>
      <c r="F338" s="226"/>
      <c r="G338" s="181"/>
      <c r="H338" s="181"/>
      <c r="I338" s="181"/>
      <c r="J338" s="181"/>
      <c r="K338" s="181"/>
      <c r="L338" s="181"/>
      <c r="M338" s="181"/>
      <c r="N338" s="181"/>
      <c r="O338" s="181"/>
    </row>
    <row r="339" spans="1:15" x14ac:dyDescent="0.6">
      <c r="A339" s="200" t="s">
        <v>320</v>
      </c>
      <c r="B339" s="286">
        <v>0</v>
      </c>
      <c r="C339" s="286">
        <v>0</v>
      </c>
      <c r="D339" s="286">
        <v>0</v>
      </c>
      <c r="E339" s="287">
        <v>0</v>
      </c>
      <c r="F339" s="207">
        <f t="shared" ref="F339:O339" si="181">F340*F8</f>
        <v>1.2330000000000001</v>
      </c>
      <c r="G339" s="204">
        <f t="shared" si="181"/>
        <v>4.2840000000000007</v>
      </c>
      <c r="H339" s="204">
        <f t="shared" si="181"/>
        <v>6.056</v>
      </c>
      <c r="I339" s="204">
        <f t="shared" si="181"/>
        <v>8.7200000000000006</v>
      </c>
      <c r="J339" s="204">
        <f t="shared" si="181"/>
        <v>11.904</v>
      </c>
      <c r="K339" s="204">
        <f t="shared" si="181"/>
        <v>14.196000000000002</v>
      </c>
      <c r="L339" s="204">
        <f t="shared" si="181"/>
        <v>16.408000000000001</v>
      </c>
      <c r="M339" s="204">
        <f t="shared" si="181"/>
        <v>18.405000000000005</v>
      </c>
      <c r="N339" s="204">
        <f t="shared" si="181"/>
        <v>20.352000000000004</v>
      </c>
      <c r="O339" s="204">
        <f t="shared" si="181"/>
        <v>22.219000000000008</v>
      </c>
    </row>
    <row r="340" spans="1:15" x14ac:dyDescent="0.6">
      <c r="A340" s="200" t="s">
        <v>324</v>
      </c>
      <c r="B340" s="179"/>
      <c r="C340" s="179"/>
      <c r="D340" s="179"/>
      <c r="E340" s="225"/>
      <c r="F340" s="231">
        <v>0.03</v>
      </c>
      <c r="G340" s="180">
        <v>7.0000000000000007E-2</v>
      </c>
      <c r="H340" s="180">
        <v>0.08</v>
      </c>
      <c r="I340" s="180">
        <v>0.1</v>
      </c>
      <c r="J340" s="180">
        <v>0.12</v>
      </c>
      <c r="K340" s="242">
        <f>J340+1%</f>
        <v>0.13</v>
      </c>
      <c r="L340" s="242">
        <f>K340+1%</f>
        <v>0.14000000000000001</v>
      </c>
      <c r="M340" s="242">
        <f>L340+1%</f>
        <v>0.15000000000000002</v>
      </c>
      <c r="N340" s="242">
        <f>M340+1%</f>
        <v>0.16000000000000003</v>
      </c>
      <c r="O340" s="242">
        <f>N340+1%</f>
        <v>0.17000000000000004</v>
      </c>
    </row>
    <row r="341" spans="1:15" x14ac:dyDescent="0.6">
      <c r="B341" s="92"/>
      <c r="C341" s="181"/>
      <c r="D341" s="181"/>
      <c r="E341" s="226"/>
      <c r="F341" s="226"/>
      <c r="G341" s="181"/>
      <c r="H341" s="181"/>
      <c r="I341" s="181"/>
      <c r="J341" s="181"/>
      <c r="K341" s="181"/>
      <c r="L341" s="181"/>
      <c r="M341" s="181"/>
      <c r="N341" s="181"/>
      <c r="O341" s="181"/>
    </row>
    <row r="342" spans="1:15" x14ac:dyDescent="0.6">
      <c r="A342" s="199"/>
      <c r="B342" s="92"/>
      <c r="C342" s="181"/>
      <c r="D342" s="181"/>
      <c r="E342" s="226"/>
      <c r="F342" s="226"/>
      <c r="G342" s="181"/>
      <c r="H342" s="181"/>
      <c r="I342" s="181"/>
      <c r="J342" s="181"/>
      <c r="K342" s="181"/>
      <c r="L342" s="181"/>
      <c r="M342" s="181"/>
      <c r="N342" s="181"/>
      <c r="O342" s="181"/>
    </row>
    <row r="343" spans="1:15" x14ac:dyDescent="0.6">
      <c r="A343" s="200" t="s">
        <v>315</v>
      </c>
      <c r="B343" s="92"/>
      <c r="C343" s="181"/>
      <c r="D343" s="181"/>
      <c r="E343" s="226"/>
      <c r="F343" s="226"/>
      <c r="G343" s="181"/>
      <c r="H343" s="181"/>
      <c r="I343" s="181"/>
      <c r="J343" s="181"/>
      <c r="K343" s="181"/>
      <c r="L343" s="181"/>
      <c r="M343" s="181"/>
      <c r="N343" s="181"/>
      <c r="O343" s="181"/>
    </row>
    <row r="344" spans="1:15" x14ac:dyDescent="0.6">
      <c r="A344" s="201" t="s">
        <v>320</v>
      </c>
      <c r="B344" s="208">
        <v>0</v>
      </c>
      <c r="C344" s="208">
        <v>8.5000000000000006E-2</v>
      </c>
      <c r="D344" s="208">
        <v>0.35</v>
      </c>
      <c r="E344" s="229">
        <v>0.8899999999999999</v>
      </c>
      <c r="F344" s="207">
        <v>2.0393327370183809</v>
      </c>
      <c r="G344" s="204">
        <v>2.3963658219425166</v>
      </c>
      <c r="H344" s="204">
        <v>2.7929058828541149</v>
      </c>
      <c r="I344" s="204">
        <v>3.2310535052252498</v>
      </c>
      <c r="J344" s="204">
        <v>3.6488813055340086</v>
      </c>
      <c r="K344" s="204">
        <v>4.0990895805604666</v>
      </c>
      <c r="L344" s="204">
        <v>4.5825992694813715</v>
      </c>
      <c r="M344" s="204">
        <v>5.1003602508999917</v>
      </c>
      <c r="N344" s="204">
        <v>5.653315406993225</v>
      </c>
      <c r="O344" s="204">
        <v>6.2423760830089323</v>
      </c>
    </row>
    <row r="345" spans="1:15" x14ac:dyDescent="0.6">
      <c r="A345" s="201" t="s">
        <v>324</v>
      </c>
      <c r="B345" s="159">
        <f t="shared" ref="B345:O345" si="182">B344/B329</f>
        <v>0</v>
      </c>
      <c r="C345" s="159">
        <f t="shared" si="182"/>
        <v>8.9976629893570886E-2</v>
      </c>
      <c r="D345" s="159">
        <f t="shared" si="182"/>
        <v>0.11864550561926301</v>
      </c>
      <c r="E345" s="177">
        <f t="shared" si="182"/>
        <v>0.13459546067735012</v>
      </c>
      <c r="F345" s="223">
        <f t="shared" si="182"/>
        <v>0.25</v>
      </c>
      <c r="G345" s="159">
        <f t="shared" si="182"/>
        <v>0.26</v>
      </c>
      <c r="H345" s="159">
        <f t="shared" si="182"/>
        <v>0.27</v>
      </c>
      <c r="I345" s="159">
        <f t="shared" si="182"/>
        <v>0.28000000000000003</v>
      </c>
      <c r="J345" s="159">
        <f t="shared" si="182"/>
        <v>0.28500000000000003</v>
      </c>
      <c r="K345" s="159">
        <f t="shared" si="182"/>
        <v>0.29000000000000004</v>
      </c>
      <c r="L345" s="159">
        <f t="shared" si="182"/>
        <v>0.29500000000000004</v>
      </c>
      <c r="M345" s="159">
        <f t="shared" si="182"/>
        <v>0.30000000000000004</v>
      </c>
      <c r="N345" s="159">
        <f t="shared" si="182"/>
        <v>0.30500000000000005</v>
      </c>
      <c r="O345" s="159">
        <f t="shared" si="182"/>
        <v>0.31000000000000005</v>
      </c>
    </row>
    <row r="346" spans="1:15" x14ac:dyDescent="0.6">
      <c r="A346" s="37" t="s">
        <v>329</v>
      </c>
      <c r="B346" s="92"/>
      <c r="C346" s="181"/>
      <c r="D346" s="181"/>
      <c r="E346" s="212">
        <v>262.2076923076923</v>
      </c>
      <c r="F346" s="209">
        <v>300</v>
      </c>
      <c r="G346" s="210">
        <f t="shared" ref="G346:O346" si="183">F346</f>
        <v>300</v>
      </c>
      <c r="H346" s="210">
        <f t="shared" si="183"/>
        <v>300</v>
      </c>
      <c r="I346" s="210">
        <f t="shared" si="183"/>
        <v>300</v>
      </c>
      <c r="J346" s="210">
        <f t="shared" si="183"/>
        <v>300</v>
      </c>
      <c r="K346" s="210">
        <f t="shared" si="183"/>
        <v>300</v>
      </c>
      <c r="L346" s="210">
        <f t="shared" si="183"/>
        <v>300</v>
      </c>
      <c r="M346" s="210">
        <f t="shared" si="183"/>
        <v>300</v>
      </c>
      <c r="N346" s="210">
        <f t="shared" si="183"/>
        <v>300</v>
      </c>
      <c r="O346" s="210">
        <f t="shared" si="183"/>
        <v>300</v>
      </c>
    </row>
    <row r="347" spans="1:15" x14ac:dyDescent="0.6">
      <c r="A347" s="37" t="s">
        <v>330</v>
      </c>
      <c r="B347" s="92"/>
      <c r="C347" s="181"/>
      <c r="D347" s="181"/>
      <c r="E347" s="246">
        <f>E346/E4</f>
        <v>50.86275843957408</v>
      </c>
      <c r="F347" s="247">
        <f>F346/F4</f>
        <v>55.60085995996738</v>
      </c>
      <c r="G347" s="248">
        <f t="shared" ref="G347:O347" si="184">F347</f>
        <v>55.60085995996738</v>
      </c>
      <c r="H347" s="248">
        <f t="shared" si="184"/>
        <v>55.60085995996738</v>
      </c>
      <c r="I347" s="248">
        <f t="shared" si="184"/>
        <v>55.60085995996738</v>
      </c>
      <c r="J347" s="248">
        <f t="shared" si="184"/>
        <v>55.60085995996738</v>
      </c>
      <c r="K347" s="248">
        <f t="shared" si="184"/>
        <v>55.60085995996738</v>
      </c>
      <c r="L347" s="248">
        <f t="shared" si="184"/>
        <v>55.60085995996738</v>
      </c>
      <c r="M347" s="248">
        <f t="shared" si="184"/>
        <v>55.60085995996738</v>
      </c>
      <c r="N347" s="248">
        <f t="shared" si="184"/>
        <v>55.60085995996738</v>
      </c>
      <c r="O347" s="248">
        <f t="shared" si="184"/>
        <v>55.60085995996738</v>
      </c>
    </row>
    <row r="348" spans="1:15" x14ac:dyDescent="0.6">
      <c r="A348" s="167"/>
      <c r="B348" s="92"/>
      <c r="C348" s="181"/>
      <c r="D348" s="181"/>
      <c r="E348" s="226"/>
      <c r="F348" s="226"/>
      <c r="G348" s="181"/>
      <c r="H348" s="181"/>
      <c r="I348" s="181"/>
      <c r="J348" s="181"/>
      <c r="K348" s="181"/>
      <c r="L348" s="181"/>
      <c r="M348" s="181"/>
      <c r="N348" s="181"/>
      <c r="O348" s="181"/>
    </row>
    <row r="349" spans="1:15" x14ac:dyDescent="0.6">
      <c r="A349" s="199" t="s">
        <v>319</v>
      </c>
      <c r="B349" s="92"/>
      <c r="C349" s="181"/>
      <c r="D349" s="181"/>
      <c r="E349" s="226"/>
      <c r="F349" s="226"/>
      <c r="G349" s="181"/>
      <c r="H349" s="181"/>
      <c r="I349" s="181"/>
      <c r="J349" s="181"/>
      <c r="K349" s="181"/>
      <c r="L349" s="181"/>
      <c r="M349" s="181"/>
      <c r="N349" s="181"/>
      <c r="O349" s="181"/>
    </row>
    <row r="350" spans="1:15" x14ac:dyDescent="0.6">
      <c r="A350" s="167"/>
      <c r="B350" s="92"/>
      <c r="C350" s="181"/>
      <c r="D350" s="181"/>
      <c r="E350" s="226"/>
      <c r="F350" s="226"/>
      <c r="G350" s="181"/>
      <c r="H350" s="181"/>
      <c r="I350" s="181"/>
      <c r="J350" s="181"/>
      <c r="K350" s="181"/>
      <c r="L350" s="181"/>
      <c r="M350" s="181"/>
      <c r="N350" s="181"/>
      <c r="O350" s="181"/>
    </row>
    <row r="351" spans="1:15" x14ac:dyDescent="0.6">
      <c r="A351" s="199" t="s">
        <v>132</v>
      </c>
      <c r="B351" s="92"/>
      <c r="C351" s="181"/>
      <c r="D351" s="181"/>
      <c r="E351" s="226"/>
      <c r="F351" s="226"/>
      <c r="G351" s="181"/>
      <c r="H351" s="181"/>
      <c r="I351" s="181"/>
      <c r="J351" s="181"/>
      <c r="K351" s="181"/>
      <c r="L351" s="181"/>
      <c r="M351" s="181"/>
      <c r="N351" s="181"/>
      <c r="O351" s="181"/>
    </row>
    <row r="352" spans="1:15" x14ac:dyDescent="0.6">
      <c r="A352" s="200" t="s">
        <v>320</v>
      </c>
      <c r="B352" s="286">
        <v>0</v>
      </c>
      <c r="C352" s="286">
        <v>0</v>
      </c>
      <c r="D352" s="286">
        <v>0</v>
      </c>
      <c r="E352" s="287">
        <v>0</v>
      </c>
      <c r="F352" s="207">
        <f t="shared" ref="F352:O352" si="185">F353*F8</f>
        <v>3.2880000000000003</v>
      </c>
      <c r="G352" s="204">
        <f t="shared" si="185"/>
        <v>7.3440000000000003</v>
      </c>
      <c r="H352" s="204">
        <f t="shared" si="185"/>
        <v>11.355</v>
      </c>
      <c r="I352" s="204">
        <f t="shared" si="185"/>
        <v>13.952</v>
      </c>
      <c r="J352" s="204">
        <f t="shared" si="185"/>
        <v>16.864000000000001</v>
      </c>
      <c r="K352" s="204">
        <f t="shared" si="185"/>
        <v>19.656000000000002</v>
      </c>
      <c r="L352" s="204">
        <f t="shared" si="185"/>
        <v>22.268000000000004</v>
      </c>
      <c r="M352" s="204">
        <f t="shared" si="185"/>
        <v>24.540000000000006</v>
      </c>
      <c r="N352" s="204">
        <f t="shared" si="185"/>
        <v>26.712000000000007</v>
      </c>
      <c r="O352" s="204">
        <f t="shared" si="185"/>
        <v>28.754000000000012</v>
      </c>
    </row>
    <row r="353" spans="1:15" x14ac:dyDescent="0.6">
      <c r="A353" s="200" t="s">
        <v>324</v>
      </c>
      <c r="B353" s="179"/>
      <c r="C353" s="179"/>
      <c r="D353" s="179"/>
      <c r="E353" s="225"/>
      <c r="F353" s="223">
        <v>0.08</v>
      </c>
      <c r="G353" s="218">
        <v>0.12</v>
      </c>
      <c r="H353" s="159">
        <v>0.15</v>
      </c>
      <c r="I353" s="159">
        <f t="shared" ref="I353:O353" si="186">H353+1%</f>
        <v>0.16</v>
      </c>
      <c r="J353" s="159">
        <f t="shared" si="186"/>
        <v>0.17</v>
      </c>
      <c r="K353" s="159">
        <f t="shared" si="186"/>
        <v>0.18000000000000002</v>
      </c>
      <c r="L353" s="159">
        <f t="shared" si="186"/>
        <v>0.19000000000000003</v>
      </c>
      <c r="M353" s="159">
        <f t="shared" si="186"/>
        <v>0.20000000000000004</v>
      </c>
      <c r="N353" s="159">
        <f t="shared" si="186"/>
        <v>0.21000000000000005</v>
      </c>
      <c r="O353" s="159">
        <f t="shared" si="186"/>
        <v>0.22000000000000006</v>
      </c>
    </row>
    <row r="354" spans="1:15" x14ac:dyDescent="0.6">
      <c r="B354" s="92"/>
      <c r="C354" s="181"/>
      <c r="D354" s="181"/>
      <c r="E354" s="226"/>
      <c r="F354" s="226"/>
      <c r="G354" s="181"/>
      <c r="H354" s="181"/>
      <c r="I354" s="181"/>
      <c r="J354" s="181"/>
      <c r="K354" s="181"/>
      <c r="L354" s="181"/>
      <c r="M354" s="181"/>
      <c r="N354" s="181"/>
      <c r="O354" s="181"/>
    </row>
    <row r="355" spans="1:15" x14ac:dyDescent="0.6">
      <c r="A355" s="199"/>
      <c r="B355" s="92"/>
      <c r="C355" s="181"/>
      <c r="D355" s="181"/>
      <c r="E355" s="226"/>
      <c r="F355" s="226"/>
      <c r="G355" s="181"/>
      <c r="H355" s="181"/>
      <c r="I355" s="181"/>
      <c r="J355" s="181"/>
      <c r="K355" s="181"/>
      <c r="L355" s="181"/>
      <c r="M355" s="181"/>
      <c r="N355" s="181"/>
      <c r="O355" s="181"/>
    </row>
    <row r="356" spans="1:15" x14ac:dyDescent="0.6">
      <c r="A356" s="200" t="s">
        <v>315</v>
      </c>
      <c r="B356" s="92"/>
      <c r="C356" s="181"/>
      <c r="D356" s="181"/>
      <c r="E356" s="226"/>
      <c r="F356" s="226"/>
      <c r="G356" s="181"/>
      <c r="H356" s="181"/>
      <c r="I356" s="181"/>
      <c r="J356" s="181"/>
      <c r="K356" s="181"/>
      <c r="L356" s="181"/>
      <c r="M356" s="181"/>
      <c r="N356" s="181"/>
      <c r="O356" s="181"/>
    </row>
    <row r="357" spans="1:15" x14ac:dyDescent="0.6">
      <c r="A357" s="201" t="s">
        <v>320</v>
      </c>
      <c r="B357" s="288">
        <v>0</v>
      </c>
      <c r="C357" s="288">
        <v>8.5000000000000006E-2</v>
      </c>
      <c r="D357" s="288">
        <v>0.35</v>
      </c>
      <c r="E357" s="289">
        <v>0.8899999999999999</v>
      </c>
      <c r="F357" s="207">
        <v>2.0393327370183809</v>
      </c>
      <c r="G357" s="204">
        <v>2.3963658219425166</v>
      </c>
      <c r="H357" s="204">
        <v>2.7929058828541149</v>
      </c>
      <c r="I357" s="204">
        <v>3.2310535052252498</v>
      </c>
      <c r="J357" s="204">
        <v>3.6488813055340086</v>
      </c>
      <c r="K357" s="204">
        <v>4.0990895805604666</v>
      </c>
      <c r="L357" s="204">
        <v>4.5825992694813715</v>
      </c>
      <c r="M357" s="204">
        <v>5.1003602508999917</v>
      </c>
      <c r="N357" s="204">
        <v>5.653315406993225</v>
      </c>
      <c r="O357" s="204">
        <v>6.2423760830089323</v>
      </c>
    </row>
    <row r="358" spans="1:15" x14ac:dyDescent="0.6">
      <c r="A358" s="201" t="s">
        <v>324</v>
      </c>
      <c r="B358" s="179">
        <f>B357/B329</f>
        <v>0</v>
      </c>
      <c r="C358" s="179">
        <f>C357/C329</f>
        <v>8.9976629893570886E-2</v>
      </c>
      <c r="D358" s="179">
        <f>D357/D329</f>
        <v>0.11864550561926301</v>
      </c>
      <c r="E358" s="225">
        <f>E357/E329</f>
        <v>0.13459546067735012</v>
      </c>
      <c r="F358" s="230">
        <v>0.25</v>
      </c>
      <c r="G358" s="117">
        <f>F358+1%</f>
        <v>0.26</v>
      </c>
      <c r="H358" s="117">
        <f>G358+1%</f>
        <v>0.27</v>
      </c>
      <c r="I358" s="117">
        <f>H358+1%</f>
        <v>0.28000000000000003</v>
      </c>
      <c r="J358" s="117">
        <f t="shared" ref="J358:O358" si="187">I358+0.5%</f>
        <v>0.28500000000000003</v>
      </c>
      <c r="K358" s="117">
        <f t="shared" si="187"/>
        <v>0.29000000000000004</v>
      </c>
      <c r="L358" s="117">
        <f t="shared" si="187"/>
        <v>0.29500000000000004</v>
      </c>
      <c r="M358" s="117">
        <f t="shared" si="187"/>
        <v>0.30000000000000004</v>
      </c>
      <c r="N358" s="117">
        <f t="shared" si="187"/>
        <v>0.30500000000000005</v>
      </c>
      <c r="O358" s="117">
        <f t="shared" si="187"/>
        <v>0.31000000000000005</v>
      </c>
    </row>
    <row r="359" spans="1:15" x14ac:dyDescent="0.6">
      <c r="A359" s="206" t="s">
        <v>329</v>
      </c>
      <c r="B359" s="211"/>
      <c r="C359" s="211">
        <v>0</v>
      </c>
      <c r="D359" s="212">
        <v>47.431428571428569</v>
      </c>
      <c r="E359" s="212">
        <v>21.760674157303374</v>
      </c>
      <c r="F359" s="213">
        <v>30</v>
      </c>
      <c r="G359" s="308">
        <f>F359-5</f>
        <v>25</v>
      </c>
      <c r="H359" s="308">
        <f>G359-5</f>
        <v>20</v>
      </c>
      <c r="I359" s="308">
        <f>H359+1</f>
        <v>21</v>
      </c>
      <c r="J359" s="308">
        <f t="shared" ref="J359:O359" si="188">I359+1</f>
        <v>22</v>
      </c>
      <c r="K359" s="308">
        <f t="shared" si="188"/>
        <v>23</v>
      </c>
      <c r="L359" s="308">
        <f t="shared" si="188"/>
        <v>24</v>
      </c>
      <c r="M359" s="308">
        <f t="shared" si="188"/>
        <v>25</v>
      </c>
      <c r="N359" s="308">
        <f t="shared" si="188"/>
        <v>26</v>
      </c>
      <c r="O359" s="308">
        <f t="shared" si="188"/>
        <v>27</v>
      </c>
    </row>
    <row r="360" spans="1:15" x14ac:dyDescent="0.6">
      <c r="A360" s="37" t="s">
        <v>330</v>
      </c>
      <c r="B360" s="92"/>
      <c r="C360" s="181"/>
      <c r="D360" s="181"/>
      <c r="E360" s="249">
        <f t="shared" ref="E360:O360" si="189">E359/E4</f>
        <v>4.2211115295824362</v>
      </c>
      <c r="F360" s="250">
        <f t="shared" si="189"/>
        <v>5.5600859959967384</v>
      </c>
      <c r="G360" s="251">
        <f t="shared" si="189"/>
        <v>4.8449612403100772</v>
      </c>
      <c r="H360" s="251">
        <f t="shared" si="189"/>
        <v>3.988035892323031</v>
      </c>
      <c r="I360" s="251">
        <f t="shared" si="189"/>
        <v>4.0618955512572539</v>
      </c>
      <c r="J360" s="251">
        <f t="shared" si="189"/>
        <v>4.3650793650793647</v>
      </c>
      <c r="K360" s="251">
        <f t="shared" si="189"/>
        <v>4.4487427466150873</v>
      </c>
      <c r="L360" s="251">
        <f t="shared" si="189"/>
        <v>4.6421663442940035</v>
      </c>
      <c r="M360" s="251">
        <f t="shared" si="189"/>
        <v>4.8355899419729207</v>
      </c>
      <c r="N360" s="251">
        <f t="shared" si="189"/>
        <v>5.0290135396518378</v>
      </c>
      <c r="O360" s="251">
        <f t="shared" si="189"/>
        <v>5.2224371373307541</v>
      </c>
    </row>
    <row r="361" spans="1:15" x14ac:dyDescent="0.6">
      <c r="A361" s="167"/>
      <c r="B361" s="92"/>
      <c r="C361" s="181"/>
      <c r="D361" s="181"/>
      <c r="E361" s="226"/>
      <c r="F361" s="226"/>
      <c r="G361" s="181"/>
      <c r="H361" s="181"/>
      <c r="I361" s="181"/>
      <c r="J361" s="181"/>
      <c r="K361" s="181"/>
      <c r="L361" s="181"/>
      <c r="M361" s="181"/>
      <c r="N361" s="181"/>
      <c r="O361" s="181"/>
    </row>
    <row r="362" spans="1:15" x14ac:dyDescent="0.6">
      <c r="A362" s="167"/>
      <c r="B362" s="92"/>
      <c r="C362" s="181"/>
      <c r="D362" s="181"/>
      <c r="E362" s="226"/>
      <c r="F362" s="226"/>
      <c r="G362" s="181"/>
      <c r="H362" s="181"/>
      <c r="I362" s="181"/>
      <c r="J362" s="181"/>
      <c r="K362" s="181"/>
      <c r="L362" s="181"/>
      <c r="M362" s="181"/>
      <c r="N362" s="181"/>
      <c r="O362" s="181"/>
    </row>
    <row r="363" spans="1:15" x14ac:dyDescent="0.6">
      <c r="A363" s="167"/>
      <c r="B363" s="92"/>
      <c r="C363" s="181"/>
      <c r="D363" s="181"/>
      <c r="E363" s="226"/>
      <c r="F363" s="226"/>
      <c r="G363" s="181"/>
      <c r="H363" s="181"/>
      <c r="I363" s="181"/>
      <c r="J363" s="181"/>
      <c r="K363" s="181"/>
      <c r="L363" s="181"/>
      <c r="M363" s="181"/>
      <c r="N363" s="181"/>
      <c r="O363" s="181"/>
    </row>
    <row r="364" spans="1:15" x14ac:dyDescent="0.6">
      <c r="A364" s="167"/>
      <c r="B364" s="92"/>
      <c r="C364" s="181"/>
      <c r="D364" s="181"/>
      <c r="E364" s="226"/>
      <c r="F364" s="226"/>
      <c r="G364" s="181"/>
      <c r="H364" s="181"/>
      <c r="I364" s="181"/>
      <c r="J364" s="181"/>
      <c r="K364" s="181"/>
      <c r="L364" s="181"/>
      <c r="M364" s="181"/>
      <c r="N364" s="181"/>
      <c r="O364" s="181"/>
    </row>
    <row r="365" spans="1:15" x14ac:dyDescent="0.6">
      <c r="A365" s="167"/>
      <c r="B365" s="92"/>
      <c r="C365" s="181"/>
      <c r="D365" s="181"/>
      <c r="E365" s="226"/>
      <c r="F365" s="226"/>
      <c r="G365" s="181"/>
      <c r="H365" s="181"/>
      <c r="I365" s="181"/>
      <c r="J365" s="181"/>
      <c r="K365" s="181"/>
      <c r="L365" s="181"/>
      <c r="M365" s="181"/>
      <c r="N365" s="181"/>
      <c r="O365" s="181"/>
    </row>
    <row r="366" spans="1:15" x14ac:dyDescent="0.6">
      <c r="A366" s="167"/>
      <c r="B366" s="92"/>
      <c r="C366" s="181"/>
      <c r="D366" s="181"/>
      <c r="E366" s="226"/>
      <c r="F366" s="226"/>
      <c r="G366" s="181"/>
      <c r="H366" s="181"/>
      <c r="I366" s="181"/>
      <c r="J366" s="181"/>
      <c r="K366" s="181"/>
      <c r="L366" s="181"/>
      <c r="M366" s="181"/>
      <c r="N366" s="181"/>
      <c r="O366" s="181"/>
    </row>
    <row r="367" spans="1:15" x14ac:dyDescent="0.6">
      <c r="A367" s="167"/>
      <c r="B367" s="92"/>
      <c r="C367" s="181"/>
      <c r="D367" s="181"/>
      <c r="E367" s="226"/>
      <c r="F367" s="226"/>
      <c r="G367" s="181"/>
      <c r="H367" s="181"/>
      <c r="I367" s="181"/>
      <c r="J367" s="181"/>
      <c r="K367" s="181"/>
      <c r="L367" s="181"/>
      <c r="M367" s="181"/>
      <c r="N367" s="181"/>
      <c r="O367" s="181"/>
    </row>
    <row r="368" spans="1:15" x14ac:dyDescent="0.6">
      <c r="A368" s="167"/>
      <c r="B368" s="92"/>
      <c r="C368" s="181"/>
      <c r="D368" s="181"/>
      <c r="E368" s="226"/>
      <c r="F368" s="226"/>
      <c r="G368" s="181"/>
      <c r="H368" s="181"/>
      <c r="I368" s="181"/>
      <c r="J368" s="181"/>
      <c r="K368" s="181"/>
      <c r="L368" s="181"/>
      <c r="M368" s="181"/>
      <c r="N368" s="181"/>
      <c r="O368" s="181"/>
    </row>
    <row r="369" spans="1:15" x14ac:dyDescent="0.6">
      <c r="A369" s="167"/>
      <c r="B369" s="92"/>
      <c r="C369" s="181"/>
      <c r="D369" s="181"/>
      <c r="E369" s="226"/>
      <c r="F369" s="226"/>
      <c r="G369" s="181"/>
      <c r="H369" s="181"/>
      <c r="I369" s="181"/>
      <c r="J369" s="181"/>
      <c r="K369" s="181"/>
      <c r="L369" s="181"/>
      <c r="M369" s="181"/>
      <c r="N369" s="181"/>
      <c r="O369" s="181"/>
    </row>
    <row r="370" spans="1:15" x14ac:dyDescent="0.6">
      <c r="A370" s="167"/>
      <c r="B370" s="92"/>
      <c r="C370" s="181"/>
      <c r="D370" s="181"/>
      <c r="E370" s="226"/>
      <c r="F370" s="226"/>
      <c r="G370" s="181"/>
      <c r="H370" s="181"/>
      <c r="I370" s="181"/>
      <c r="J370" s="181"/>
      <c r="K370" s="181"/>
      <c r="L370" s="181"/>
      <c r="M370" s="181"/>
      <c r="N370" s="181"/>
      <c r="O370" s="181"/>
    </row>
    <row r="371" spans="1:15" ht="15.9" thickBot="1" x14ac:dyDescent="0.65">
      <c r="A371" s="87" t="s">
        <v>174</v>
      </c>
      <c r="B371" s="87"/>
      <c r="C371" s="109"/>
      <c r="D371" s="109"/>
      <c r="E371" s="126"/>
      <c r="F371" s="126"/>
      <c r="G371" s="109"/>
      <c r="H371" s="109"/>
      <c r="I371" s="109"/>
      <c r="J371" s="109"/>
      <c r="K371" s="109"/>
      <c r="L371" s="109"/>
      <c r="M371" s="109"/>
      <c r="N371" s="109"/>
      <c r="O371" s="109"/>
    </row>
    <row r="372" spans="1:15" x14ac:dyDescent="0.6">
      <c r="A372" s="20"/>
      <c r="B372" s="20"/>
      <c r="C372" s="126"/>
      <c r="D372" s="126"/>
      <c r="E372" s="126"/>
      <c r="F372" s="126"/>
      <c r="G372" s="126"/>
      <c r="H372" s="126"/>
      <c r="I372" s="126"/>
      <c r="J372" s="126"/>
      <c r="K372" s="126"/>
      <c r="L372" s="126"/>
      <c r="M372" s="126"/>
      <c r="N372" s="126"/>
      <c r="O372" s="126"/>
    </row>
    <row r="373" spans="1:15" x14ac:dyDescent="0.6">
      <c r="A373" s="118" t="s">
        <v>106</v>
      </c>
      <c r="B373" s="118"/>
      <c r="C373" s="126">
        <f>SUM(C374:C376)</f>
        <v>1769.8500000000001</v>
      </c>
      <c r="D373" s="126">
        <f>SUM(D374:D376)</f>
        <v>3010.4209999999998</v>
      </c>
      <c r="E373" s="126">
        <f>SUM(E374:E376)</f>
        <v>3118.8719999999998</v>
      </c>
      <c r="F373" s="126">
        <f>SUM(F374:F376)</f>
        <v>4367.8739999999998</v>
      </c>
      <c r="G373" s="126"/>
      <c r="H373" s="126"/>
      <c r="I373" s="126"/>
      <c r="J373" s="126"/>
      <c r="K373" s="126"/>
      <c r="L373" s="126"/>
      <c r="M373" s="126"/>
      <c r="N373" s="126"/>
      <c r="O373" s="126"/>
    </row>
    <row r="374" spans="1:15" x14ac:dyDescent="0.6">
      <c r="A374" s="136" t="s">
        <v>244</v>
      </c>
      <c r="B374" s="136"/>
      <c r="C374" s="152">
        <v>835.01</v>
      </c>
      <c r="D374" s="152">
        <v>1424.758</v>
      </c>
      <c r="E374" s="152">
        <v>1475.4169999999999</v>
      </c>
      <c r="F374" s="152">
        <v>2052.4369999999999</v>
      </c>
      <c r="G374" s="126"/>
      <c r="H374" s="126"/>
      <c r="I374" s="126"/>
      <c r="J374" s="126"/>
      <c r="K374" s="126"/>
      <c r="L374" s="126"/>
      <c r="M374" s="126"/>
      <c r="N374" s="126"/>
      <c r="O374" s="126"/>
    </row>
    <row r="375" spans="1:15" x14ac:dyDescent="0.6">
      <c r="A375" s="136" t="s">
        <v>245</v>
      </c>
      <c r="B375" s="136"/>
      <c r="C375" s="152">
        <v>766.44</v>
      </c>
      <c r="D375" s="152">
        <v>1316.2349999999999</v>
      </c>
      <c r="E375" s="152">
        <v>1443.7929999999999</v>
      </c>
      <c r="F375" s="152">
        <v>2045.231</v>
      </c>
      <c r="G375" s="126"/>
      <c r="H375" s="126"/>
      <c r="I375" s="126"/>
      <c r="J375" s="126"/>
      <c r="K375" s="126"/>
      <c r="L375" s="126"/>
      <c r="M375" s="126"/>
      <c r="N375" s="126"/>
      <c r="O375" s="126"/>
    </row>
    <row r="376" spans="1:15" x14ac:dyDescent="0.6">
      <c r="A376" s="136" t="s">
        <v>246</v>
      </c>
      <c r="B376" s="136"/>
      <c r="C376" s="152">
        <v>168.4</v>
      </c>
      <c r="D376" s="152">
        <v>269.428</v>
      </c>
      <c r="E376" s="152">
        <v>199.66200000000001</v>
      </c>
      <c r="F376" s="152">
        <v>270.20600000000002</v>
      </c>
      <c r="G376" s="126"/>
      <c r="H376" s="126"/>
      <c r="I376" s="126"/>
      <c r="J376" s="126"/>
      <c r="K376" s="126"/>
      <c r="L376" s="126"/>
      <c r="M376" s="126"/>
      <c r="N376" s="126"/>
      <c r="O376" s="126"/>
    </row>
    <row r="377" spans="1:15" x14ac:dyDescent="0.6">
      <c r="A377" s="40"/>
      <c r="B377" s="40"/>
      <c r="C377" s="126"/>
      <c r="D377" s="126"/>
      <c r="E377" s="126"/>
      <c r="F377" s="126"/>
      <c r="G377" s="126"/>
      <c r="H377" s="126"/>
      <c r="I377" s="126"/>
      <c r="J377" s="126"/>
      <c r="K377" s="126"/>
      <c r="L377" s="126"/>
      <c r="M377" s="126"/>
      <c r="N377" s="126"/>
      <c r="O377" s="126"/>
    </row>
    <row r="378" spans="1:15" x14ac:dyDescent="0.6">
      <c r="A378" s="106" t="s">
        <v>158</v>
      </c>
      <c r="B378" s="106"/>
      <c r="C378" s="151">
        <v>128.5</v>
      </c>
      <c r="D378" s="151">
        <v>214.6</v>
      </c>
      <c r="E378" s="151">
        <v>217.5</v>
      </c>
      <c r="F378" s="126"/>
      <c r="G378" s="126"/>
      <c r="H378" s="126"/>
      <c r="I378" s="126"/>
      <c r="J378" s="126"/>
      <c r="K378" s="126"/>
      <c r="L378" s="126"/>
      <c r="M378" s="126"/>
      <c r="N378" s="126"/>
      <c r="O378" s="126"/>
    </row>
    <row r="379" spans="1:15" x14ac:dyDescent="0.6">
      <c r="A379" s="106" t="s">
        <v>252</v>
      </c>
      <c r="B379" s="106"/>
      <c r="C379" s="126"/>
      <c r="D379" s="126"/>
      <c r="E379" s="151">
        <v>10900</v>
      </c>
      <c r="F379" s="126"/>
      <c r="G379" s="126"/>
      <c r="H379" s="126"/>
      <c r="I379" s="126"/>
      <c r="J379" s="126"/>
      <c r="K379" s="126"/>
      <c r="L379" s="126"/>
      <c r="M379" s="126"/>
      <c r="N379" s="126"/>
      <c r="O379" s="126"/>
    </row>
    <row r="380" spans="1:15" x14ac:dyDescent="0.6">
      <c r="A380" s="106" t="s">
        <v>253</v>
      </c>
      <c r="B380" s="106"/>
      <c r="C380" s="126"/>
      <c r="D380" s="126"/>
      <c r="E380" s="221">
        <f>E378/E379</f>
        <v>1.9954128440366974E-2</v>
      </c>
      <c r="F380" s="126"/>
      <c r="G380" s="126"/>
      <c r="H380" s="126"/>
      <c r="I380" s="126"/>
      <c r="J380" s="126"/>
      <c r="K380" s="126"/>
      <c r="L380" s="126"/>
      <c r="M380" s="126"/>
      <c r="N380" s="126"/>
      <c r="O380" s="126"/>
    </row>
    <row r="381" spans="1:15" x14ac:dyDescent="0.6">
      <c r="A381" s="32"/>
      <c r="B381" s="32"/>
      <c r="C381" s="126"/>
      <c r="D381" s="126"/>
      <c r="E381" s="30"/>
      <c r="F381" s="126"/>
      <c r="G381" s="126"/>
      <c r="H381" s="126"/>
      <c r="I381" s="126"/>
      <c r="J381" s="126"/>
      <c r="K381" s="126"/>
      <c r="L381" s="126"/>
      <c r="M381" s="126"/>
      <c r="N381" s="126"/>
      <c r="O381" s="126"/>
    </row>
    <row r="382" spans="1:15" s="101" customFormat="1" ht="15.9" thickBot="1" x14ac:dyDescent="0.65">
      <c r="A382" s="87" t="s">
        <v>286</v>
      </c>
      <c r="B382" s="146"/>
      <c r="C382" s="147"/>
      <c r="D382" s="147"/>
      <c r="E382" s="147"/>
      <c r="F382" s="148"/>
      <c r="G382" s="148"/>
      <c r="H382" s="148"/>
      <c r="I382" s="148"/>
      <c r="J382" s="148"/>
      <c r="K382" s="148"/>
      <c r="L382" s="148"/>
      <c r="M382" s="148"/>
      <c r="N382" s="148"/>
      <c r="O382" s="148"/>
    </row>
    <row r="383" spans="1:15" x14ac:dyDescent="0.6">
      <c r="A383" s="115"/>
      <c r="B383" s="115"/>
      <c r="C383" s="44"/>
      <c r="D383" s="30"/>
      <c r="E383" s="30"/>
      <c r="F383" s="107"/>
      <c r="G383" s="107"/>
      <c r="H383" s="107"/>
      <c r="I383" s="107"/>
      <c r="J383" s="107"/>
      <c r="K383" s="107"/>
      <c r="L383" s="107"/>
      <c r="M383" s="107"/>
      <c r="N383" s="107"/>
      <c r="O383" s="107"/>
    </row>
    <row r="384" spans="1:15" x14ac:dyDescent="0.6">
      <c r="A384" t="s">
        <v>231</v>
      </c>
      <c r="C384" s="44"/>
      <c r="D384" s="30"/>
      <c r="E384" s="30"/>
      <c r="F384" s="107"/>
      <c r="G384" s="107"/>
      <c r="H384" s="107"/>
      <c r="I384" s="107"/>
      <c r="J384" s="107"/>
      <c r="K384" s="107"/>
      <c r="L384" s="107"/>
      <c r="M384" s="107"/>
      <c r="N384" s="107"/>
      <c r="O384" s="107"/>
    </row>
    <row r="385" spans="1:24" x14ac:dyDescent="0.6">
      <c r="A385" s="115" t="s">
        <v>179</v>
      </c>
      <c r="B385" s="115"/>
      <c r="C385" s="44"/>
      <c r="D385" s="156">
        <f>D35/D$33</f>
        <v>2.0390226753383724E-2</v>
      </c>
      <c r="E385" s="156">
        <f>E35/E$33</f>
        <v>6.5030829845712484E-2</v>
      </c>
      <c r="F385" s="156">
        <f>F35/F$33</f>
        <v>0.19995782645586591</v>
      </c>
      <c r="G385" s="107"/>
      <c r="H385" s="107"/>
      <c r="I385" s="107"/>
      <c r="J385" s="107"/>
      <c r="K385" s="107"/>
      <c r="L385" s="107"/>
      <c r="M385" s="107"/>
      <c r="N385" s="107"/>
      <c r="O385" s="107"/>
    </row>
    <row r="386" spans="1:24" x14ac:dyDescent="0.6">
      <c r="A386" s="115" t="s">
        <v>180</v>
      </c>
      <c r="B386" s="115"/>
      <c r="C386" s="44"/>
      <c r="D386" s="156">
        <f>D37/D$33</f>
        <v>0.97960977324661624</v>
      </c>
      <c r="E386" s="156">
        <f>E37/E$33</f>
        <v>0.93496917015428749</v>
      </c>
      <c r="F386" s="156">
        <f>F37/F$33</f>
        <v>0.80004217354413421</v>
      </c>
      <c r="G386" s="107"/>
      <c r="H386" s="107"/>
      <c r="I386" s="107"/>
      <c r="J386" s="107"/>
      <c r="K386" s="107"/>
      <c r="L386" s="107"/>
      <c r="M386" s="107"/>
      <c r="N386" s="107"/>
      <c r="O386" s="107"/>
    </row>
    <row r="387" spans="1:24" x14ac:dyDescent="0.6">
      <c r="A387" s="115"/>
      <c r="B387" s="115"/>
      <c r="C387" s="44"/>
      <c r="D387" s="44"/>
      <c r="E387" s="34"/>
      <c r="F387" s="107"/>
      <c r="G387" s="107"/>
      <c r="H387" s="107"/>
      <c r="I387" s="107"/>
      <c r="J387" s="107"/>
      <c r="K387" s="107"/>
      <c r="L387" s="107"/>
      <c r="M387" s="107"/>
      <c r="N387" s="107"/>
      <c r="O387" s="107"/>
      <c r="T387" s="128" t="s">
        <v>156</v>
      </c>
      <c r="U387" s="129">
        <v>2018</v>
      </c>
      <c r="V387" s="129">
        <v>2019</v>
      </c>
      <c r="W387" s="129">
        <v>2020</v>
      </c>
      <c r="X387" s="129" t="s">
        <v>251</v>
      </c>
    </row>
    <row r="388" spans="1:24" x14ac:dyDescent="0.6">
      <c r="A388" s="115"/>
      <c r="B388" s="115"/>
      <c r="C388" s="44"/>
      <c r="D388" s="44"/>
      <c r="E388" s="44"/>
      <c r="F388" s="107"/>
      <c r="G388" s="107"/>
      <c r="H388" s="107"/>
      <c r="I388" s="107"/>
      <c r="J388" s="107"/>
      <c r="K388" s="107"/>
      <c r="L388" s="107"/>
      <c r="M388" s="107"/>
      <c r="N388" s="107"/>
      <c r="O388" s="107"/>
      <c r="T388" s="77" t="str">
        <f>Drivers!A392</f>
        <v>Credit card revenue</v>
      </c>
      <c r="U388" s="141">
        <f>Drivers!C392</f>
        <v>128.5</v>
      </c>
      <c r="V388" s="141">
        <f>Drivers!D392</f>
        <v>214.6</v>
      </c>
      <c r="W388" s="141">
        <f>Drivers!E392</f>
        <v>217.5</v>
      </c>
      <c r="X388" s="141">
        <f>Drivers!F392</f>
        <v>245.2</v>
      </c>
    </row>
    <row r="389" spans="1:24" x14ac:dyDescent="0.6">
      <c r="A389" t="s">
        <v>181</v>
      </c>
      <c r="T389" s="79" t="s">
        <v>286</v>
      </c>
      <c r="U389" s="143">
        <f>Drivers!C37</f>
        <v>1623.8</v>
      </c>
      <c r="V389" s="143">
        <f>Drivers!D37</f>
        <v>2786.5</v>
      </c>
      <c r="W389" s="143">
        <f>Drivers!E37</f>
        <v>2908.9</v>
      </c>
      <c r="X389" s="143">
        <f>Drivers!F37</f>
        <v>4780.5</v>
      </c>
    </row>
    <row r="390" spans="1:24" ht="15.9" thickBot="1" x14ac:dyDescent="0.65">
      <c r="A390" s="115" t="s">
        <v>179</v>
      </c>
      <c r="B390" s="115"/>
      <c r="C390" s="31">
        <f>'Revenue and Expenses breakdown'!B11</f>
        <v>0</v>
      </c>
      <c r="D390" s="31">
        <f>'Revenue and Expenses breakdown'!C11</f>
        <v>8.6</v>
      </c>
      <c r="E390" s="31">
        <f>'Revenue and Expenses breakdown'!D11</f>
        <v>38.9</v>
      </c>
      <c r="F390" s="227">
        <v>161.19999999999999</v>
      </c>
      <c r="T390" s="133" t="str">
        <f>Drivers!A391</f>
        <v>Implied rate</v>
      </c>
      <c r="U390" s="134">
        <f>Drivers!C393</f>
        <v>7.9135361497721393E-2</v>
      </c>
      <c r="V390" s="134">
        <f>Drivers!D393</f>
        <v>7.7014175488964651E-2</v>
      </c>
      <c r="W390" s="134">
        <f>Drivers!E393</f>
        <v>7.4770531816150426E-2</v>
      </c>
      <c r="X390" s="134">
        <f>Drivers!F393</f>
        <v>5.1291705888505387E-2</v>
      </c>
    </row>
    <row r="391" spans="1:24" x14ac:dyDescent="0.6">
      <c r="A391" s="116" t="s">
        <v>182</v>
      </c>
      <c r="B391" s="116"/>
      <c r="D391" s="117">
        <f>D390/D35</f>
        <v>0.14827586206896551</v>
      </c>
      <c r="E391" s="171">
        <f>E390/E35</f>
        <v>0.19226436781609196</v>
      </c>
      <c r="F391" s="171">
        <f>F390/F35</f>
        <v>0.13491684870397805</v>
      </c>
      <c r="T391" s="79"/>
      <c r="U391" s="153"/>
      <c r="V391" s="153"/>
      <c r="W391" s="153"/>
    </row>
    <row r="392" spans="1:24" x14ac:dyDescent="0.6">
      <c r="A392" s="142" t="s">
        <v>254</v>
      </c>
      <c r="B392" s="142"/>
      <c r="C392" s="31">
        <f>'Revenue and Expenses breakdown'!B8</f>
        <v>128.5</v>
      </c>
      <c r="D392" s="31">
        <f>'Revenue and Expenses breakdown'!C8</f>
        <v>214.6</v>
      </c>
      <c r="E392" s="31">
        <f>'Revenue and Expenses breakdown'!D8</f>
        <v>217.5</v>
      </c>
      <c r="F392" s="227">
        <v>245.2</v>
      </c>
      <c r="T392" s="79"/>
      <c r="U392" s="154"/>
      <c r="V392" s="154"/>
      <c r="W392" s="154"/>
    </row>
    <row r="393" spans="1:24" x14ac:dyDescent="0.6">
      <c r="A393" s="116" t="s">
        <v>182</v>
      </c>
      <c r="B393" s="116"/>
      <c r="C393" s="140">
        <f>C392/C37</f>
        <v>7.9135361497721393E-2</v>
      </c>
      <c r="D393" s="140">
        <f>D392/D37</f>
        <v>7.7014175488964651E-2</v>
      </c>
      <c r="E393" s="34">
        <f>E392/E37</f>
        <v>7.4770531816150426E-2</v>
      </c>
      <c r="F393" s="34">
        <f>F392/F37</f>
        <v>5.1291705888505387E-2</v>
      </c>
      <c r="T393" s="79"/>
      <c r="U393" s="155"/>
      <c r="V393" s="155"/>
      <c r="W393" s="155"/>
    </row>
    <row r="394" spans="1:24" x14ac:dyDescent="0.6">
      <c r="A394" s="116"/>
      <c r="B394" s="116"/>
      <c r="D394" s="117"/>
      <c r="E394" s="171"/>
    </row>
    <row r="395" spans="1:24" x14ac:dyDescent="0.6">
      <c r="A395" s="127" t="s">
        <v>247</v>
      </c>
      <c r="B395" s="127"/>
      <c r="D395" s="117"/>
      <c r="E395" s="171"/>
    </row>
    <row r="396" spans="1:24" x14ac:dyDescent="0.6">
      <c r="A396" s="115" t="s">
        <v>179</v>
      </c>
      <c r="B396" s="115"/>
      <c r="D396" s="117">
        <f>D391</f>
        <v>0.14827586206896551</v>
      </c>
      <c r="E396" s="171">
        <f>E391</f>
        <v>0.19226436781609196</v>
      </c>
      <c r="F396" s="171">
        <f>F391</f>
        <v>0.13491684870397805</v>
      </c>
    </row>
    <row r="397" spans="1:24" x14ac:dyDescent="0.6">
      <c r="A397" s="115" t="s">
        <v>180</v>
      </c>
      <c r="B397" s="115"/>
      <c r="D397" s="117">
        <f>D393</f>
        <v>7.7014175488964651E-2</v>
      </c>
      <c r="E397" s="171">
        <f>E393</f>
        <v>7.4770531816150426E-2</v>
      </c>
      <c r="F397" s="171">
        <f>F393</f>
        <v>5.1291705888505387E-2</v>
      </c>
    </row>
    <row r="398" spans="1:24" x14ac:dyDescent="0.6">
      <c r="A398" s="115"/>
      <c r="B398" s="115"/>
      <c r="D398" s="117"/>
      <c r="E398" s="171"/>
    </row>
    <row r="418" spans="1:15" x14ac:dyDescent="0.6">
      <c r="A418" s="92"/>
      <c r="B418" s="92"/>
      <c r="C418" s="149"/>
      <c r="D418" s="161"/>
      <c r="E418" s="161"/>
      <c r="F418" s="231"/>
      <c r="G418" s="162"/>
      <c r="H418" s="162"/>
      <c r="I418" s="162"/>
      <c r="J418" s="162"/>
      <c r="K418" s="162"/>
      <c r="L418" s="162"/>
      <c r="M418" s="162"/>
      <c r="N418" s="162"/>
      <c r="O418" s="162"/>
    </row>
    <row r="419" spans="1:15" x14ac:dyDescent="0.6">
      <c r="A419" s="92"/>
      <c r="B419" s="92"/>
      <c r="C419" s="149"/>
      <c r="D419" s="161"/>
      <c r="E419" s="161"/>
      <c r="F419" s="231"/>
      <c r="G419" s="162"/>
      <c r="H419" s="162"/>
      <c r="I419" s="162"/>
      <c r="J419" s="162"/>
      <c r="K419" s="162"/>
      <c r="L419" s="162"/>
      <c r="M419" s="162"/>
      <c r="N419" s="162"/>
      <c r="O419" s="162"/>
    </row>
    <row r="420" spans="1:15" x14ac:dyDescent="0.6">
      <c r="B420" s="92"/>
      <c r="C420" s="149"/>
      <c r="D420" s="161"/>
      <c r="E420" s="161"/>
      <c r="F420" s="231"/>
      <c r="G420" s="162"/>
      <c r="H420" s="162"/>
      <c r="I420" s="162"/>
      <c r="J420" s="162"/>
      <c r="K420" s="162"/>
      <c r="L420" s="162"/>
      <c r="M420" s="162"/>
      <c r="N420" s="162"/>
      <c r="O420" s="162"/>
    </row>
    <row r="421" spans="1:15" x14ac:dyDescent="0.6">
      <c r="A421" s="92"/>
      <c r="B421" s="92"/>
      <c r="C421" s="149"/>
      <c r="D421" s="161"/>
      <c r="E421" s="161"/>
      <c r="F421" s="231"/>
      <c r="G421" s="162"/>
      <c r="H421" s="162"/>
      <c r="I421" s="162"/>
      <c r="J421" s="162"/>
      <c r="K421" s="162"/>
      <c r="L421" s="162"/>
      <c r="M421" s="162"/>
      <c r="N421" s="162"/>
      <c r="O421" s="162"/>
    </row>
    <row r="423" spans="1:15" s="101" customFormat="1" ht="15.9" thickBot="1" x14ac:dyDescent="0.65">
      <c r="A423" s="87" t="s">
        <v>227</v>
      </c>
      <c r="B423" s="87"/>
      <c r="C423" s="109"/>
      <c r="D423" s="109"/>
      <c r="E423" s="109"/>
      <c r="F423" s="109"/>
      <c r="G423" s="109"/>
      <c r="H423" s="109"/>
      <c r="I423" s="109"/>
      <c r="J423" s="109"/>
      <c r="K423" s="109"/>
      <c r="L423" s="109"/>
      <c r="M423" s="109"/>
      <c r="N423" s="109"/>
      <c r="O423" s="109"/>
    </row>
    <row r="425" spans="1:15" x14ac:dyDescent="0.6">
      <c r="A425" t="s">
        <v>228</v>
      </c>
      <c r="E425" s="112"/>
      <c r="F425" s="227">
        <v>845.8</v>
      </c>
    </row>
    <row r="426" spans="1:15" x14ac:dyDescent="0.6">
      <c r="A426" t="s">
        <v>229</v>
      </c>
      <c r="E426" s="112"/>
      <c r="F426" s="227">
        <v>13</v>
      </c>
    </row>
    <row r="427" spans="1:15" x14ac:dyDescent="0.6">
      <c r="A427" t="s">
        <v>230</v>
      </c>
      <c r="E427" s="112"/>
      <c r="F427" s="227">
        <v>0.2</v>
      </c>
    </row>
    <row r="430" spans="1:15" x14ac:dyDescent="0.6">
      <c r="A430" t="s">
        <v>228</v>
      </c>
      <c r="E430" s="34"/>
      <c r="F430" s="34">
        <f>F425/SUM($F$425:$F$427)</f>
        <v>0.98463329452852144</v>
      </c>
    </row>
    <row r="431" spans="1:15" x14ac:dyDescent="0.6">
      <c r="A431" t="s">
        <v>229</v>
      </c>
      <c r="E431" s="34"/>
      <c r="F431" s="34">
        <f>F426/SUM($F$425:$F$427)</f>
        <v>1.5133876600698487E-2</v>
      </c>
    </row>
    <row r="432" spans="1:15" x14ac:dyDescent="0.6">
      <c r="A432" t="s">
        <v>230</v>
      </c>
      <c r="E432" s="34"/>
      <c r="F432" s="34">
        <f>F427/SUM($F$425:$F$427)</f>
        <v>2.3282887077997672E-4</v>
      </c>
    </row>
    <row r="437" spans="19:23" x14ac:dyDescent="0.6">
      <c r="S437" s="128" t="s">
        <v>156</v>
      </c>
      <c r="T437" s="129">
        <v>2018</v>
      </c>
      <c r="U437" s="129">
        <v>2019</v>
      </c>
      <c r="V437" s="129">
        <v>2020</v>
      </c>
      <c r="W437" s="129" t="s">
        <v>251</v>
      </c>
    </row>
    <row r="438" spans="19:23" x14ac:dyDescent="0.6">
      <c r="S438" s="77" t="s">
        <v>236</v>
      </c>
      <c r="T438" s="130">
        <v>9.6</v>
      </c>
      <c r="U438" s="130">
        <v>17.100000000000001</v>
      </c>
      <c r="V438" s="130">
        <v>22.5</v>
      </c>
      <c r="W438" s="130">
        <v>29.4</v>
      </c>
    </row>
    <row r="439" spans="19:23" x14ac:dyDescent="0.6">
      <c r="S439" s="79" t="s">
        <v>237</v>
      </c>
      <c r="T439" s="79">
        <v>116.5</v>
      </c>
      <c r="U439" s="79">
        <v>203.9</v>
      </c>
      <c r="V439" s="79">
        <v>254.3</v>
      </c>
      <c r="W439" s="79">
        <v>321.5</v>
      </c>
    </row>
    <row r="440" spans="19:23" ht="15.9" thickBot="1" x14ac:dyDescent="0.65">
      <c r="S440" s="133" t="s">
        <v>238</v>
      </c>
      <c r="T440" s="134">
        <v>1.2135416666666666E-2</v>
      </c>
      <c r="U440" s="134">
        <v>1.1923976608187135E-2</v>
      </c>
      <c r="V440" s="134">
        <v>1.1302222222222222E-2</v>
      </c>
      <c r="W440" s="134">
        <v>1.0935374149659864E-2</v>
      </c>
    </row>
    <row r="441" spans="19:23" x14ac:dyDescent="0.6">
      <c r="S441" s="79"/>
      <c r="T441" s="80"/>
      <c r="U441" s="80"/>
      <c r="V441" s="80"/>
      <c r="W441" s="80"/>
    </row>
    <row r="442" spans="19:23" x14ac:dyDescent="0.6">
      <c r="S442" s="77" t="s">
        <v>242</v>
      </c>
      <c r="T442" s="131" t="s">
        <v>241</v>
      </c>
      <c r="U442" s="131" t="s">
        <v>241</v>
      </c>
      <c r="V442" s="131" t="s">
        <v>241</v>
      </c>
      <c r="W442" s="131" t="s">
        <v>241</v>
      </c>
    </row>
    <row r="443" spans="19:23" x14ac:dyDescent="0.6">
      <c r="S443" s="79" t="s">
        <v>250</v>
      </c>
      <c r="T443" s="132" t="s">
        <v>243</v>
      </c>
      <c r="U443" s="132" t="s">
        <v>243</v>
      </c>
      <c r="V443" s="132" t="s">
        <v>243</v>
      </c>
      <c r="W443" s="132" t="s">
        <v>243</v>
      </c>
    </row>
    <row r="444" spans="19:23" x14ac:dyDescent="0.6">
      <c r="S444" s="77" t="s">
        <v>239</v>
      </c>
      <c r="T444" s="137">
        <v>0.71</v>
      </c>
      <c r="U444" s="137">
        <v>0.7</v>
      </c>
      <c r="V444" s="137">
        <v>0.63</v>
      </c>
      <c r="W444" s="137">
        <v>0.59599999999999997</v>
      </c>
    </row>
    <row r="445" spans="19:23" x14ac:dyDescent="0.6">
      <c r="S445" s="79" t="s">
        <v>240</v>
      </c>
      <c r="T445" s="138">
        <v>0.29000000000000004</v>
      </c>
      <c r="U445" s="138">
        <v>0.30000000000000004</v>
      </c>
      <c r="V445" s="138">
        <v>0.37</v>
      </c>
      <c r="W445" s="138">
        <v>0.40400000000000003</v>
      </c>
    </row>
    <row r="446" spans="19:23" x14ac:dyDescent="0.6">
      <c r="S446" s="77" t="s">
        <v>248</v>
      </c>
      <c r="T446" s="130">
        <v>6.8159999999999998</v>
      </c>
      <c r="U446" s="130">
        <v>11.97</v>
      </c>
      <c r="V446" s="130">
        <v>14.175000000000001</v>
      </c>
      <c r="W446" s="130">
        <v>17.522399999999998</v>
      </c>
    </row>
    <row r="447" spans="19:23" ht="15.9" thickBot="1" x14ac:dyDescent="0.65">
      <c r="S447" s="135" t="s">
        <v>249</v>
      </c>
      <c r="T447" s="139">
        <v>2.7840000000000003</v>
      </c>
      <c r="U447" s="139">
        <v>5.1300000000000008</v>
      </c>
      <c r="V447" s="139">
        <v>8.3249999999999993</v>
      </c>
      <c r="W447" s="139">
        <v>11.877600000000001</v>
      </c>
    </row>
    <row r="452" spans="1:15" x14ac:dyDescent="0.6">
      <c r="A452" s="376" t="s">
        <v>228</v>
      </c>
      <c r="B452" s="129">
        <f t="shared" ref="B452:O452" si="190">B1</f>
        <v>2017</v>
      </c>
      <c r="C452" s="129">
        <f t="shared" si="190"/>
        <v>2018</v>
      </c>
      <c r="D452" s="129">
        <f t="shared" si="190"/>
        <v>2019</v>
      </c>
      <c r="E452" s="129">
        <f t="shared" si="190"/>
        <v>2020</v>
      </c>
      <c r="F452" s="129">
        <f t="shared" si="190"/>
        <v>2021</v>
      </c>
      <c r="G452" s="129">
        <f t="shared" si="190"/>
        <v>2022</v>
      </c>
      <c r="H452" s="129">
        <f t="shared" si="190"/>
        <v>2023</v>
      </c>
      <c r="I452" s="129">
        <f t="shared" si="190"/>
        <v>2024</v>
      </c>
      <c r="J452" s="129">
        <f t="shared" si="190"/>
        <v>2025</v>
      </c>
      <c r="K452" s="129">
        <f t="shared" si="190"/>
        <v>2026</v>
      </c>
      <c r="L452" s="129">
        <f t="shared" si="190"/>
        <v>2027</v>
      </c>
      <c r="M452" s="129">
        <f t="shared" si="190"/>
        <v>2028</v>
      </c>
      <c r="N452" s="129">
        <f t="shared" si="190"/>
        <v>2029</v>
      </c>
      <c r="O452" s="129">
        <f t="shared" si="190"/>
        <v>2030</v>
      </c>
    </row>
    <row r="453" spans="1:15" x14ac:dyDescent="0.6">
      <c r="A453" s="77" t="str">
        <f t="shared" ref="A453:O453" si="191">A69</f>
        <v>Population (millions)</v>
      </c>
      <c r="B453" s="130">
        <f t="shared" si="191"/>
        <v>207.83382500000002</v>
      </c>
      <c r="C453" s="130">
        <f t="shared" si="191"/>
        <v>209.46932000000001</v>
      </c>
      <c r="D453" s="130">
        <f t="shared" si="191"/>
        <v>211.049519</v>
      </c>
      <c r="E453" s="130">
        <f t="shared" si="191"/>
        <v>212.55940900000002</v>
      </c>
      <c r="F453" s="130">
        <f t="shared" si="191"/>
        <v>213.99344099999999</v>
      </c>
      <c r="G453" s="130">
        <f t="shared" si="191"/>
        <v>215.353588</v>
      </c>
      <c r="H453" s="130">
        <f t="shared" si="191"/>
        <v>216.641839</v>
      </c>
      <c r="I453" s="130">
        <f t="shared" si="191"/>
        <v>217.86303599999999</v>
      </c>
      <c r="J453" s="130">
        <f t="shared" si="191"/>
        <v>219.02090799999999</v>
      </c>
      <c r="K453" s="130">
        <f t="shared" si="191"/>
        <v>220.114734</v>
      </c>
      <c r="L453" s="130">
        <f t="shared" si="191"/>
        <v>221.14280600000001</v>
      </c>
      <c r="M453" s="130">
        <f t="shared" si="191"/>
        <v>222.10689099999999</v>
      </c>
      <c r="N453" s="130">
        <f t="shared" si="191"/>
        <v>223.009378</v>
      </c>
      <c r="O453" s="130">
        <f t="shared" si="191"/>
        <v>223.852116</v>
      </c>
    </row>
    <row r="454" spans="1:15" x14ac:dyDescent="0.6">
      <c r="A454" s="79" t="str">
        <f t="shared" ref="A454:O454" si="192">A70</f>
        <v># of active credit cards (millions)</v>
      </c>
      <c r="B454" s="155">
        <f t="shared" si="192"/>
        <v>83</v>
      </c>
      <c r="C454" s="155">
        <f t="shared" si="192"/>
        <v>98.838999999999999</v>
      </c>
      <c r="D454" s="155">
        <f t="shared" si="192"/>
        <v>119.449</v>
      </c>
      <c r="E454" s="155">
        <f t="shared" si="192"/>
        <v>133.75700000000001</v>
      </c>
      <c r="F454" s="155">
        <f t="shared" si="192"/>
        <v>143.44877027453666</v>
      </c>
      <c r="G454" s="155">
        <f t="shared" si="192"/>
        <v>157.99345855483438</v>
      </c>
      <c r="H454" s="155">
        <f t="shared" si="192"/>
        <v>173.20919177704263</v>
      </c>
      <c r="I454" s="155">
        <f t="shared" si="192"/>
        <v>183.69314630589881</v>
      </c>
      <c r="J454" s="155">
        <f t="shared" si="192"/>
        <v>194.22753082896244</v>
      </c>
      <c r="K454" s="155">
        <f t="shared" si="192"/>
        <v>204.80338395405073</v>
      </c>
      <c r="L454" s="155">
        <f t="shared" si="192"/>
        <v>215.4106570142755</v>
      </c>
      <c r="M454" s="155">
        <f t="shared" si="192"/>
        <v>226.042539768621</v>
      </c>
      <c r="N454" s="155">
        <f t="shared" si="192"/>
        <v>236.69319059074971</v>
      </c>
      <c r="O454" s="155">
        <f t="shared" si="192"/>
        <v>247.35658817999999</v>
      </c>
    </row>
    <row r="455" spans="1:15" x14ac:dyDescent="0.6">
      <c r="A455" s="77" t="str">
        <f t="shared" ref="A455:O455" si="193">A71</f>
        <v>Credit card penetration</v>
      </c>
      <c r="B455" s="192">
        <f t="shared" si="193"/>
        <v>0.27</v>
      </c>
      <c r="C455" s="192">
        <f t="shared" si="193"/>
        <v>0.31456953536998483</v>
      </c>
      <c r="D455" s="192">
        <f t="shared" si="193"/>
        <v>0.36514592088571374</v>
      </c>
      <c r="E455" s="192">
        <f t="shared" si="193"/>
        <v>0.39329298756189141</v>
      </c>
      <c r="F455" s="192">
        <f t="shared" si="193"/>
        <v>0.41896368880570228</v>
      </c>
      <c r="G455" s="192">
        <f t="shared" si="193"/>
        <v>0.44463439004951316</v>
      </c>
      <c r="H455" s="192">
        <f t="shared" si="193"/>
        <v>0.47030509129332404</v>
      </c>
      <c r="I455" s="192">
        <f t="shared" si="193"/>
        <v>0.49597579253713492</v>
      </c>
      <c r="J455" s="192">
        <f t="shared" si="193"/>
        <v>0.52164649378094574</v>
      </c>
      <c r="K455" s="192">
        <f t="shared" si="193"/>
        <v>0.54731719502475662</v>
      </c>
      <c r="L455" s="192">
        <f t="shared" si="193"/>
        <v>0.5729878962685675</v>
      </c>
      <c r="M455" s="192">
        <f t="shared" si="193"/>
        <v>0.59865859751237838</v>
      </c>
      <c r="N455" s="192">
        <f t="shared" si="193"/>
        <v>0.62432929875618925</v>
      </c>
      <c r="O455" s="192">
        <f t="shared" si="193"/>
        <v>0.65</v>
      </c>
    </row>
    <row r="456" spans="1:15" x14ac:dyDescent="0.6">
      <c r="A456" s="79" t="str">
        <f t="shared" ref="A456:O456" si="194">A72</f>
        <v>Card holders, million</v>
      </c>
      <c r="B456" s="154">
        <f t="shared" si="194"/>
        <v>56.115132750000008</v>
      </c>
      <c r="C456" s="154">
        <f t="shared" si="194"/>
        <v>65.89266666666667</v>
      </c>
      <c r="D456" s="154">
        <f t="shared" si="194"/>
        <v>77.063870967741934</v>
      </c>
      <c r="E456" s="154">
        <f t="shared" si="194"/>
        <v>83.598124999999996</v>
      </c>
      <c r="F456" s="154">
        <f t="shared" si="194"/>
        <v>89.655481421585407</v>
      </c>
      <c r="G456" s="154">
        <f t="shared" si="194"/>
        <v>95.753611245354165</v>
      </c>
      <c r="H456" s="154">
        <f t="shared" si="194"/>
        <v>101.8877598688486</v>
      </c>
      <c r="I456" s="154">
        <f t="shared" si="194"/>
        <v>108.05479194464635</v>
      </c>
      <c r="J456" s="154">
        <f t="shared" si="194"/>
        <v>114.25148872291909</v>
      </c>
      <c r="K456" s="154">
        <f t="shared" si="194"/>
        <v>120.47257879650043</v>
      </c>
      <c r="L456" s="154">
        <f t="shared" si="194"/>
        <v>126.71215118486795</v>
      </c>
      <c r="M456" s="154">
        <f t="shared" si="194"/>
        <v>132.9661998638947</v>
      </c>
      <c r="N456" s="154">
        <f t="shared" si="194"/>
        <v>139.23128858279395</v>
      </c>
      <c r="O456" s="154">
        <f t="shared" si="194"/>
        <v>145.5038754</v>
      </c>
    </row>
    <row r="457" spans="1:15" x14ac:dyDescent="0.6">
      <c r="A457" s="77" t="str">
        <f t="shared" ref="A457:O457" si="195">A73</f>
        <v>Cards/holder</v>
      </c>
      <c r="B457" s="189">
        <f t="shared" si="195"/>
        <v>1.4791019094577476</v>
      </c>
      <c r="C457" s="189">
        <f t="shared" si="195"/>
        <v>1.5</v>
      </c>
      <c r="D457" s="189">
        <f t="shared" si="195"/>
        <v>1.55</v>
      </c>
      <c r="E457" s="189">
        <f t="shared" si="195"/>
        <v>1.6</v>
      </c>
      <c r="F457" s="189">
        <f t="shared" si="195"/>
        <v>1.6</v>
      </c>
      <c r="G457" s="189">
        <f t="shared" si="195"/>
        <v>1.65</v>
      </c>
      <c r="H457" s="189">
        <f t="shared" si="195"/>
        <v>1.7</v>
      </c>
      <c r="I457" s="189">
        <f t="shared" si="195"/>
        <v>1.7</v>
      </c>
      <c r="J457" s="189">
        <f t="shared" si="195"/>
        <v>1.7</v>
      </c>
      <c r="K457" s="189">
        <f t="shared" si="195"/>
        <v>1.7</v>
      </c>
      <c r="L457" s="189">
        <f t="shared" si="195"/>
        <v>1.7</v>
      </c>
      <c r="M457" s="189">
        <f t="shared" si="195"/>
        <v>1.7</v>
      </c>
      <c r="N457" s="189">
        <f t="shared" si="195"/>
        <v>1.7</v>
      </c>
      <c r="O457" s="189">
        <f t="shared" si="195"/>
        <v>1.7</v>
      </c>
    </row>
    <row r="458" spans="1:15" x14ac:dyDescent="0.6">
      <c r="A458" s="79"/>
      <c r="B458" s="132"/>
      <c r="C458" s="132"/>
      <c r="D458" s="132"/>
      <c r="E458" s="132"/>
      <c r="F458" s="132"/>
      <c r="G458" s="132"/>
      <c r="H458" s="132"/>
      <c r="I458" s="132"/>
      <c r="J458" s="132"/>
      <c r="K458" s="132"/>
      <c r="L458" s="132"/>
      <c r="M458" s="132"/>
      <c r="N458" s="132"/>
      <c r="O458" s="132"/>
    </row>
    <row r="459" spans="1:15" x14ac:dyDescent="0.6">
      <c r="A459" s="77" t="str">
        <f>A8</f>
        <v>Nubank active clients (Brazil, Mexico and Colombia) - year end</v>
      </c>
      <c r="B459" s="188"/>
      <c r="C459" s="188">
        <f t="shared" ref="C459:O459" si="196">C8</f>
        <v>5.0999999999999996</v>
      </c>
      <c r="D459" s="188">
        <f t="shared" si="196"/>
        <v>12.1</v>
      </c>
      <c r="E459" s="188">
        <f t="shared" si="196"/>
        <v>21.8</v>
      </c>
      <c r="F459" s="188">
        <f t="shared" si="196"/>
        <v>41.1</v>
      </c>
      <c r="G459" s="188">
        <f t="shared" si="196"/>
        <v>61.2</v>
      </c>
      <c r="H459" s="188">
        <f t="shared" si="196"/>
        <v>75.7</v>
      </c>
      <c r="I459" s="188">
        <f t="shared" si="196"/>
        <v>87.2</v>
      </c>
      <c r="J459" s="188">
        <f t="shared" si="196"/>
        <v>99.2</v>
      </c>
      <c r="K459" s="188">
        <f t="shared" si="196"/>
        <v>109.2</v>
      </c>
      <c r="L459" s="188">
        <f t="shared" si="196"/>
        <v>117.2</v>
      </c>
      <c r="M459" s="188">
        <f t="shared" si="196"/>
        <v>122.7</v>
      </c>
      <c r="N459" s="188">
        <f t="shared" si="196"/>
        <v>127.2</v>
      </c>
      <c r="O459" s="188">
        <f t="shared" si="196"/>
        <v>130.70000000000002</v>
      </c>
    </row>
    <row r="460" spans="1:15" x14ac:dyDescent="0.6">
      <c r="A460" s="79" t="str">
        <f>A78</f>
        <v>% of Nubank active clients with a credit card</v>
      </c>
      <c r="B460" s="138"/>
      <c r="C460" s="138">
        <f t="shared" ref="C460:O460" si="197">C78</f>
        <v>0.72499999999999998</v>
      </c>
      <c r="D460" s="138">
        <f t="shared" si="197"/>
        <v>0.72499999999999998</v>
      </c>
      <c r="E460" s="138">
        <f t="shared" si="197"/>
        <v>0.72499999999999998</v>
      </c>
      <c r="F460" s="138">
        <f t="shared" si="197"/>
        <v>0.6</v>
      </c>
      <c r="G460" s="138">
        <f t="shared" si="197"/>
        <v>0.55555555555555558</v>
      </c>
      <c r="H460" s="138">
        <f t="shared" si="197"/>
        <v>0.6</v>
      </c>
      <c r="I460" s="138">
        <f t="shared" si="197"/>
        <v>0.65</v>
      </c>
      <c r="J460" s="138">
        <f t="shared" si="197"/>
        <v>0.7</v>
      </c>
      <c r="K460" s="138">
        <f t="shared" si="197"/>
        <v>0.7</v>
      </c>
      <c r="L460" s="138">
        <f t="shared" si="197"/>
        <v>0.7</v>
      </c>
      <c r="M460" s="138">
        <f t="shared" si="197"/>
        <v>0.7</v>
      </c>
      <c r="N460" s="138">
        <f t="shared" si="197"/>
        <v>0.7</v>
      </c>
      <c r="O460" s="138">
        <f t="shared" si="197"/>
        <v>0.7</v>
      </c>
    </row>
    <row r="461" spans="1:15" x14ac:dyDescent="0.6">
      <c r="A461" s="77" t="str">
        <f>A79</f>
        <v>Nubank active credit cards</v>
      </c>
      <c r="B461" s="130"/>
      <c r="C461" s="130">
        <f t="shared" ref="C461:O461" si="198">C79</f>
        <v>3.6974999999999998</v>
      </c>
      <c r="D461" s="130">
        <f t="shared" si="198"/>
        <v>8.7724999999999991</v>
      </c>
      <c r="E461" s="130">
        <f t="shared" si="198"/>
        <v>15.805</v>
      </c>
      <c r="F461" s="130">
        <f t="shared" si="198"/>
        <v>23.973729128014842</v>
      </c>
      <c r="G461" s="130">
        <f t="shared" si="198"/>
        <v>32.313672922252017</v>
      </c>
      <c r="H461" s="130">
        <f t="shared" si="198"/>
        <v>39.998766756032175</v>
      </c>
      <c r="I461" s="130">
        <f t="shared" si="198"/>
        <v>46.581997319034862</v>
      </c>
      <c r="J461" s="130">
        <f t="shared" si="198"/>
        <v>53.665227882037541</v>
      </c>
      <c r="K461" s="130">
        <f t="shared" si="198"/>
        <v>56.465227882037539</v>
      </c>
      <c r="L461" s="130">
        <f t="shared" si="198"/>
        <v>58.56522788203754</v>
      </c>
      <c r="M461" s="130">
        <f t="shared" si="198"/>
        <v>59.965227882037539</v>
      </c>
      <c r="N461" s="130">
        <f t="shared" si="198"/>
        <v>61.365227882037537</v>
      </c>
      <c r="O461" s="130">
        <f t="shared" si="198"/>
        <v>62.765227882037536</v>
      </c>
    </row>
    <row r="462" spans="1:15" ht="15.9" thickBot="1" x14ac:dyDescent="0.65">
      <c r="A462" s="135" t="s">
        <v>398</v>
      </c>
      <c r="B462" s="139"/>
      <c r="C462" s="190">
        <f t="shared" ref="C462:O462" si="199">C81</f>
        <v>3.7409322231103104E-2</v>
      </c>
      <c r="D462" s="190">
        <f t="shared" si="199"/>
        <v>7.3441385026245504E-2</v>
      </c>
      <c r="E462" s="190">
        <f t="shared" si="199"/>
        <v>0.11816204011752655</v>
      </c>
      <c r="F462" s="190">
        <f t="shared" si="199"/>
        <v>0.16712397800366768</v>
      </c>
      <c r="G462" s="190">
        <f t="shared" si="199"/>
        <v>0.20452538489773611</v>
      </c>
      <c r="H462" s="190">
        <f t="shared" si="199"/>
        <v>0.23092750647736504</v>
      </c>
      <c r="I462" s="190">
        <f t="shared" si="199"/>
        <v>0.25358592988256201</v>
      </c>
      <c r="J462" s="190">
        <f t="shared" si="199"/>
        <v>0.2763008295116276</v>
      </c>
      <c r="K462" s="190">
        <f t="shared" si="199"/>
        <v>0.27570456499247081</v>
      </c>
      <c r="L462" s="190">
        <f t="shared" si="199"/>
        <v>0.27187711459492164</v>
      </c>
      <c r="M462" s="190">
        <f t="shared" si="199"/>
        <v>0.26528293277636344</v>
      </c>
      <c r="N462" s="190">
        <f t="shared" si="199"/>
        <v>0.25926063917968822</v>
      </c>
      <c r="O462" s="190">
        <f t="shared" si="199"/>
        <v>0.25374391013334818</v>
      </c>
    </row>
    <row r="465" spans="1:15" x14ac:dyDescent="0.6">
      <c r="B465">
        <v>2017</v>
      </c>
      <c r="C465">
        <v>2018</v>
      </c>
      <c r="D465">
        <v>2019</v>
      </c>
      <c r="E465">
        <v>2020</v>
      </c>
      <c r="F465">
        <v>2021</v>
      </c>
      <c r="G465">
        <v>2022</v>
      </c>
      <c r="H465">
        <v>2023</v>
      </c>
      <c r="I465">
        <v>2024</v>
      </c>
      <c r="J465">
        <v>2025</v>
      </c>
      <c r="K465">
        <v>2026</v>
      </c>
      <c r="L465">
        <v>2027</v>
      </c>
      <c r="M465">
        <v>2028</v>
      </c>
      <c r="N465">
        <v>2029</v>
      </c>
      <c r="O465">
        <v>2030</v>
      </c>
    </row>
    <row r="466" spans="1:15" x14ac:dyDescent="0.6">
      <c r="A466" s="77" t="str">
        <f t="shared" ref="A466:O466" si="200">A455</f>
        <v>Credit card penetration</v>
      </c>
      <c r="B466" s="187">
        <f t="shared" si="200"/>
        <v>0.27</v>
      </c>
      <c r="C466" s="187">
        <f t="shared" si="200"/>
        <v>0.31456953536998483</v>
      </c>
      <c r="D466" s="187">
        <f t="shared" si="200"/>
        <v>0.36514592088571374</v>
      </c>
      <c r="E466" s="187">
        <f t="shared" si="200"/>
        <v>0.39329298756189141</v>
      </c>
      <c r="F466" s="187">
        <f t="shared" si="200"/>
        <v>0.41896368880570228</v>
      </c>
      <c r="G466" s="187">
        <f t="shared" si="200"/>
        <v>0.44463439004951316</v>
      </c>
      <c r="H466" s="187">
        <f t="shared" si="200"/>
        <v>0.47030509129332404</v>
      </c>
      <c r="I466" s="187">
        <f t="shared" si="200"/>
        <v>0.49597579253713492</v>
      </c>
      <c r="J466" s="187">
        <f t="shared" si="200"/>
        <v>0.52164649378094574</v>
      </c>
      <c r="K466" s="187">
        <f t="shared" si="200"/>
        <v>0.54731719502475662</v>
      </c>
      <c r="L466" s="187">
        <f t="shared" si="200"/>
        <v>0.5729878962685675</v>
      </c>
      <c r="M466" s="187">
        <f t="shared" si="200"/>
        <v>0.59865859751237838</v>
      </c>
      <c r="N466" s="187">
        <f t="shared" si="200"/>
        <v>0.62432929875618925</v>
      </c>
      <c r="O466" s="187">
        <f t="shared" si="200"/>
        <v>0.65</v>
      </c>
    </row>
    <row r="467" spans="1:15" x14ac:dyDescent="0.6">
      <c r="A467" s="77" t="str">
        <f>A462</f>
        <v>Nubank's BR credit card market share</v>
      </c>
      <c r="B467" s="192">
        <f t="shared" ref="B467:O467" si="201">B462</f>
        <v>0</v>
      </c>
      <c r="C467" s="192">
        <f t="shared" si="201"/>
        <v>3.7409322231103104E-2</v>
      </c>
      <c r="D467" s="192">
        <f t="shared" si="201"/>
        <v>7.3441385026245504E-2</v>
      </c>
      <c r="E467" s="192">
        <f t="shared" si="201"/>
        <v>0.11816204011752655</v>
      </c>
      <c r="F467" s="192">
        <f t="shared" si="201"/>
        <v>0.16712397800366768</v>
      </c>
      <c r="G467" s="192">
        <f t="shared" si="201"/>
        <v>0.20452538489773611</v>
      </c>
      <c r="H467" s="192">
        <f t="shared" si="201"/>
        <v>0.23092750647736504</v>
      </c>
      <c r="I467" s="192">
        <f t="shared" si="201"/>
        <v>0.25358592988256201</v>
      </c>
      <c r="J467" s="192">
        <f t="shared" si="201"/>
        <v>0.2763008295116276</v>
      </c>
      <c r="K467" s="192">
        <f t="shared" si="201"/>
        <v>0.27570456499247081</v>
      </c>
      <c r="L467" s="192">
        <f t="shared" si="201"/>
        <v>0.27187711459492164</v>
      </c>
      <c r="M467" s="192">
        <f t="shared" si="201"/>
        <v>0.26528293277636344</v>
      </c>
      <c r="N467" s="192">
        <f t="shared" si="201"/>
        <v>0.25926063917968822</v>
      </c>
      <c r="O467" s="192">
        <f t="shared" si="201"/>
        <v>0.25374391013334818</v>
      </c>
    </row>
    <row r="469" spans="1:15" x14ac:dyDescent="0.6">
      <c r="B469">
        <v>2017</v>
      </c>
      <c r="C469">
        <v>2018</v>
      </c>
      <c r="D469">
        <v>2019</v>
      </c>
      <c r="E469">
        <v>2020</v>
      </c>
      <c r="F469">
        <v>2021</v>
      </c>
      <c r="G469">
        <v>2022</v>
      </c>
      <c r="H469">
        <v>2023</v>
      </c>
      <c r="I469">
        <v>2024</v>
      </c>
      <c r="J469">
        <v>2025</v>
      </c>
      <c r="K469">
        <v>2026</v>
      </c>
      <c r="L469">
        <v>2027</v>
      </c>
      <c r="M469">
        <v>2028</v>
      </c>
      <c r="N469">
        <v>2029</v>
      </c>
      <c r="O469">
        <v>2030</v>
      </c>
    </row>
    <row r="470" spans="1:15" x14ac:dyDescent="0.6">
      <c r="A470" t="str">
        <f t="shared" ref="A470:O470" si="202">A98</f>
        <v>Average personal loan/active client (USD)</v>
      </c>
      <c r="B470">
        <f t="shared" si="202"/>
        <v>0</v>
      </c>
      <c r="C470">
        <f t="shared" si="202"/>
        <v>0</v>
      </c>
      <c r="D470" s="216">
        <f t="shared" si="202"/>
        <v>479.3388429752066</v>
      </c>
      <c r="E470" s="216">
        <f t="shared" si="202"/>
        <v>618.73266481758048</v>
      </c>
      <c r="F470" s="216">
        <f t="shared" si="202"/>
        <v>581.41605839416047</v>
      </c>
      <c r="G470" s="216">
        <f t="shared" si="202"/>
        <v>334.59999999999997</v>
      </c>
      <c r="H470" s="216">
        <f t="shared" si="202"/>
        <v>407.89333333333326</v>
      </c>
      <c r="I470" s="216">
        <f t="shared" si="202"/>
        <v>417.5186692456478</v>
      </c>
      <c r="J470" s="216">
        <f t="shared" si="202"/>
        <v>438.39460270793029</v>
      </c>
      <c r="K470" s="216">
        <f t="shared" si="202"/>
        <v>460.31433284332684</v>
      </c>
      <c r="L470" s="216">
        <f t="shared" si="202"/>
        <v>483.33004948549319</v>
      </c>
      <c r="M470" s="216">
        <f t="shared" si="202"/>
        <v>507.49655195976783</v>
      </c>
      <c r="N470" s="216">
        <f t="shared" si="202"/>
        <v>532.8713795577562</v>
      </c>
      <c r="O470" s="216">
        <f t="shared" si="202"/>
        <v>559.51494853564407</v>
      </c>
    </row>
    <row r="471" spans="1:15" x14ac:dyDescent="0.6">
      <c r="A471" t="s">
        <v>611</v>
      </c>
      <c r="C471">
        <f t="shared" ref="C471:O471" si="203">C94</f>
        <v>1623.8</v>
      </c>
      <c r="D471" s="216">
        <f t="shared" si="203"/>
        <v>2786.5</v>
      </c>
      <c r="E471" s="216">
        <f t="shared" si="203"/>
        <v>2908.9</v>
      </c>
      <c r="F471" s="216">
        <f t="shared" si="203"/>
        <v>4647.4619666048238</v>
      </c>
      <c r="G471" s="216">
        <f t="shared" si="203"/>
        <v>7824.6608579088488</v>
      </c>
      <c r="H471" s="216">
        <f t="shared" si="203"/>
        <v>10995.443620988126</v>
      </c>
      <c r="I471" s="216">
        <f t="shared" si="203"/>
        <v>13981.130092435229</v>
      </c>
      <c r="J471" s="216">
        <f t="shared" si="203"/>
        <v>16107.092345573446</v>
      </c>
      <c r="K471" s="216">
        <f t="shared" si="203"/>
        <v>17794.859157207789</v>
      </c>
      <c r="L471" s="216">
        <f t="shared" si="203"/>
        <v>19379.501718123272</v>
      </c>
      <c r="M471" s="216">
        <f t="shared" si="203"/>
        <v>20834.906526168001</v>
      </c>
      <c r="N471" s="216">
        <f t="shared" si="203"/>
        <v>22387.403060721892</v>
      </c>
      <c r="O471" s="216">
        <f t="shared" si="203"/>
        <v>24043.061982415755</v>
      </c>
    </row>
    <row r="472" spans="1:15" x14ac:dyDescent="0.6">
      <c r="A472" t="s">
        <v>158</v>
      </c>
      <c r="C472">
        <f>'Revenue and Expenses breakdown'!B8*C480</f>
        <v>128.5</v>
      </c>
      <c r="D472">
        <f>'Revenue and Expenses breakdown'!C8*D480</f>
        <v>214.6</v>
      </c>
      <c r="E472">
        <f>'Revenue and Expenses breakdown'!D8*E480</f>
        <v>217.5</v>
      </c>
      <c r="F472">
        <f>'Revenue and Expenses breakdown'!E8*F480</f>
        <v>347.06493506493507</v>
      </c>
      <c r="G472">
        <f>'Revenue and Expenses breakdown'!F8*G480</f>
        <v>964.53937667560342</v>
      </c>
      <c r="H472">
        <f>'Revenue and Expenses breakdown'!G8*H480</f>
        <v>2127.9334497072377</v>
      </c>
      <c r="I472">
        <f>'Revenue and Expenses breakdown'!H8*I480</f>
        <v>2837.426988918663</v>
      </c>
      <c r="J472">
        <f>'Revenue and Expenses breakdown'!I8*J480</f>
        <v>3246.718403666594</v>
      </c>
      <c r="K472">
        <f>'Revenue and Expenses breakdown'!J8*K480</f>
        <v>3482.7307131603052</v>
      </c>
      <c r="L472">
        <f>'Revenue and Expenses breakdown'!K8*L480</f>
        <v>3511.5811045291521</v>
      </c>
      <c r="M472">
        <f>'Revenue and Expenses breakdown'!L8*M480</f>
        <v>3361.2706631228111</v>
      </c>
      <c r="N472">
        <f>'Revenue and Expenses breakdown'!M8*N480</f>
        <v>3623.5493988416129</v>
      </c>
      <c r="O472">
        <f>'Revenue and Expenses breakdown'!N8*O480</f>
        <v>3900.3540744425763</v>
      </c>
    </row>
    <row r="473" spans="1:15" x14ac:dyDescent="0.6">
      <c r="A473" t="str">
        <f>'Revenue and Expenses breakdown'!A9</f>
        <v>Yield</v>
      </c>
      <c r="C473" s="194">
        <f>'Revenue and Expenses breakdown'!B9</f>
        <v>7.9135361497721393E-2</v>
      </c>
      <c r="D473" s="194">
        <f>'Revenue and Expenses breakdown'!C9</f>
        <v>9.7317642790739858E-2</v>
      </c>
      <c r="E473" s="111">
        <f>'Revenue and Expenses breakdown'!D9</f>
        <v>7.6377427397548908E-2</v>
      </c>
      <c r="F473" s="111">
        <f>'Revenue and Expenses breakdown'!E9</f>
        <v>9.2855099227508009E-2</v>
      </c>
      <c r="G473" s="194">
        <f>'Revenue and Expenses breakdown'!F9</f>
        <v>0.14041680147994015</v>
      </c>
      <c r="H473" s="194">
        <f>'Revenue and Expenses breakdown'!G9</f>
        <v>0.20499999999999999</v>
      </c>
      <c r="I473" s="194">
        <f>'Revenue and Expenses breakdown'!H9</f>
        <v>0.20499999999999999</v>
      </c>
      <c r="J473" s="194">
        <f>'Revenue and Expenses breakdown'!I9</f>
        <v>0.19500000000000001</v>
      </c>
      <c r="K473" s="194">
        <f>'Revenue and Expenses breakdown'!J9</f>
        <v>0.185</v>
      </c>
      <c r="L473" s="194">
        <f>'Revenue and Expenses breakdown'!K9</f>
        <v>0.17</v>
      </c>
      <c r="M473" s="194">
        <f>'Revenue and Expenses breakdown'!L9</f>
        <v>0.15</v>
      </c>
      <c r="N473" s="194">
        <f>'Revenue and Expenses breakdown'!M9</f>
        <v>0.15</v>
      </c>
      <c r="O473" s="194">
        <f>'Revenue and Expenses breakdown'!N9</f>
        <v>0.15</v>
      </c>
    </row>
    <row r="479" spans="1:15" x14ac:dyDescent="0.6">
      <c r="B479">
        <v>2017</v>
      </c>
      <c r="C479">
        <v>2018</v>
      </c>
      <c r="D479">
        <v>2019</v>
      </c>
      <c r="E479">
        <v>2020</v>
      </c>
      <c r="F479">
        <v>2021</v>
      </c>
      <c r="G479">
        <v>2022</v>
      </c>
      <c r="H479">
        <v>2023</v>
      </c>
      <c r="I479">
        <v>2024</v>
      </c>
      <c r="J479">
        <v>2025</v>
      </c>
      <c r="K479">
        <v>2026</v>
      </c>
      <c r="L479">
        <v>2027</v>
      </c>
      <c r="M479">
        <v>2028</v>
      </c>
      <c r="N479">
        <v>2029</v>
      </c>
      <c r="O479">
        <v>2030</v>
      </c>
    </row>
    <row r="480" spans="1:15" x14ac:dyDescent="0.6">
      <c r="A480" t="str">
        <f t="shared" ref="A480:O480" si="204">A75</f>
        <v>% of Nubank clients in Brazil</v>
      </c>
      <c r="B480" s="193">
        <f t="shared" si="204"/>
        <v>0</v>
      </c>
      <c r="C480" s="193">
        <f t="shared" si="204"/>
        <v>1</v>
      </c>
      <c r="D480" s="193">
        <f t="shared" si="204"/>
        <v>1</v>
      </c>
      <c r="E480" s="233">
        <f t="shared" si="204"/>
        <v>1</v>
      </c>
      <c r="F480" s="233">
        <f t="shared" si="204"/>
        <v>0.9721706864564007</v>
      </c>
      <c r="G480" s="193">
        <f t="shared" si="204"/>
        <v>0.95040214477211815</v>
      </c>
      <c r="H480" s="193">
        <f t="shared" si="204"/>
        <v>0.88064215667177848</v>
      </c>
      <c r="I480" s="193">
        <f t="shared" si="204"/>
        <v>0.8218418722483215</v>
      </c>
      <c r="J480" s="193">
        <f t="shared" si="204"/>
        <v>0.7728287425408632</v>
      </c>
      <c r="K480" s="193">
        <f t="shared" si="204"/>
        <v>0.73868691630085748</v>
      </c>
      <c r="L480" s="193">
        <f t="shared" si="204"/>
        <v>0.7138618708195702</v>
      </c>
      <c r="M480" s="193">
        <f t="shared" si="204"/>
        <v>0.69816309095398232</v>
      </c>
      <c r="N480" s="193">
        <f t="shared" si="204"/>
        <v>0.68918719544067319</v>
      </c>
      <c r="O480" s="193">
        <f t="shared" si="204"/>
        <v>0.68603375103330999</v>
      </c>
    </row>
    <row r="481" spans="1:15" x14ac:dyDescent="0.6">
      <c r="A481" t="str">
        <f t="shared" ref="A481:O481" si="205">A128</f>
        <v>% of Nubank clients in Mexico</v>
      </c>
      <c r="B481" s="193">
        <f t="shared" si="205"/>
        <v>0</v>
      </c>
      <c r="C481" s="193">
        <f t="shared" si="205"/>
        <v>0</v>
      </c>
      <c r="D481" s="193">
        <f t="shared" si="205"/>
        <v>0</v>
      </c>
      <c r="E481" s="233">
        <f t="shared" si="205"/>
        <v>0</v>
      </c>
      <c r="F481" s="233">
        <f t="shared" si="205"/>
        <v>2.5974025974025972E-2</v>
      </c>
      <c r="G481" s="193">
        <f t="shared" si="205"/>
        <v>4.2895442359249338E-2</v>
      </c>
      <c r="H481" s="193">
        <f t="shared" si="205"/>
        <v>0.1007292083538449</v>
      </c>
      <c r="I481" s="193">
        <f t="shared" si="205"/>
        <v>0.14478441596773003</v>
      </c>
      <c r="J481" s="193">
        <f t="shared" si="205"/>
        <v>0.17767339790711753</v>
      </c>
      <c r="K481" s="193">
        <f t="shared" si="205"/>
        <v>0.20719048601086135</v>
      </c>
      <c r="L481" s="193">
        <f t="shared" si="205"/>
        <v>0.22717748355278206</v>
      </c>
      <c r="M481" s="193">
        <f t="shared" si="205"/>
        <v>0.24144418151903876</v>
      </c>
      <c r="N481" s="193">
        <f t="shared" si="205"/>
        <v>0.24862579459423001</v>
      </c>
      <c r="O481" s="193">
        <f t="shared" si="205"/>
        <v>0.24961898295628202</v>
      </c>
    </row>
    <row r="482" spans="1:15" x14ac:dyDescent="0.6">
      <c r="A482" t="str">
        <f t="shared" ref="A482:O482" si="206">A159</f>
        <v>% of Nubank clients in Colombia</v>
      </c>
      <c r="B482" s="193">
        <f t="shared" si="206"/>
        <v>0</v>
      </c>
      <c r="C482" s="193">
        <f t="shared" si="206"/>
        <v>0</v>
      </c>
      <c r="D482" s="193">
        <f t="shared" si="206"/>
        <v>0</v>
      </c>
      <c r="E482" s="233">
        <f t="shared" si="206"/>
        <v>0</v>
      </c>
      <c r="F482" s="233">
        <f t="shared" si="206"/>
        <v>1.8552875695732854E-3</v>
      </c>
      <c r="G482" s="193">
        <f t="shared" si="206"/>
        <v>6.7024128686325535E-3</v>
      </c>
      <c r="H482" s="193">
        <f t="shared" si="206"/>
        <v>1.8628634974376647E-2</v>
      </c>
      <c r="I482" s="193">
        <f t="shared" si="206"/>
        <v>3.3373711783948538E-2</v>
      </c>
      <c r="J482" s="193">
        <f t="shared" si="206"/>
        <v>4.9497859552019276E-2</v>
      </c>
      <c r="K482" s="193">
        <f t="shared" si="206"/>
        <v>5.4122597688281246E-2</v>
      </c>
      <c r="L482" s="193">
        <f t="shared" si="206"/>
        <v>5.8960645627647718E-2</v>
      </c>
      <c r="M482" s="193">
        <f t="shared" si="206"/>
        <v>6.0392727526978912E-2</v>
      </c>
      <c r="N482" s="193">
        <f t="shared" si="206"/>
        <v>6.2187009965096796E-2</v>
      </c>
      <c r="O482" s="193">
        <f t="shared" si="206"/>
        <v>6.4347266010407883E-2</v>
      </c>
    </row>
    <row r="486" spans="1:15" x14ac:dyDescent="0.6">
      <c r="A486" s="191"/>
      <c r="B486" s="129">
        <f>B452</f>
        <v>2017</v>
      </c>
      <c r="C486" s="129">
        <f t="shared" ref="C486:O486" si="207">C452</f>
        <v>2018</v>
      </c>
      <c r="D486" s="129">
        <f t="shared" si="207"/>
        <v>2019</v>
      </c>
      <c r="E486" s="129">
        <f t="shared" si="207"/>
        <v>2020</v>
      </c>
      <c r="F486" s="129">
        <f t="shared" si="207"/>
        <v>2021</v>
      </c>
      <c r="G486" s="129">
        <f t="shared" si="207"/>
        <v>2022</v>
      </c>
      <c r="H486" s="129">
        <f t="shared" si="207"/>
        <v>2023</v>
      </c>
      <c r="I486" s="129">
        <f t="shared" si="207"/>
        <v>2024</v>
      </c>
      <c r="J486" s="129">
        <f t="shared" si="207"/>
        <v>2025</v>
      </c>
      <c r="K486" s="129">
        <f t="shared" si="207"/>
        <v>2026</v>
      </c>
      <c r="L486" s="129">
        <f t="shared" si="207"/>
        <v>2027</v>
      </c>
      <c r="M486" s="129">
        <f t="shared" si="207"/>
        <v>2028</v>
      </c>
      <c r="N486" s="129">
        <f t="shared" si="207"/>
        <v>2029</v>
      </c>
      <c r="O486" s="129">
        <f t="shared" si="207"/>
        <v>2030</v>
      </c>
    </row>
    <row r="487" spans="1:15" x14ac:dyDescent="0.6">
      <c r="A487" s="77" t="s">
        <v>307</v>
      </c>
      <c r="B487" s="141">
        <f t="shared" ref="B487:O487" si="208">B202</f>
        <v>0</v>
      </c>
      <c r="C487" s="141">
        <f t="shared" si="208"/>
        <v>9.6</v>
      </c>
      <c r="D487" s="141">
        <f t="shared" si="208"/>
        <v>17.100000000000001</v>
      </c>
      <c r="E487" s="141">
        <f t="shared" si="208"/>
        <v>22.5</v>
      </c>
      <c r="F487" s="141">
        <f t="shared" si="208"/>
        <v>42.581076066790345</v>
      </c>
      <c r="G487" s="141">
        <f t="shared" si="208"/>
        <v>76.982573726541574</v>
      </c>
      <c r="H487" s="141">
        <f t="shared" si="208"/>
        <v>109.15456127617151</v>
      </c>
      <c r="I487" s="141">
        <f t="shared" si="208"/>
        <v>131.02901923404258</v>
      </c>
      <c r="J487" s="141">
        <f t="shared" si="208"/>
        <v>172.49121120000001</v>
      </c>
      <c r="K487" s="141">
        <f t="shared" si="208"/>
        <v>202.58542251574474</v>
      </c>
      <c r="L487" s="141">
        <f t="shared" si="208"/>
        <v>242.22170083404259</v>
      </c>
      <c r="M487" s="141">
        <f t="shared" si="208"/>
        <v>271.77274833579582</v>
      </c>
      <c r="N487" s="141">
        <f t="shared" si="208"/>
        <v>304.81178832955925</v>
      </c>
      <c r="O487" s="141">
        <f t="shared" si="208"/>
        <v>341.74090883871742</v>
      </c>
    </row>
    <row r="488" spans="1:15" x14ac:dyDescent="0.6">
      <c r="A488" s="79" t="s">
        <v>308</v>
      </c>
      <c r="B488" s="143">
        <f t="shared" ref="B488:O488" si="209">B234</f>
        <v>0</v>
      </c>
      <c r="C488" s="143">
        <f t="shared" si="209"/>
        <v>0</v>
      </c>
      <c r="D488" s="143">
        <f t="shared" si="209"/>
        <v>0</v>
      </c>
      <c r="E488" s="143">
        <f t="shared" si="209"/>
        <v>0</v>
      </c>
      <c r="F488" s="143">
        <f t="shared" si="209"/>
        <v>1.1376623376623376</v>
      </c>
      <c r="G488" s="143">
        <f t="shared" si="209"/>
        <v>3.4745308310991962</v>
      </c>
      <c r="H488" s="143">
        <f t="shared" si="209"/>
        <v>15.547453551605086</v>
      </c>
      <c r="I488" s="143">
        <f t="shared" si="209"/>
        <v>26.974095159008503</v>
      </c>
      <c r="J488" s="143">
        <f t="shared" si="209"/>
        <v>39.538276637849677</v>
      </c>
      <c r="K488" s="143">
        <f t="shared" si="209"/>
        <v>49.696441538862743</v>
      </c>
      <c r="L488" s="143">
        <f t="shared" si="209"/>
        <v>57.357831593828458</v>
      </c>
      <c r="M488" s="143">
        <f t="shared" si="209"/>
        <v>62.573965188212995</v>
      </c>
      <c r="N488" s="143">
        <f t="shared" si="209"/>
        <v>65.374269685502327</v>
      </c>
      <c r="O488" s="143">
        <f t="shared" si="209"/>
        <v>65.80516509563742</v>
      </c>
    </row>
    <row r="489" spans="1:15" x14ac:dyDescent="0.6">
      <c r="A489" s="77" t="s">
        <v>309</v>
      </c>
      <c r="B489" s="141">
        <f t="shared" ref="B489:O489" si="210">B258</f>
        <v>0</v>
      </c>
      <c r="C489" s="141">
        <f t="shared" si="210"/>
        <v>0</v>
      </c>
      <c r="D489" s="141">
        <f t="shared" si="210"/>
        <v>0</v>
      </c>
      <c r="E489" s="141">
        <f t="shared" si="210"/>
        <v>0</v>
      </c>
      <c r="F489" s="141">
        <f t="shared" si="210"/>
        <v>8.1261595547309898E-2</v>
      </c>
      <c r="G489" s="141">
        <f t="shared" si="210"/>
        <v>0.54289544235923681</v>
      </c>
      <c r="H489" s="141">
        <f t="shared" si="210"/>
        <v>3.2062009735581389</v>
      </c>
      <c r="I489" s="141">
        <f t="shared" si="210"/>
        <v>6.9094063514194479</v>
      </c>
      <c r="J489" s="141">
        <f t="shared" si="210"/>
        <v>12.102820411026299</v>
      </c>
      <c r="K489" s="141">
        <f t="shared" si="210"/>
        <v>14.005770098740234</v>
      </c>
      <c r="L489" s="141">
        <f t="shared" si="210"/>
        <v>15.677195171406655</v>
      </c>
      <c r="M489" s="141">
        <f t="shared" si="210"/>
        <v>16.007547073673226</v>
      </c>
      <c r="N489" s="141">
        <f t="shared" si="210"/>
        <v>16.17138250887367</v>
      </c>
      <c r="O489" s="141">
        <f t="shared" si="210"/>
        <v>16.16265812810024</v>
      </c>
    </row>
    <row r="490" spans="1:15" x14ac:dyDescent="0.6">
      <c r="A490" s="79"/>
      <c r="B490" s="143"/>
      <c r="C490" s="143"/>
      <c r="D490" s="143"/>
      <c r="E490" s="143"/>
      <c r="F490" s="143"/>
      <c r="G490" s="143"/>
      <c r="H490" s="143"/>
      <c r="I490" s="143"/>
      <c r="J490" s="143"/>
      <c r="K490" s="143"/>
      <c r="L490" s="143"/>
      <c r="M490" s="143"/>
      <c r="N490" s="143"/>
      <c r="O490" s="143"/>
    </row>
    <row r="491" spans="1:15" x14ac:dyDescent="0.6">
      <c r="A491" s="77" t="s">
        <v>310</v>
      </c>
      <c r="B491" s="137">
        <f t="shared" ref="B491:O491" si="211">B190</f>
        <v>0</v>
      </c>
      <c r="C491" s="137">
        <f t="shared" si="211"/>
        <v>0.61</v>
      </c>
      <c r="D491" s="137">
        <f t="shared" si="211"/>
        <v>0.54999999999999993</v>
      </c>
      <c r="E491" s="137">
        <f t="shared" si="211"/>
        <v>0.43</v>
      </c>
      <c r="F491" s="137">
        <f t="shared" si="211"/>
        <v>0.35</v>
      </c>
      <c r="G491" s="137">
        <f t="shared" si="211"/>
        <v>0.25</v>
      </c>
      <c r="H491" s="137">
        <f t="shared" si="211"/>
        <v>0.25</v>
      </c>
      <c r="I491" s="137">
        <f t="shared" si="211"/>
        <v>0.25</v>
      </c>
      <c r="J491" s="137">
        <f t="shared" si="211"/>
        <v>0.25</v>
      </c>
      <c r="K491" s="137">
        <f t="shared" si="211"/>
        <v>0.25</v>
      </c>
      <c r="L491" s="137">
        <f t="shared" si="211"/>
        <v>0.25</v>
      </c>
      <c r="M491" s="137">
        <f t="shared" si="211"/>
        <v>0.25</v>
      </c>
      <c r="N491" s="137">
        <f t="shared" si="211"/>
        <v>0.25</v>
      </c>
      <c r="O491" s="137">
        <f t="shared" si="211"/>
        <v>0.25</v>
      </c>
    </row>
    <row r="492" spans="1:15" x14ac:dyDescent="0.6">
      <c r="A492" s="79" t="s">
        <v>311</v>
      </c>
      <c r="B492" s="138">
        <f t="shared" ref="B492:O492" si="212">B191</f>
        <v>0</v>
      </c>
      <c r="C492" s="138">
        <f t="shared" si="212"/>
        <v>0.29000000000000004</v>
      </c>
      <c r="D492" s="138">
        <f t="shared" si="212"/>
        <v>0.30000000000000004</v>
      </c>
      <c r="E492" s="138">
        <f t="shared" si="212"/>
        <v>0.37</v>
      </c>
      <c r="F492" s="138">
        <f t="shared" si="212"/>
        <v>0.4</v>
      </c>
      <c r="G492" s="138">
        <f t="shared" si="212"/>
        <v>0.4</v>
      </c>
      <c r="H492" s="138">
        <f t="shared" si="212"/>
        <v>0.4</v>
      </c>
      <c r="I492" s="138">
        <f t="shared" si="212"/>
        <v>0.4</v>
      </c>
      <c r="J492" s="138">
        <f t="shared" si="212"/>
        <v>0.4</v>
      </c>
      <c r="K492" s="138">
        <f t="shared" si="212"/>
        <v>0.4</v>
      </c>
      <c r="L492" s="138">
        <f t="shared" si="212"/>
        <v>0.4</v>
      </c>
      <c r="M492" s="138">
        <f t="shared" si="212"/>
        <v>0.4</v>
      </c>
      <c r="N492" s="138">
        <f t="shared" si="212"/>
        <v>0.4</v>
      </c>
      <c r="O492" s="138">
        <f t="shared" si="212"/>
        <v>0.4</v>
      </c>
    </row>
    <row r="493" spans="1:15" x14ac:dyDescent="0.6">
      <c r="A493" s="77"/>
      <c r="B493" s="137"/>
      <c r="C493" s="137"/>
      <c r="D493" s="137"/>
      <c r="E493" s="137"/>
      <c r="F493" s="137"/>
      <c r="G493" s="137"/>
      <c r="H493" s="137"/>
      <c r="I493" s="137"/>
      <c r="J493" s="137"/>
      <c r="K493" s="137"/>
      <c r="L493" s="137"/>
      <c r="M493" s="137"/>
      <c r="N493" s="137"/>
      <c r="O493" s="137"/>
    </row>
    <row r="494" spans="1:15" x14ac:dyDescent="0.6">
      <c r="A494" s="79" t="str">
        <f>Drivers!A194</f>
        <v>Interchange fees Revenue</v>
      </c>
      <c r="B494" s="143">
        <f>Drivers!B194</f>
        <v>0</v>
      </c>
      <c r="C494" s="143">
        <f>Drivers!C194</f>
        <v>116.5</v>
      </c>
      <c r="D494" s="80">
        <f>Drivers!D194</f>
        <v>203.9</v>
      </c>
      <c r="E494" s="80">
        <f>Drivers!E194</f>
        <v>254.3</v>
      </c>
      <c r="F494" s="80">
        <f>Drivers!F194</f>
        <v>471.505</v>
      </c>
      <c r="G494" s="80">
        <f>Drivers!G194</f>
        <v>917</v>
      </c>
      <c r="H494" s="80">
        <f>Drivers!H194</f>
        <v>1168.3232454497493</v>
      </c>
      <c r="I494" s="80">
        <f>Drivers!I194</f>
        <v>1425.9836566140139</v>
      </c>
      <c r="J494" s="80">
        <f>Drivers!J194</f>
        <v>1973.9597576059828</v>
      </c>
      <c r="K494" s="80">
        <f>Drivers!K194</f>
        <v>2372.5599282977792</v>
      </c>
      <c r="L494" s="80">
        <f>Drivers!L194</f>
        <v>2827.3795756649079</v>
      </c>
      <c r="M494" s="80">
        <f>Drivers!M194</f>
        <v>3163.8126412799993</v>
      </c>
      <c r="N494" s="80">
        <f>Drivers!N194</f>
        <v>3507.7517656954888</v>
      </c>
      <c r="O494" s="80">
        <f>Drivers!O194</f>
        <v>3864.1938799484037</v>
      </c>
    </row>
    <row r="495" spans="1:15" x14ac:dyDescent="0.6">
      <c r="A495" s="77" t="s">
        <v>312</v>
      </c>
      <c r="B495" s="187">
        <f>Drivers!B195</f>
        <v>0</v>
      </c>
      <c r="C495" s="187">
        <f>Drivers!C195</f>
        <v>1.2135416666666666E-2</v>
      </c>
      <c r="D495" s="187">
        <f>Drivers!D195</f>
        <v>1.1923976608187135E-2</v>
      </c>
      <c r="E495" s="187">
        <f>Drivers!E195</f>
        <v>1.1302222222222222E-2</v>
      </c>
      <c r="F495" s="187">
        <f>Drivers!F195</f>
        <v>1.0764954337899544E-2</v>
      </c>
      <c r="G495" s="187">
        <f>Drivers!G195</f>
        <v>1.1320987654320987E-2</v>
      </c>
      <c r="H495" s="187">
        <f>Drivers!H195</f>
        <v>9.1340750719591992E-3</v>
      </c>
      <c r="I495" s="187">
        <f>Drivers!I195</f>
        <v>8.6469095868321241E-3</v>
      </c>
      <c r="J495" s="187">
        <f>Drivers!J195</f>
        <v>8.8071183178736658E-3</v>
      </c>
      <c r="K495" s="187">
        <f>Drivers!K195</f>
        <v>8.9097638192672801E-3</v>
      </c>
      <c r="L495" s="187">
        <f>Drivers!L195</f>
        <v>8.9684987762062452E-3</v>
      </c>
      <c r="M495" s="187">
        <f>Drivers!M195</f>
        <v>9.0303244375642428E-3</v>
      </c>
      <c r="N495" s="187">
        <f>Drivers!N195</f>
        <v>9.07903251698392E-3</v>
      </c>
      <c r="O495" s="187">
        <f>Drivers!O195</f>
        <v>9.1199297714233043E-3</v>
      </c>
    </row>
    <row r="498" spans="1:16" x14ac:dyDescent="0.6">
      <c r="C498" s="129">
        <v>2018</v>
      </c>
      <c r="D498" s="129">
        <v>2019</v>
      </c>
      <c r="E498" s="232">
        <v>2020</v>
      </c>
      <c r="F498" s="232">
        <v>2021</v>
      </c>
      <c r="G498" s="129">
        <v>2022</v>
      </c>
      <c r="H498" s="129">
        <v>2023</v>
      </c>
      <c r="I498" s="129">
        <v>2024</v>
      </c>
      <c r="J498" s="129">
        <v>2025</v>
      </c>
      <c r="K498" s="129">
        <v>2026</v>
      </c>
      <c r="L498" s="129">
        <v>2027</v>
      </c>
      <c r="M498" s="129">
        <v>2028</v>
      </c>
      <c r="N498" s="129">
        <v>2029</v>
      </c>
      <c r="O498" s="129">
        <v>2030</v>
      </c>
    </row>
    <row r="499" spans="1:16" x14ac:dyDescent="0.6">
      <c r="A499" t="s">
        <v>404</v>
      </c>
      <c r="C499" s="83">
        <f>Drivers!C35</f>
        <v>0</v>
      </c>
      <c r="D499" s="83">
        <f>Drivers!D35</f>
        <v>58</v>
      </c>
      <c r="E499" s="83">
        <f>Drivers!E35</f>
        <v>202.32558139534882</v>
      </c>
      <c r="F499" s="83">
        <f>Drivers!F35</f>
        <v>1194.81</v>
      </c>
      <c r="G499" s="83">
        <f>Drivers!G35</f>
        <v>1673</v>
      </c>
      <c r="H499" s="83">
        <f>Drivers!H35</f>
        <v>3073.7838046249276</v>
      </c>
      <c r="I499" s="83">
        <f>Drivers!I35</f>
        <v>4345.3200144218608</v>
      </c>
      <c r="J499" s="83">
        <f>Drivers!J35</f>
        <v>6029.4757547159606</v>
      </c>
      <c r="K499" s="83">
        <f>Drivers!K35</f>
        <v>7933.6431269120003</v>
      </c>
      <c r="L499" s="83">
        <f>Drivers!L35</f>
        <v>9737.6918370352851</v>
      </c>
      <c r="M499" s="83">
        <f>Drivers!M35</f>
        <v>11546.22763565226</v>
      </c>
      <c r="N499" s="83">
        <f>Drivers!N35</f>
        <v>13005.924106116374</v>
      </c>
      <c r="O499" s="83">
        <f>Drivers!O35</f>
        <v>14520.224548828932</v>
      </c>
    </row>
    <row r="500" spans="1:16" x14ac:dyDescent="0.6">
      <c r="A500" t="str">
        <f>'Revenue and Expenses breakdown'!A11</f>
        <v>Interest income – lending</v>
      </c>
      <c r="C500" s="83">
        <f>'Revenue and Expenses breakdown'!B11</f>
        <v>0</v>
      </c>
      <c r="D500" s="83">
        <f>'Revenue and Expenses breakdown'!C11</f>
        <v>8.6</v>
      </c>
      <c r="E500" s="83">
        <f>'Revenue and Expenses breakdown'!D11</f>
        <v>38.9</v>
      </c>
      <c r="F500" s="83">
        <f>'Revenue and Expenses breakdown'!E11</f>
        <v>292.70100000000002</v>
      </c>
      <c r="G500" s="83">
        <f>'Revenue and Expenses breakdown'!F11</f>
        <v>932.19600000000003</v>
      </c>
      <c r="H500" s="83">
        <f>'Revenue and Expenses breakdown'!G11</f>
        <v>1495.1153443966684</v>
      </c>
      <c r="I500" s="83">
        <f>'Revenue and Expenses breakdown'!H11</f>
        <v>2210.5730526404723</v>
      </c>
      <c r="J500" s="83">
        <f>'Revenue and Expenses breakdown'!I11</f>
        <v>2995.7823982901446</v>
      </c>
      <c r="K500" s="83">
        <f>'Revenue and Expenses breakdown'!J11</f>
        <v>3747.2948319911425</v>
      </c>
      <c r="L500" s="83">
        <f>'Revenue and Expenses breakdown'!K11</f>
        <v>4518.2390532819763</v>
      </c>
      <c r="M500" s="83">
        <f>'Revenue and Expenses breakdown'!L11</f>
        <v>5441.9112288121569</v>
      </c>
      <c r="N500" s="83">
        <f>'Revenue and Expenses breakdown'!M11</f>
        <v>6277.5387976112988</v>
      </c>
      <c r="O500" s="83">
        <f>'Revenue and Expenses breakdown'!N11</f>
        <v>7037.9357356394248</v>
      </c>
    </row>
    <row r="504" spans="1:16" x14ac:dyDescent="0.6">
      <c r="A504" s="191"/>
      <c r="B504" s="129">
        <f>B470</f>
        <v>0</v>
      </c>
      <c r="C504" s="129">
        <f>C470</f>
        <v>0</v>
      </c>
      <c r="D504" s="129">
        <f>D486</f>
        <v>2019</v>
      </c>
      <c r="E504" s="232">
        <f t="shared" ref="E504:O504" si="213">E486</f>
        <v>2020</v>
      </c>
      <c r="F504" s="232">
        <f t="shared" si="213"/>
        <v>2021</v>
      </c>
      <c r="G504" s="129">
        <f t="shared" si="213"/>
        <v>2022</v>
      </c>
      <c r="H504" s="129">
        <f t="shared" si="213"/>
        <v>2023</v>
      </c>
      <c r="I504" s="129">
        <f t="shared" si="213"/>
        <v>2024</v>
      </c>
      <c r="J504" s="129">
        <f t="shared" si="213"/>
        <v>2025</v>
      </c>
      <c r="K504" s="129">
        <f t="shared" si="213"/>
        <v>2026</v>
      </c>
      <c r="L504" s="129">
        <f t="shared" si="213"/>
        <v>2027</v>
      </c>
      <c r="M504" s="129">
        <f t="shared" si="213"/>
        <v>2028</v>
      </c>
      <c r="N504" s="129">
        <f t="shared" si="213"/>
        <v>2029</v>
      </c>
      <c r="O504" s="129">
        <f t="shared" si="213"/>
        <v>2030</v>
      </c>
      <c r="P504" s="232"/>
    </row>
    <row r="505" spans="1:16" x14ac:dyDescent="0.6">
      <c r="A505" s="77" t="s">
        <v>331</v>
      </c>
      <c r="B505" s="141">
        <f>B229</f>
        <v>0</v>
      </c>
      <c r="C505" s="141">
        <f>C229</f>
        <v>0</v>
      </c>
      <c r="D505" s="141">
        <f>('Revenue and Expenses breakdown'!C7+'Revenue and Expenses breakdown'!C26)</f>
        <v>612.1</v>
      </c>
      <c r="E505" s="141">
        <f>('Revenue and Expenses breakdown'!D7+'Revenue and Expenses breakdown'!D26)</f>
        <v>737.1</v>
      </c>
      <c r="F505" s="141">
        <f>('Revenue and Expenses breakdown'!E7+'Revenue and Expenses breakdown'!E26)</f>
        <v>1696.9561700000002</v>
      </c>
      <c r="G505" s="141">
        <f>('Revenue and Expenses breakdown'!F7+'Revenue and Expenses breakdown'!F26)</f>
        <v>4790.1710000000003</v>
      </c>
      <c r="H505" s="141">
        <f>('Revenue and Expenses breakdown'!G7+'Revenue and Expenses breakdown'!G26)</f>
        <v>7732.8072369424499</v>
      </c>
      <c r="I505" s="141">
        <f>('Revenue and Expenses breakdown'!H7+'Revenue and Expenses breakdown'!H26)</f>
        <v>10023.301010022686</v>
      </c>
      <c r="J505" s="141">
        <f>('Revenue and Expenses breakdown'!I7+'Revenue and Expenses breakdown'!I26)</f>
        <v>12552.755047904211</v>
      </c>
      <c r="K505" s="141">
        <f>('Revenue and Expenses breakdown'!J7+'Revenue and Expenses breakdown'!J26)</f>
        <v>14827.584061151229</v>
      </c>
      <c r="L505" s="141">
        <f>('Revenue and Expenses breakdown'!K7+'Revenue and Expenses breakdown'!K26)</f>
        <v>16928.784213913113</v>
      </c>
      <c r="M505" s="141">
        <f>('Revenue and Expenses breakdown'!L7+'Revenue and Expenses breakdown'!L26)</f>
        <v>18724.416345688416</v>
      </c>
      <c r="N505" s="141">
        <f>('Revenue and Expenses breakdown'!M7+'Revenue and Expenses breakdown'!M26)</f>
        <v>20972.958831498792</v>
      </c>
      <c r="O505" s="141">
        <f>('Revenue and Expenses breakdown'!N7+'Revenue and Expenses breakdown'!N26)</f>
        <v>23159.131387457866</v>
      </c>
    </row>
    <row r="506" spans="1:16" x14ac:dyDescent="0.6">
      <c r="A506" s="79" t="s">
        <v>317</v>
      </c>
      <c r="B506" s="143">
        <f>B252</f>
        <v>0</v>
      </c>
      <c r="C506" s="143">
        <f>C252</f>
        <v>0</v>
      </c>
      <c r="D506" s="143">
        <f>'Revenue and Expenses breakdown'!C43</f>
        <v>0</v>
      </c>
      <c r="E506" s="143">
        <f>'Revenue and Expenses breakdown'!D43</f>
        <v>0</v>
      </c>
      <c r="F506" s="143">
        <f>'Revenue and Expenses breakdown'!E43</f>
        <v>0</v>
      </c>
      <c r="G506" s="143">
        <f>'Revenue and Expenses breakdown'!F43</f>
        <v>23.948651162790693</v>
      </c>
      <c r="H506" s="143">
        <f>'Revenue and Expenses breakdown'!G43</f>
        <v>45.718875373878362</v>
      </c>
      <c r="I506" s="143">
        <f>'Revenue and Expenses breakdown'!H43</f>
        <v>69.068471953578353</v>
      </c>
      <c r="J506" s="143">
        <f>'Revenue and Expenses breakdown'!I43</f>
        <v>102.34920634920636</v>
      </c>
      <c r="K506" s="143">
        <f>'Revenue and Expenses breakdown'!J43</f>
        <v>135.91914893617019</v>
      </c>
      <c r="L506" s="143">
        <f>'Revenue and Expenses breakdown'!K43</f>
        <v>176.82011605415858</v>
      </c>
      <c r="M506" s="143">
        <f>'Revenue and Expenses breakdown'!L43</f>
        <v>200.54448742746615</v>
      </c>
      <c r="N506" s="143">
        <f>'Revenue and Expenses breakdown'!M43</f>
        <v>223.89168278529976</v>
      </c>
      <c r="O506" s="143">
        <f>'Revenue and Expenses breakdown'!N43</f>
        <v>246.48452611218573</v>
      </c>
    </row>
    <row r="507" spans="1:16" x14ac:dyDescent="0.6">
      <c r="A507" s="77" t="s">
        <v>318</v>
      </c>
      <c r="B507" s="141">
        <f>B231</f>
        <v>0</v>
      </c>
      <c r="C507" s="141">
        <f>C231</f>
        <v>0</v>
      </c>
      <c r="D507" s="141">
        <f>'Revenue and Expenses breakdown'!C49</f>
        <v>0</v>
      </c>
      <c r="E507" s="141">
        <f>'Revenue and Expenses breakdown'!D49</f>
        <v>0</v>
      </c>
      <c r="F507" s="141">
        <f>'Revenue and Expenses breakdown'!E49</f>
        <v>0</v>
      </c>
      <c r="G507" s="141">
        <f>'Revenue and Expenses breakdown'!F49</f>
        <v>25.704000000000004</v>
      </c>
      <c r="H507" s="141">
        <f>'Revenue and Expenses breakdown'!G49</f>
        <v>42.392000000000003</v>
      </c>
      <c r="I507" s="141">
        <f>'Revenue and Expenses breakdown'!H49</f>
        <v>69.760000000000005</v>
      </c>
      <c r="J507" s="141">
        <f>'Revenue and Expenses breakdown'!I49</f>
        <v>107.136</v>
      </c>
      <c r="K507" s="141">
        <f>'Revenue and Expenses breakdown'!J49</f>
        <v>141.96</v>
      </c>
      <c r="L507" s="141">
        <f>'Revenue and Expenses breakdown'!K49</f>
        <v>180.488</v>
      </c>
      <c r="M507" s="141">
        <f>'Revenue and Expenses breakdown'!L49</f>
        <v>220.86000000000007</v>
      </c>
      <c r="N507" s="141">
        <f>'Revenue and Expenses breakdown'!M49</f>
        <v>264.57600000000002</v>
      </c>
      <c r="O507" s="141">
        <f>'Revenue and Expenses breakdown'!N49</f>
        <v>311.06600000000014</v>
      </c>
    </row>
    <row r="508" spans="1:16" x14ac:dyDescent="0.6">
      <c r="A508" s="79" t="s">
        <v>319</v>
      </c>
      <c r="B508" s="143">
        <f>B254</f>
        <v>0</v>
      </c>
      <c r="C508" s="143">
        <f>C254</f>
        <v>0</v>
      </c>
      <c r="D508" s="143">
        <f>'Revenue and Expenses breakdown'!C54</f>
        <v>0</v>
      </c>
      <c r="E508" s="143">
        <f>'Revenue and Expenses breakdown'!D54</f>
        <v>0</v>
      </c>
      <c r="F508" s="143">
        <f>'Revenue and Expenses breakdown'!E54</f>
        <v>0</v>
      </c>
      <c r="G508" s="143">
        <f>'Revenue and Expenses breakdown'!F54</f>
        <v>35.581395348837212</v>
      </c>
      <c r="H508" s="143">
        <f>'Revenue and Expenses breakdown'!G54</f>
        <v>45.284147557328019</v>
      </c>
      <c r="I508" s="143">
        <f>'Revenue and Expenses breakdown'!H54</f>
        <v>56.671566731141205</v>
      </c>
      <c r="J508" s="143">
        <f>'Revenue and Expenses breakdown'!I54</f>
        <v>73.612698412698407</v>
      </c>
      <c r="K508" s="143">
        <f>'Revenue and Expenses breakdown'!J54</f>
        <v>87.444487427466171</v>
      </c>
      <c r="L508" s="143">
        <f>'Revenue and Expenses breakdown'!K54</f>
        <v>103.37176015473889</v>
      </c>
      <c r="M508" s="143">
        <f>'Revenue and Expenses breakdown'!L54</f>
        <v>118.66537717601551</v>
      </c>
      <c r="N508" s="143">
        <f>'Revenue and Expenses breakdown'!M54</f>
        <v>134.33500967117993</v>
      </c>
      <c r="O508" s="143">
        <f>'Revenue and Expenses breakdown'!N54</f>
        <v>150.16595744680856</v>
      </c>
    </row>
    <row r="510" spans="1:16" x14ac:dyDescent="0.6">
      <c r="A510" t="s">
        <v>332</v>
      </c>
      <c r="D510" s="86">
        <f>SUM(D505:D508)</f>
        <v>612.1</v>
      </c>
      <c r="E510" s="86">
        <f t="shared" ref="E510:O510" si="214">SUM(E505:E508)</f>
        <v>737.1</v>
      </c>
      <c r="F510" s="86">
        <f t="shared" si="214"/>
        <v>1696.9561700000002</v>
      </c>
      <c r="G510" s="86">
        <f t="shared" si="214"/>
        <v>4875.4050465116279</v>
      </c>
      <c r="H510" s="86">
        <f t="shared" si="214"/>
        <v>7866.2022598736557</v>
      </c>
      <c r="I510" s="86">
        <f t="shared" si="214"/>
        <v>10218.801048707406</v>
      </c>
      <c r="J510" s="86">
        <f t="shared" si="214"/>
        <v>12835.852952666117</v>
      </c>
      <c r="K510" s="86">
        <f t="shared" si="214"/>
        <v>15192.907697514866</v>
      </c>
      <c r="L510" s="86">
        <f t="shared" si="214"/>
        <v>17389.464090122012</v>
      </c>
      <c r="M510" s="86">
        <f t="shared" si="214"/>
        <v>19264.486210291896</v>
      </c>
      <c r="N510" s="86">
        <f t="shared" si="214"/>
        <v>21595.761523955272</v>
      </c>
      <c r="O510" s="86">
        <f t="shared" si="214"/>
        <v>23866.84787101686</v>
      </c>
    </row>
    <row r="512" spans="1:16" x14ac:dyDescent="0.6">
      <c r="A512" s="191"/>
      <c r="B512" s="129">
        <f>B478</f>
        <v>0</v>
      </c>
      <c r="C512" s="129">
        <f>C478</f>
        <v>0</v>
      </c>
      <c r="D512" s="129">
        <f>D504</f>
        <v>2019</v>
      </c>
      <c r="E512" s="232">
        <f t="shared" ref="E512:O512" si="215">E504</f>
        <v>2020</v>
      </c>
      <c r="F512" s="232">
        <f t="shared" si="215"/>
        <v>2021</v>
      </c>
      <c r="G512" s="129">
        <f t="shared" si="215"/>
        <v>2022</v>
      </c>
      <c r="H512" s="129">
        <f t="shared" si="215"/>
        <v>2023</v>
      </c>
      <c r="I512" s="129">
        <f t="shared" si="215"/>
        <v>2024</v>
      </c>
      <c r="J512" s="129">
        <f t="shared" si="215"/>
        <v>2025</v>
      </c>
      <c r="K512" s="129">
        <f t="shared" si="215"/>
        <v>2026</v>
      </c>
      <c r="L512" s="129">
        <f t="shared" si="215"/>
        <v>2027</v>
      </c>
      <c r="M512" s="129">
        <f t="shared" si="215"/>
        <v>2028</v>
      </c>
      <c r="N512" s="129">
        <f t="shared" si="215"/>
        <v>2029</v>
      </c>
      <c r="O512" s="129">
        <f t="shared" si="215"/>
        <v>2030</v>
      </c>
    </row>
    <row r="513" spans="1:15" x14ac:dyDescent="0.6">
      <c r="A513" s="77" t="s">
        <v>331</v>
      </c>
      <c r="B513" s="141">
        <f>B238</f>
        <v>0</v>
      </c>
      <c r="C513" s="141">
        <f>C238</f>
        <v>0</v>
      </c>
      <c r="D513" s="214">
        <f>D505/D$510</f>
        <v>1</v>
      </c>
      <c r="E513" s="137">
        <f t="shared" ref="E513:O513" si="216">E505/E$510</f>
        <v>1</v>
      </c>
      <c r="F513" s="137">
        <f>F505/F$510</f>
        <v>1</v>
      </c>
      <c r="G513" s="214">
        <f t="shared" si="216"/>
        <v>0.9825175455785744</v>
      </c>
      <c r="H513" s="214">
        <f t="shared" si="216"/>
        <v>0.98304200444836409</v>
      </c>
      <c r="I513" s="214">
        <f t="shared" si="216"/>
        <v>0.98086859331609655</v>
      </c>
      <c r="J513" s="214">
        <f t="shared" si="216"/>
        <v>0.97794475319981722</v>
      </c>
      <c r="K513" s="214">
        <f t="shared" si="216"/>
        <v>0.9759543305575803</v>
      </c>
      <c r="L513" s="214">
        <f t="shared" si="216"/>
        <v>0.97350810388282261</v>
      </c>
      <c r="M513" s="214">
        <f t="shared" si="216"/>
        <v>0.97196551941702181</v>
      </c>
      <c r="N513" s="214">
        <f t="shared" si="216"/>
        <v>0.97116088303875592</v>
      </c>
      <c r="O513" s="214">
        <f t="shared" si="216"/>
        <v>0.97034729984522072</v>
      </c>
    </row>
    <row r="514" spans="1:15" x14ac:dyDescent="0.6">
      <c r="A514" s="79" t="s">
        <v>317</v>
      </c>
      <c r="B514" s="143">
        <f>B261</f>
        <v>0</v>
      </c>
      <c r="C514" s="143">
        <f>C261</f>
        <v>0</v>
      </c>
      <c r="D514" s="215">
        <f t="shared" ref="D514:O514" si="217">D506/D$510</f>
        <v>0</v>
      </c>
      <c r="E514" s="138">
        <f t="shared" si="217"/>
        <v>0</v>
      </c>
      <c r="F514" s="138">
        <f t="shared" si="217"/>
        <v>0</v>
      </c>
      <c r="G514" s="215">
        <f t="shared" si="217"/>
        <v>4.9121356962794401E-3</v>
      </c>
      <c r="H514" s="215">
        <f t="shared" si="217"/>
        <v>5.8120645596789781E-3</v>
      </c>
      <c r="I514" s="215">
        <f t="shared" si="217"/>
        <v>6.758960432282312E-3</v>
      </c>
      <c r="J514" s="215">
        <f t="shared" si="217"/>
        <v>7.9736973247225892E-3</v>
      </c>
      <c r="K514" s="215">
        <f t="shared" si="217"/>
        <v>8.9462235697254158E-3</v>
      </c>
      <c r="L514" s="215">
        <f t="shared" si="217"/>
        <v>1.0168232622798321E-2</v>
      </c>
      <c r="M514" s="215">
        <f t="shared" si="217"/>
        <v>1.0410061562935786E-2</v>
      </c>
      <c r="N514" s="215">
        <f t="shared" si="217"/>
        <v>1.0367390033314923E-2</v>
      </c>
      <c r="O514" s="215">
        <f t="shared" si="217"/>
        <v>1.0327485533249185E-2</v>
      </c>
    </row>
    <row r="515" spans="1:15" x14ac:dyDescent="0.6">
      <c r="A515" s="77" t="s">
        <v>318</v>
      </c>
      <c r="B515" s="141">
        <f>B240</f>
        <v>0</v>
      </c>
      <c r="C515" s="141">
        <f>C240</f>
        <v>0</v>
      </c>
      <c r="D515" s="214">
        <f t="shared" ref="D515:O515" si="218">D507/D$510</f>
        <v>0</v>
      </c>
      <c r="E515" s="137">
        <f t="shared" si="218"/>
        <v>0</v>
      </c>
      <c r="F515" s="137">
        <f t="shared" si="218"/>
        <v>0</v>
      </c>
      <c r="G515" s="214">
        <f t="shared" si="218"/>
        <v>5.2721773380431892E-3</v>
      </c>
      <c r="H515" s="214">
        <f t="shared" si="218"/>
        <v>5.3891317054286991E-3</v>
      </c>
      <c r="I515" s="214">
        <f t="shared" si="218"/>
        <v>6.8266325635945391E-3</v>
      </c>
      <c r="J515" s="214">
        <f t="shared" si="218"/>
        <v>8.3466210149865366E-3</v>
      </c>
      <c r="K515" s="214">
        <f t="shared" si="218"/>
        <v>9.3438335061576585E-3</v>
      </c>
      <c r="L515" s="214">
        <f t="shared" si="218"/>
        <v>1.0379158268743038E-2</v>
      </c>
      <c r="M515" s="214">
        <f t="shared" si="218"/>
        <v>1.146461927866041E-2</v>
      </c>
      <c r="N515" s="214">
        <f t="shared" si="218"/>
        <v>1.2251292907940151E-2</v>
      </c>
      <c r="O515" s="214">
        <f t="shared" si="218"/>
        <v>1.3033392665889021E-2</v>
      </c>
    </row>
    <row r="516" spans="1:15" x14ac:dyDescent="0.6">
      <c r="A516" s="79" t="s">
        <v>319</v>
      </c>
      <c r="B516" s="143">
        <f>B263</f>
        <v>0</v>
      </c>
      <c r="C516" s="143">
        <f>C263</f>
        <v>0</v>
      </c>
      <c r="D516" s="215">
        <f t="shared" ref="D516:O516" si="219">D508/D$510</f>
        <v>0</v>
      </c>
      <c r="E516" s="138">
        <f t="shared" si="219"/>
        <v>0</v>
      </c>
      <c r="F516" s="138">
        <f t="shared" si="219"/>
        <v>0</v>
      </c>
      <c r="G516" s="215">
        <f t="shared" si="219"/>
        <v>7.298141387102974E-3</v>
      </c>
      <c r="H516" s="215">
        <f t="shared" si="219"/>
        <v>5.7567992865283071E-3</v>
      </c>
      <c r="I516" s="215">
        <f t="shared" si="219"/>
        <v>5.5458136880265118E-3</v>
      </c>
      <c r="J516" s="215">
        <f t="shared" si="219"/>
        <v>5.7349284604735536E-3</v>
      </c>
      <c r="K516" s="215">
        <f t="shared" si="219"/>
        <v>5.7556123665366337E-3</v>
      </c>
      <c r="L516" s="215">
        <f t="shared" si="219"/>
        <v>5.9445052256359441E-3</v>
      </c>
      <c r="M516" s="215">
        <f t="shared" si="219"/>
        <v>6.1597997413821238E-3</v>
      </c>
      <c r="N516" s="215">
        <f t="shared" si="219"/>
        <v>6.2204340199889571E-3</v>
      </c>
      <c r="O516" s="215">
        <f t="shared" si="219"/>
        <v>6.2918219556410433E-3</v>
      </c>
    </row>
    <row r="518" spans="1:15" x14ac:dyDescent="0.6">
      <c r="A518" s="191"/>
      <c r="B518" s="129">
        <f>B484</f>
        <v>0</v>
      </c>
      <c r="C518" s="129">
        <f>C484</f>
        <v>0</v>
      </c>
      <c r="D518" s="129">
        <f>D504</f>
        <v>2019</v>
      </c>
      <c r="E518" s="232">
        <f t="shared" ref="E518:O518" si="220">E504</f>
        <v>2020</v>
      </c>
      <c r="F518" s="232">
        <f t="shared" si="220"/>
        <v>2021</v>
      </c>
      <c r="G518" s="129">
        <f t="shared" si="220"/>
        <v>2022</v>
      </c>
      <c r="H518" s="129">
        <f t="shared" si="220"/>
        <v>2023</v>
      </c>
      <c r="I518" s="129">
        <f t="shared" si="220"/>
        <v>2024</v>
      </c>
      <c r="J518" s="129">
        <f t="shared" si="220"/>
        <v>2025</v>
      </c>
      <c r="K518" s="129">
        <f t="shared" si="220"/>
        <v>2026</v>
      </c>
      <c r="L518" s="129">
        <f t="shared" si="220"/>
        <v>2027</v>
      </c>
      <c r="M518" s="129">
        <f t="shared" si="220"/>
        <v>2028</v>
      </c>
      <c r="N518" s="129">
        <f t="shared" si="220"/>
        <v>2029</v>
      </c>
      <c r="O518" s="129">
        <f t="shared" si="220"/>
        <v>2030</v>
      </c>
    </row>
    <row r="519" spans="1:15" x14ac:dyDescent="0.6">
      <c r="A519" s="77" t="s">
        <v>331</v>
      </c>
      <c r="B519" s="141">
        <f>B244</f>
        <v>0</v>
      </c>
      <c r="C519" s="141">
        <f>C244</f>
        <v>0</v>
      </c>
      <c r="D519" s="214">
        <f>D513</f>
        <v>1</v>
      </c>
      <c r="E519" s="137">
        <f t="shared" ref="E519:O519" si="221">E513</f>
        <v>1</v>
      </c>
      <c r="F519" s="137">
        <f t="shared" si="221"/>
        <v>1</v>
      </c>
      <c r="G519" s="214">
        <f t="shared" si="221"/>
        <v>0.9825175455785744</v>
      </c>
      <c r="H519" s="214">
        <f t="shared" si="221"/>
        <v>0.98304200444836409</v>
      </c>
      <c r="I519" s="214">
        <f t="shared" si="221"/>
        <v>0.98086859331609655</v>
      </c>
      <c r="J519" s="214">
        <f t="shared" si="221"/>
        <v>0.97794475319981722</v>
      </c>
      <c r="K519" s="214">
        <f t="shared" si="221"/>
        <v>0.9759543305575803</v>
      </c>
      <c r="L519" s="214">
        <f t="shared" si="221"/>
        <v>0.97350810388282261</v>
      </c>
      <c r="M519" s="214">
        <f t="shared" si="221"/>
        <v>0.97196551941702181</v>
      </c>
      <c r="N519" s="214">
        <f t="shared" si="221"/>
        <v>0.97116088303875592</v>
      </c>
      <c r="O519" s="214">
        <f t="shared" si="221"/>
        <v>0.97034729984522072</v>
      </c>
    </row>
    <row r="520" spans="1:15" x14ac:dyDescent="0.6">
      <c r="A520" s="79" t="s">
        <v>333</v>
      </c>
      <c r="B520" s="143">
        <f>B267</f>
        <v>0</v>
      </c>
      <c r="C520" s="143">
        <f>C267</f>
        <v>2956.43</v>
      </c>
      <c r="D520" s="215">
        <f>SUM(D514:D516)</f>
        <v>0</v>
      </c>
      <c r="E520" s="138">
        <f t="shared" ref="E520:O520" si="222">SUM(E514:E516)</f>
        <v>0</v>
      </c>
      <c r="F520" s="138">
        <f t="shared" si="222"/>
        <v>0</v>
      </c>
      <c r="G520" s="215">
        <f t="shared" si="222"/>
        <v>1.7482454421425604E-2</v>
      </c>
      <c r="H520" s="215">
        <f t="shared" si="222"/>
        <v>1.6957995551635983E-2</v>
      </c>
      <c r="I520" s="215">
        <f t="shared" si="222"/>
        <v>1.9131406683903361E-2</v>
      </c>
      <c r="J520" s="215">
        <f t="shared" si="222"/>
        <v>2.2055246800182678E-2</v>
      </c>
      <c r="K520" s="215">
        <f t="shared" si="222"/>
        <v>2.4045669442419711E-2</v>
      </c>
      <c r="L520" s="215">
        <f t="shared" si="222"/>
        <v>2.6491896117177303E-2</v>
      </c>
      <c r="M520" s="215">
        <f t="shared" si="222"/>
        <v>2.8034480582978319E-2</v>
      </c>
      <c r="N520" s="215">
        <f t="shared" si="222"/>
        <v>2.8839116961244034E-2</v>
      </c>
      <c r="O520" s="215">
        <f t="shared" si="222"/>
        <v>2.9652700154779249E-2</v>
      </c>
    </row>
  </sheetData>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5B938-68CD-4708-B028-BF95A37CE3ED}">
  <dimension ref="A2:M634"/>
  <sheetViews>
    <sheetView topLeftCell="A602" zoomScale="76" zoomScaleNormal="85" workbookViewId="0">
      <selection activeCell="B606" sqref="B606"/>
    </sheetView>
  </sheetViews>
  <sheetFormatPr defaultRowHeight="15.6" x14ac:dyDescent="0.6"/>
  <cols>
    <col min="2" max="2" width="32.5" customWidth="1"/>
    <col min="3" max="3" width="24.44921875" customWidth="1"/>
    <col min="4" max="4" width="10.59765625" bestFit="1" customWidth="1"/>
  </cols>
  <sheetData>
    <row r="2" spans="2:7" x14ac:dyDescent="0.6">
      <c r="B2" s="235" t="s">
        <v>488</v>
      </c>
      <c r="C2" s="235">
        <v>2026</v>
      </c>
    </row>
    <row r="3" spans="2:7" x14ac:dyDescent="0.6">
      <c r="B3" t="s">
        <v>487</v>
      </c>
      <c r="C3">
        <v>30</v>
      </c>
      <c r="D3" s="85">
        <f>C3/5.6</f>
        <v>5.3571428571428577</v>
      </c>
    </row>
    <row r="4" spans="2:7" x14ac:dyDescent="0.6">
      <c r="B4" t="s">
        <v>486</v>
      </c>
      <c r="C4">
        <v>12</v>
      </c>
    </row>
    <row r="6" spans="2:7" x14ac:dyDescent="0.6">
      <c r="B6" t="s">
        <v>488</v>
      </c>
      <c r="C6" t="s">
        <v>489</v>
      </c>
    </row>
    <row r="8" spans="2:7" x14ac:dyDescent="0.6">
      <c r="B8" t="s">
        <v>490</v>
      </c>
      <c r="C8">
        <v>1500</v>
      </c>
    </row>
    <row r="9" spans="2:7" x14ac:dyDescent="0.6">
      <c r="B9" t="s">
        <v>491</v>
      </c>
      <c r="C9">
        <v>143</v>
      </c>
    </row>
    <row r="11" spans="2:7" x14ac:dyDescent="0.6">
      <c r="B11" t="s">
        <v>494</v>
      </c>
      <c r="D11">
        <v>27</v>
      </c>
      <c r="E11" s="85">
        <f>D11/5.6</f>
        <v>4.8214285714285721</v>
      </c>
    </row>
    <row r="12" spans="2:7" x14ac:dyDescent="0.6">
      <c r="B12" t="s">
        <v>497</v>
      </c>
      <c r="D12">
        <v>8</v>
      </c>
      <c r="E12" s="85">
        <f>D12/5.6</f>
        <v>1.4285714285714286</v>
      </c>
    </row>
    <row r="13" spans="2:7" x14ac:dyDescent="0.6">
      <c r="B13" t="s">
        <v>496</v>
      </c>
      <c r="D13" s="85">
        <f>D11/D12</f>
        <v>3.375</v>
      </c>
    </row>
    <row r="15" spans="2:7" x14ac:dyDescent="0.6">
      <c r="B15" t="s">
        <v>498</v>
      </c>
      <c r="E15" s="234">
        <v>0.09</v>
      </c>
      <c r="G15" t="s">
        <v>501</v>
      </c>
    </row>
    <row r="16" spans="2:7" x14ac:dyDescent="0.6">
      <c r="B16" t="s">
        <v>499</v>
      </c>
      <c r="E16" s="19" t="s">
        <v>500</v>
      </c>
    </row>
    <row r="18" spans="2:9" x14ac:dyDescent="0.6">
      <c r="B18" t="s">
        <v>132</v>
      </c>
      <c r="E18" s="234">
        <v>1.44</v>
      </c>
      <c r="G18" t="s">
        <v>502</v>
      </c>
      <c r="I18" t="s">
        <v>505</v>
      </c>
    </row>
    <row r="19" spans="2:9" x14ac:dyDescent="0.6">
      <c r="B19" t="s">
        <v>488</v>
      </c>
      <c r="E19" s="234">
        <v>0.14000000000000001</v>
      </c>
      <c r="G19" t="s">
        <v>502</v>
      </c>
    </row>
    <row r="21" spans="2:9" x14ac:dyDescent="0.6">
      <c r="B21" t="s">
        <v>503</v>
      </c>
    </row>
    <row r="22" spans="2:9" x14ac:dyDescent="0.6">
      <c r="B22" t="s">
        <v>504</v>
      </c>
    </row>
    <row r="24" spans="2:9" x14ac:dyDescent="0.6">
      <c r="B24" t="s">
        <v>506</v>
      </c>
      <c r="E24" t="s">
        <v>507</v>
      </c>
    </row>
    <row r="25" spans="2:9" x14ac:dyDescent="0.6">
      <c r="B25" t="s">
        <v>495</v>
      </c>
      <c r="E25" t="s">
        <v>508</v>
      </c>
    </row>
    <row r="26" spans="2:9" x14ac:dyDescent="0.6">
      <c r="C26" t="s">
        <v>509</v>
      </c>
    </row>
    <row r="27" spans="2:9" x14ac:dyDescent="0.6">
      <c r="C27" t="s">
        <v>510</v>
      </c>
    </row>
    <row r="28" spans="2:9" x14ac:dyDescent="0.6">
      <c r="B28" t="s">
        <v>511</v>
      </c>
    </row>
    <row r="29" spans="2:9" x14ac:dyDescent="0.6">
      <c r="D29" s="334" t="s">
        <v>514</v>
      </c>
      <c r="E29" s="334" t="s">
        <v>554</v>
      </c>
      <c r="H29" s="334" t="s">
        <v>591</v>
      </c>
    </row>
    <row r="30" spans="2:9" x14ac:dyDescent="0.6">
      <c r="B30" s="235" t="s">
        <v>156</v>
      </c>
      <c r="C30" s="235"/>
      <c r="D30" s="235">
        <v>2025</v>
      </c>
      <c r="E30" s="235">
        <v>2025</v>
      </c>
      <c r="F30" s="335" t="s">
        <v>555</v>
      </c>
      <c r="H30" s="84"/>
    </row>
    <row r="31" spans="2:9" x14ac:dyDescent="0.6">
      <c r="B31" t="s">
        <v>548</v>
      </c>
      <c r="D31">
        <v>46</v>
      </c>
      <c r="E31" s="83">
        <f>SUM(E32:E35)</f>
        <v>25.933257246574744</v>
      </c>
      <c r="F31" s="234">
        <f>E31/D31-1</f>
        <v>-0.4362335381179403</v>
      </c>
      <c r="H31">
        <v>25</v>
      </c>
    </row>
    <row r="32" spans="2:9" x14ac:dyDescent="0.6">
      <c r="B32" t="str">
        <f>B44</f>
        <v xml:space="preserve"> Credit cards</v>
      </c>
      <c r="D32">
        <f>D44</f>
        <v>26</v>
      </c>
      <c r="E32" s="83">
        <f>Master!J154/1000</f>
        <v>19.903781491858783</v>
      </c>
    </row>
    <row r="33" spans="2:8" x14ac:dyDescent="0.6">
      <c r="B33" t="str">
        <f>B45</f>
        <v xml:space="preserve"> Personal loans</v>
      </c>
      <c r="D33">
        <f>D45</f>
        <v>13</v>
      </c>
      <c r="E33" s="83">
        <f>Master!J155/1000</f>
        <v>6.0294757547159605</v>
      </c>
    </row>
    <row r="34" spans="2:8" x14ac:dyDescent="0.6">
      <c r="B34" t="str">
        <f>B46</f>
        <v xml:space="preserve"> SME</v>
      </c>
      <c r="D34">
        <f>D46</f>
        <v>4</v>
      </c>
      <c r="E34">
        <v>0</v>
      </c>
    </row>
    <row r="35" spans="2:8" x14ac:dyDescent="0.6">
      <c r="B35" t="str">
        <f>B47</f>
        <v xml:space="preserve"> BNPL</v>
      </c>
      <c r="D35">
        <f>D47</f>
        <v>2</v>
      </c>
      <c r="E35">
        <v>0</v>
      </c>
    </row>
    <row r="37" spans="2:8" x14ac:dyDescent="0.6">
      <c r="B37" t="s">
        <v>47</v>
      </c>
      <c r="D37">
        <v>28</v>
      </c>
      <c r="E37" s="83">
        <f>Master!J173/1000</f>
        <v>31.360455139591167</v>
      </c>
      <c r="H37">
        <v>28</v>
      </c>
    </row>
    <row r="38" spans="2:8" x14ac:dyDescent="0.6">
      <c r="B38" t="s">
        <v>579</v>
      </c>
      <c r="D38" s="349">
        <f>D31/D37</f>
        <v>1.6428571428571428</v>
      </c>
      <c r="E38" s="349">
        <f>E31/E37</f>
        <v>0.82694135436303573</v>
      </c>
    </row>
    <row r="40" spans="2:8" x14ac:dyDescent="0.6">
      <c r="B40" t="s">
        <v>547</v>
      </c>
      <c r="D40">
        <v>180</v>
      </c>
      <c r="E40" s="83">
        <f>Drivers!O202</f>
        <v>341.74090883871742</v>
      </c>
      <c r="H40">
        <v>165</v>
      </c>
    </row>
    <row r="42" spans="2:8" x14ac:dyDescent="0.6">
      <c r="B42" t="s">
        <v>553</v>
      </c>
      <c r="D42">
        <v>5000</v>
      </c>
      <c r="E42" s="83">
        <f>Master!O56</f>
        <v>5225.7011398508312</v>
      </c>
      <c r="F42" s="234">
        <f>E42/D42-1</f>
        <v>4.5140227970166258E-2</v>
      </c>
      <c r="H42">
        <v>3000</v>
      </c>
    </row>
    <row r="44" spans="2:8" x14ac:dyDescent="0.6">
      <c r="B44" s="237" t="s">
        <v>549</v>
      </c>
      <c r="D44">
        <v>26</v>
      </c>
    </row>
    <row r="45" spans="2:8" x14ac:dyDescent="0.6">
      <c r="B45" s="237" t="s">
        <v>550</v>
      </c>
      <c r="D45">
        <v>13</v>
      </c>
    </row>
    <row r="46" spans="2:8" x14ac:dyDescent="0.6">
      <c r="B46" s="237" t="s">
        <v>551</v>
      </c>
      <c r="D46">
        <v>4</v>
      </c>
    </row>
    <row r="47" spans="2:8" x14ac:dyDescent="0.6">
      <c r="B47" s="252" t="s">
        <v>552</v>
      </c>
      <c r="C47" s="84"/>
      <c r="D47" s="84">
        <v>2</v>
      </c>
    </row>
    <row r="48" spans="2:8" x14ac:dyDescent="0.6">
      <c r="B48" t="s">
        <v>513</v>
      </c>
      <c r="D48">
        <f>SUM(D44:D47)</f>
        <v>45</v>
      </c>
    </row>
    <row r="50" spans="1:7" x14ac:dyDescent="0.6">
      <c r="B50" s="20" t="s">
        <v>512</v>
      </c>
    </row>
    <row r="51" spans="1:7" x14ac:dyDescent="0.6">
      <c r="B51" t="s">
        <v>132</v>
      </c>
      <c r="D51" s="19" t="s">
        <v>515</v>
      </c>
    </row>
    <row r="52" spans="1:7" x14ac:dyDescent="0.6">
      <c r="B52" t="s">
        <v>517</v>
      </c>
      <c r="D52" s="19"/>
    </row>
    <row r="53" spans="1:7" x14ac:dyDescent="0.6">
      <c r="B53" t="s">
        <v>516</v>
      </c>
      <c r="D53" s="234">
        <v>0.4</v>
      </c>
    </row>
    <row r="55" spans="1:7" x14ac:dyDescent="0.6">
      <c r="B55" t="s">
        <v>518</v>
      </c>
      <c r="D55" s="234">
        <v>0.44</v>
      </c>
    </row>
    <row r="56" spans="1:7" x14ac:dyDescent="0.6">
      <c r="B56" t="s">
        <v>519</v>
      </c>
      <c r="F56" s="234">
        <v>0.51</v>
      </c>
    </row>
    <row r="57" spans="1:7" x14ac:dyDescent="0.6">
      <c r="B57" t="s">
        <v>520</v>
      </c>
      <c r="F57" s="234">
        <v>0.45</v>
      </c>
    </row>
    <row r="59" spans="1:7" x14ac:dyDescent="0.6">
      <c r="B59" t="s">
        <v>522</v>
      </c>
      <c r="F59" s="234">
        <v>0.25</v>
      </c>
      <c r="G59" t="s">
        <v>523</v>
      </c>
    </row>
    <row r="60" spans="1:7" x14ac:dyDescent="0.6">
      <c r="B60" t="s">
        <v>521</v>
      </c>
    </row>
    <row r="62" spans="1:7" x14ac:dyDescent="0.6">
      <c r="B62" t="s">
        <v>524</v>
      </c>
    </row>
    <row r="63" spans="1:7" x14ac:dyDescent="0.6">
      <c r="A63" t="s">
        <v>527</v>
      </c>
      <c r="B63" s="234">
        <v>0.05</v>
      </c>
    </row>
    <row r="64" spans="1:7" x14ac:dyDescent="0.6">
      <c r="A64" t="s">
        <v>525</v>
      </c>
      <c r="B64" s="234">
        <v>0.11</v>
      </c>
    </row>
    <row r="65" spans="1:6" x14ac:dyDescent="0.6">
      <c r="A65" t="s">
        <v>526</v>
      </c>
      <c r="C65" s="234">
        <v>0.16</v>
      </c>
      <c r="D65" s="234">
        <v>0.04</v>
      </c>
    </row>
    <row r="68" spans="1:6" x14ac:dyDescent="0.6">
      <c r="B68" t="s">
        <v>538</v>
      </c>
    </row>
    <row r="71" spans="1:6" x14ac:dyDescent="0.6">
      <c r="B71" s="502" t="s">
        <v>870</v>
      </c>
    </row>
    <row r="73" spans="1:6" x14ac:dyDescent="0.6">
      <c r="B73" t="s">
        <v>882</v>
      </c>
    </row>
    <row r="74" spans="1:6" x14ac:dyDescent="0.6">
      <c r="C74" t="s">
        <v>886</v>
      </c>
    </row>
    <row r="76" spans="1:6" x14ac:dyDescent="0.6">
      <c r="B76" t="s">
        <v>562</v>
      </c>
    </row>
    <row r="77" spans="1:6" x14ac:dyDescent="0.6">
      <c r="C77" t="s">
        <v>892</v>
      </c>
    </row>
    <row r="78" spans="1:6" x14ac:dyDescent="0.6">
      <c r="C78" t="s">
        <v>887</v>
      </c>
    </row>
    <row r="79" spans="1:6" x14ac:dyDescent="0.6">
      <c r="D79" s="504">
        <v>4.2000000000000003E-2</v>
      </c>
    </row>
    <row r="80" spans="1:6" x14ac:dyDescent="0.6">
      <c r="D80" t="s">
        <v>676</v>
      </c>
      <c r="F80" s="505">
        <f>Quarts!M65</f>
        <v>0.19973033176687463</v>
      </c>
    </row>
    <row r="81" spans="2:6" x14ac:dyDescent="0.6">
      <c r="D81" t="s">
        <v>881</v>
      </c>
      <c r="F81" s="234"/>
    </row>
    <row r="82" spans="2:6" x14ac:dyDescent="0.6">
      <c r="E82" t="s">
        <v>889</v>
      </c>
      <c r="F82" s="234"/>
    </row>
    <row r="83" spans="2:6" x14ac:dyDescent="0.6">
      <c r="E83" t="s">
        <v>888</v>
      </c>
      <c r="F83" s="234"/>
    </row>
    <row r="84" spans="2:6" x14ac:dyDescent="0.6">
      <c r="B84" t="s">
        <v>47</v>
      </c>
    </row>
    <row r="85" spans="2:6" x14ac:dyDescent="0.6">
      <c r="C85" t="s">
        <v>890</v>
      </c>
    </row>
    <row r="86" spans="2:6" x14ac:dyDescent="0.6">
      <c r="C86" t="s">
        <v>548</v>
      </c>
      <c r="D86" s="86">
        <f>Quarts!M176</f>
        <v>7901</v>
      </c>
    </row>
    <row r="87" spans="2:6" x14ac:dyDescent="0.6">
      <c r="C87" t="s">
        <v>47</v>
      </c>
      <c r="D87" s="86">
        <f>Quarts!M182</f>
        <v>12596</v>
      </c>
    </row>
    <row r="88" spans="2:6" x14ac:dyDescent="0.6">
      <c r="C88" s="362" t="s">
        <v>891</v>
      </c>
    </row>
    <row r="89" spans="2:6" x14ac:dyDescent="0.6">
      <c r="C89" s="362" t="s">
        <v>877</v>
      </c>
    </row>
    <row r="90" spans="2:6" x14ac:dyDescent="0.6">
      <c r="B90" t="s">
        <v>878</v>
      </c>
      <c r="C90" s="362"/>
    </row>
    <row r="91" spans="2:6" x14ac:dyDescent="0.6">
      <c r="C91" s="362" t="s">
        <v>879</v>
      </c>
    </row>
    <row r="92" spans="2:6" x14ac:dyDescent="0.6">
      <c r="B92" t="s">
        <v>875</v>
      </c>
    </row>
    <row r="93" spans="2:6" x14ac:dyDescent="0.6">
      <c r="C93" s="362" t="s">
        <v>880</v>
      </c>
    </row>
    <row r="94" spans="2:6" x14ac:dyDescent="0.6">
      <c r="B94" t="s">
        <v>874</v>
      </c>
    </row>
    <row r="95" spans="2:6" x14ac:dyDescent="0.6">
      <c r="C95" t="s">
        <v>884</v>
      </c>
    </row>
    <row r="96" spans="2:6" x14ac:dyDescent="0.6">
      <c r="C96" t="s">
        <v>885</v>
      </c>
    </row>
    <row r="97" spans="2:6" x14ac:dyDescent="0.6">
      <c r="B97" t="s">
        <v>873</v>
      </c>
    </row>
    <row r="98" spans="2:6" x14ac:dyDescent="0.6">
      <c r="C98" t="s">
        <v>883</v>
      </c>
    </row>
    <row r="99" spans="2:6" x14ac:dyDescent="0.6">
      <c r="B99" t="s">
        <v>726</v>
      </c>
    </row>
    <row r="100" spans="2:6" x14ac:dyDescent="0.6">
      <c r="C100" t="s">
        <v>895</v>
      </c>
    </row>
    <row r="101" spans="2:6" x14ac:dyDescent="0.6">
      <c r="D101" t="s">
        <v>896</v>
      </c>
    </row>
    <row r="102" spans="2:6" x14ac:dyDescent="0.6">
      <c r="B102" t="s">
        <v>893</v>
      </c>
    </row>
    <row r="103" spans="2:6" x14ac:dyDescent="0.6">
      <c r="C103" t="s">
        <v>894</v>
      </c>
    </row>
    <row r="105" spans="2:6" x14ac:dyDescent="0.6">
      <c r="B105" t="s">
        <v>897</v>
      </c>
    </row>
    <row r="106" spans="2:6" x14ac:dyDescent="0.6">
      <c r="C106" t="s">
        <v>898</v>
      </c>
      <c r="F106" t="s">
        <v>899</v>
      </c>
    </row>
    <row r="107" spans="2:6" x14ac:dyDescent="0.6">
      <c r="C107" t="s">
        <v>900</v>
      </c>
      <c r="F107" t="s">
        <v>901</v>
      </c>
    </row>
    <row r="108" spans="2:6" x14ac:dyDescent="0.6">
      <c r="D108" t="s">
        <v>902</v>
      </c>
    </row>
    <row r="109" spans="2:6" x14ac:dyDescent="0.6">
      <c r="C109" t="s">
        <v>875</v>
      </c>
    </row>
    <row r="110" spans="2:6" x14ac:dyDescent="0.6">
      <c r="D110" t="s">
        <v>903</v>
      </c>
    </row>
    <row r="111" spans="2:6" x14ac:dyDescent="0.6">
      <c r="B111" s="412" t="s">
        <v>907</v>
      </c>
    </row>
    <row r="112" spans="2:6" x14ac:dyDescent="0.6">
      <c r="B112" t="s">
        <v>904</v>
      </c>
    </row>
    <row r="113" spans="2:13" x14ac:dyDescent="0.6">
      <c r="C113" t="s">
        <v>905</v>
      </c>
    </row>
    <row r="114" spans="2:13" x14ac:dyDescent="0.6">
      <c r="C114" t="s">
        <v>906</v>
      </c>
    </row>
    <row r="115" spans="2:13" x14ac:dyDescent="0.6">
      <c r="C115" t="s">
        <v>908</v>
      </c>
    </row>
    <row r="116" spans="2:13" x14ac:dyDescent="0.6">
      <c r="B116" t="s">
        <v>910</v>
      </c>
    </row>
    <row r="117" spans="2:13" x14ac:dyDescent="0.6">
      <c r="C117" t="s">
        <v>909</v>
      </c>
    </row>
    <row r="118" spans="2:13" x14ac:dyDescent="0.6">
      <c r="D118" t="s">
        <v>911</v>
      </c>
    </row>
    <row r="119" spans="2:13" x14ac:dyDescent="0.6">
      <c r="C119" s="506">
        <v>2019</v>
      </c>
    </row>
    <row r="120" spans="2:13" x14ac:dyDescent="0.6">
      <c r="D120" t="s">
        <v>912</v>
      </c>
    </row>
    <row r="121" spans="2:13" x14ac:dyDescent="0.6">
      <c r="D121" t="s">
        <v>218</v>
      </c>
    </row>
    <row r="122" spans="2:13" x14ac:dyDescent="0.6">
      <c r="E122" t="s">
        <v>913</v>
      </c>
    </row>
    <row r="123" spans="2:13" x14ac:dyDescent="0.6">
      <c r="E123" t="s">
        <v>914</v>
      </c>
      <c r="G123" t="s">
        <v>915</v>
      </c>
      <c r="M123" t="s">
        <v>917</v>
      </c>
    </row>
    <row r="124" spans="2:13" x14ac:dyDescent="0.6">
      <c r="G124" t="s">
        <v>916</v>
      </c>
    </row>
    <row r="125" spans="2:13" x14ac:dyDescent="0.6">
      <c r="C125" t="s">
        <v>918</v>
      </c>
    </row>
    <row r="126" spans="2:13" x14ac:dyDescent="0.6">
      <c r="B126" s="412" t="s">
        <v>522</v>
      </c>
    </row>
    <row r="127" spans="2:13" x14ac:dyDescent="0.6">
      <c r="C127" t="s">
        <v>919</v>
      </c>
    </row>
    <row r="128" spans="2:13" x14ac:dyDescent="0.6">
      <c r="D128" s="237" t="s">
        <v>920</v>
      </c>
    </row>
    <row r="129" spans="2:7" x14ac:dyDescent="0.6">
      <c r="D129" s="237" t="s">
        <v>921</v>
      </c>
    </row>
    <row r="130" spans="2:7" x14ac:dyDescent="0.6">
      <c r="C130" t="s">
        <v>922</v>
      </c>
    </row>
    <row r="131" spans="2:7" x14ac:dyDescent="0.6">
      <c r="B131" s="412" t="s">
        <v>923</v>
      </c>
    </row>
    <row r="132" spans="2:7" x14ac:dyDescent="0.6">
      <c r="C132" s="505">
        <v>0.16</v>
      </c>
    </row>
    <row r="133" spans="2:7" x14ac:dyDescent="0.6">
      <c r="D133" t="s">
        <v>924</v>
      </c>
      <c r="E133" t="s">
        <v>925</v>
      </c>
      <c r="F133" s="507" t="s">
        <v>927</v>
      </c>
      <c r="G133" t="s">
        <v>926</v>
      </c>
    </row>
    <row r="134" spans="2:7" x14ac:dyDescent="0.6">
      <c r="F134" t="s">
        <v>928</v>
      </c>
    </row>
    <row r="135" spans="2:7" x14ac:dyDescent="0.6">
      <c r="B135" s="412" t="s">
        <v>929</v>
      </c>
    </row>
    <row r="136" spans="2:7" x14ac:dyDescent="0.6">
      <c r="C136" t="s">
        <v>930</v>
      </c>
    </row>
    <row r="137" spans="2:7" x14ac:dyDescent="0.6">
      <c r="C137" t="s">
        <v>931</v>
      </c>
    </row>
    <row r="138" spans="2:7" x14ac:dyDescent="0.6">
      <c r="C138" t="s">
        <v>932</v>
      </c>
    </row>
    <row r="139" spans="2:7" x14ac:dyDescent="0.6">
      <c r="C139" t="s">
        <v>933</v>
      </c>
    </row>
    <row r="140" spans="2:7" x14ac:dyDescent="0.6">
      <c r="C140" t="s">
        <v>934</v>
      </c>
    </row>
    <row r="141" spans="2:7" x14ac:dyDescent="0.6">
      <c r="B141" s="412" t="s">
        <v>878</v>
      </c>
    </row>
    <row r="142" spans="2:7" x14ac:dyDescent="0.6">
      <c r="C142" t="s">
        <v>935</v>
      </c>
    </row>
    <row r="143" spans="2:7" x14ac:dyDescent="0.6">
      <c r="C143" t="s">
        <v>937</v>
      </c>
    </row>
    <row r="144" spans="2:7" x14ac:dyDescent="0.6">
      <c r="C144" t="s">
        <v>936</v>
      </c>
    </row>
    <row r="145" spans="2:6" x14ac:dyDescent="0.6">
      <c r="B145" s="412" t="s">
        <v>938</v>
      </c>
    </row>
    <row r="146" spans="2:6" x14ac:dyDescent="0.6">
      <c r="C146" t="s">
        <v>939</v>
      </c>
      <c r="E146">
        <v>2022</v>
      </c>
      <c r="F146" t="s">
        <v>940</v>
      </c>
    </row>
    <row r="147" spans="2:6" x14ac:dyDescent="0.6">
      <c r="E147" t="s">
        <v>941</v>
      </c>
    </row>
    <row r="148" spans="2:6" x14ac:dyDescent="0.6">
      <c r="B148" s="412" t="s">
        <v>942</v>
      </c>
    </row>
    <row r="149" spans="2:6" x14ac:dyDescent="0.6">
      <c r="C149" t="s">
        <v>943</v>
      </c>
    </row>
    <row r="150" spans="2:6" x14ac:dyDescent="0.6">
      <c r="C150" t="s">
        <v>944</v>
      </c>
    </row>
    <row r="151" spans="2:6" x14ac:dyDescent="0.6">
      <c r="D151" t="s">
        <v>945</v>
      </c>
    </row>
    <row r="152" spans="2:6" x14ac:dyDescent="0.6">
      <c r="D152" t="s">
        <v>946</v>
      </c>
      <c r="F152" t="s">
        <v>947</v>
      </c>
    </row>
    <row r="153" spans="2:6" x14ac:dyDescent="0.6">
      <c r="D153" t="s">
        <v>948</v>
      </c>
      <c r="E153" s="234">
        <v>0.5</v>
      </c>
    </row>
    <row r="154" spans="2:6" x14ac:dyDescent="0.6">
      <c r="D154" t="s">
        <v>949</v>
      </c>
      <c r="E154" s="234">
        <v>0.96</v>
      </c>
    </row>
    <row r="155" spans="2:6" x14ac:dyDescent="0.6">
      <c r="C155" t="s">
        <v>950</v>
      </c>
    </row>
    <row r="156" spans="2:6" x14ac:dyDescent="0.6">
      <c r="C156" t="s">
        <v>951</v>
      </c>
    </row>
    <row r="157" spans="2:6" x14ac:dyDescent="0.6">
      <c r="B157" t="s">
        <v>952</v>
      </c>
    </row>
    <row r="158" spans="2:6" x14ac:dyDescent="0.6">
      <c r="C158" t="s">
        <v>953</v>
      </c>
    </row>
    <row r="159" spans="2:6" x14ac:dyDescent="0.6">
      <c r="C159" t="s">
        <v>954</v>
      </c>
    </row>
    <row r="160" spans="2:6" x14ac:dyDescent="0.6">
      <c r="D160" t="s">
        <v>955</v>
      </c>
    </row>
    <row r="161" spans="2:4" x14ac:dyDescent="0.6">
      <c r="C161" t="s">
        <v>956</v>
      </c>
    </row>
    <row r="162" spans="2:4" x14ac:dyDescent="0.6">
      <c r="B162" s="412" t="s">
        <v>873</v>
      </c>
    </row>
    <row r="163" spans="2:4" x14ac:dyDescent="0.6">
      <c r="C163" t="s">
        <v>957</v>
      </c>
    </row>
    <row r="164" spans="2:4" x14ac:dyDescent="0.6">
      <c r="D164" t="s">
        <v>958</v>
      </c>
    </row>
    <row r="165" spans="2:4" x14ac:dyDescent="0.6">
      <c r="D165" t="s">
        <v>959</v>
      </c>
    </row>
    <row r="166" spans="2:4" x14ac:dyDescent="0.6">
      <c r="C166" t="s">
        <v>960</v>
      </c>
    </row>
    <row r="167" spans="2:4" x14ac:dyDescent="0.6">
      <c r="C167" t="s">
        <v>961</v>
      </c>
    </row>
    <row r="168" spans="2:4" x14ac:dyDescent="0.6">
      <c r="D168" t="s">
        <v>962</v>
      </c>
    </row>
    <row r="169" spans="2:4" x14ac:dyDescent="0.6">
      <c r="B169" s="412" t="s">
        <v>874</v>
      </c>
    </row>
    <row r="170" spans="2:4" x14ac:dyDescent="0.6">
      <c r="C170" t="s">
        <v>963</v>
      </c>
    </row>
    <row r="171" spans="2:4" x14ac:dyDescent="0.6">
      <c r="C171" t="s">
        <v>970</v>
      </c>
    </row>
    <row r="172" spans="2:4" x14ac:dyDescent="0.6">
      <c r="B172" s="412" t="s">
        <v>964</v>
      </c>
    </row>
    <row r="173" spans="2:4" x14ac:dyDescent="0.6">
      <c r="B173" s="412"/>
      <c r="C173" t="s">
        <v>967</v>
      </c>
    </row>
    <row r="174" spans="2:4" x14ac:dyDescent="0.6">
      <c r="C174" t="s">
        <v>965</v>
      </c>
    </row>
    <row r="175" spans="2:4" x14ac:dyDescent="0.6">
      <c r="C175" t="s">
        <v>966</v>
      </c>
    </row>
    <row r="177" spans="2:5" x14ac:dyDescent="0.6">
      <c r="C177" t="s">
        <v>968</v>
      </c>
    </row>
    <row r="178" spans="2:5" x14ac:dyDescent="0.6">
      <c r="C178" t="s">
        <v>969</v>
      </c>
    </row>
    <row r="180" spans="2:5" x14ac:dyDescent="0.6">
      <c r="B180" s="502" t="s">
        <v>1010</v>
      </c>
    </row>
    <row r="182" spans="2:5" x14ac:dyDescent="0.6">
      <c r="B182" t="s">
        <v>1155</v>
      </c>
    </row>
    <row r="184" spans="2:5" x14ac:dyDescent="0.6">
      <c r="B184" t="s">
        <v>186</v>
      </c>
    </row>
    <row r="185" spans="2:5" x14ac:dyDescent="0.6">
      <c r="B185" t="s">
        <v>346</v>
      </c>
      <c r="D185" s="234">
        <v>0.6</v>
      </c>
    </row>
    <row r="186" spans="2:5" x14ac:dyDescent="0.6">
      <c r="B186" t="s">
        <v>1156</v>
      </c>
      <c r="D186" s="234">
        <v>0.8</v>
      </c>
    </row>
    <row r="187" spans="2:5" x14ac:dyDescent="0.6">
      <c r="B187" t="s">
        <v>218</v>
      </c>
      <c r="D187" s="234">
        <v>0.05</v>
      </c>
    </row>
    <row r="189" spans="2:5" x14ac:dyDescent="0.6">
      <c r="B189" t="s">
        <v>1010</v>
      </c>
      <c r="D189" s="19"/>
    </row>
    <row r="190" spans="2:5" x14ac:dyDescent="0.6">
      <c r="B190" t="s">
        <v>1157</v>
      </c>
      <c r="D190" s="362">
        <v>4.8000000000000001E-2</v>
      </c>
      <c r="E190" t="s">
        <v>1158</v>
      </c>
    </row>
    <row r="191" spans="2:5" x14ac:dyDescent="0.6">
      <c r="D191" s="234">
        <f>D190*12</f>
        <v>0.57600000000000007</v>
      </c>
      <c r="E191" t="s">
        <v>1159</v>
      </c>
    </row>
    <row r="192" spans="2:5" x14ac:dyDescent="0.6">
      <c r="D192" s="234">
        <f>2%*12</f>
        <v>0.24</v>
      </c>
      <c r="E192" t="s">
        <v>376</v>
      </c>
    </row>
    <row r="194" spans="2:4" x14ac:dyDescent="0.6">
      <c r="B194" s="502" t="s">
        <v>1196</v>
      </c>
    </row>
    <row r="196" spans="2:4" x14ac:dyDescent="0.6">
      <c r="B196" t="s">
        <v>1197</v>
      </c>
    </row>
    <row r="197" spans="2:4" x14ac:dyDescent="0.6">
      <c r="C197" t="s">
        <v>1198</v>
      </c>
    </row>
    <row r="198" spans="2:4" x14ac:dyDescent="0.6">
      <c r="C198" t="s">
        <v>1199</v>
      </c>
    </row>
    <row r="199" spans="2:4" x14ac:dyDescent="0.6">
      <c r="C199" t="s">
        <v>1200</v>
      </c>
    </row>
    <row r="200" spans="2:4" x14ac:dyDescent="0.6">
      <c r="D200" t="s">
        <v>1201</v>
      </c>
    </row>
    <row r="201" spans="2:4" x14ac:dyDescent="0.6">
      <c r="D201" t="s">
        <v>1202</v>
      </c>
    </row>
    <row r="202" spans="2:4" x14ac:dyDescent="0.6">
      <c r="C202" t="s">
        <v>1203</v>
      </c>
    </row>
    <row r="203" spans="2:4" x14ac:dyDescent="0.6">
      <c r="C203" t="s">
        <v>1204</v>
      </c>
    </row>
    <row r="204" spans="2:4" x14ac:dyDescent="0.6">
      <c r="B204" t="s">
        <v>1205</v>
      </c>
    </row>
    <row r="205" spans="2:4" x14ac:dyDescent="0.6">
      <c r="C205" t="s">
        <v>1206</v>
      </c>
    </row>
    <row r="206" spans="2:4" x14ac:dyDescent="0.6">
      <c r="B206" t="s">
        <v>1207</v>
      </c>
    </row>
    <row r="207" spans="2:4" x14ac:dyDescent="0.6">
      <c r="C207" t="s">
        <v>1208</v>
      </c>
    </row>
    <row r="208" spans="2:4" x14ac:dyDescent="0.6">
      <c r="C208" t="s">
        <v>218</v>
      </c>
    </row>
    <row r="209" spans="2:8" x14ac:dyDescent="0.6">
      <c r="C209" t="s">
        <v>1209</v>
      </c>
      <c r="D209" s="234">
        <v>0.11</v>
      </c>
      <c r="E209" t="s">
        <v>1210</v>
      </c>
      <c r="H209" t="s">
        <v>1211</v>
      </c>
    </row>
    <row r="210" spans="2:8" x14ac:dyDescent="0.6">
      <c r="C210" t="s">
        <v>218</v>
      </c>
      <c r="D210" s="234">
        <v>0.22</v>
      </c>
    </row>
    <row r="211" spans="2:8" x14ac:dyDescent="0.6">
      <c r="B211" t="s">
        <v>420</v>
      </c>
    </row>
    <row r="212" spans="2:8" x14ac:dyDescent="0.6">
      <c r="C212" t="s">
        <v>1212</v>
      </c>
    </row>
    <row r="213" spans="2:8" x14ac:dyDescent="0.6">
      <c r="C213" t="s">
        <v>1213</v>
      </c>
    </row>
    <row r="214" spans="2:8" x14ac:dyDescent="0.6">
      <c r="C214" t="s">
        <v>1214</v>
      </c>
    </row>
    <row r="215" spans="2:8" x14ac:dyDescent="0.6">
      <c r="C215" t="s">
        <v>1215</v>
      </c>
    </row>
    <row r="216" spans="2:8" x14ac:dyDescent="0.6">
      <c r="C216" t="s">
        <v>1216</v>
      </c>
    </row>
    <row r="217" spans="2:8" x14ac:dyDescent="0.6">
      <c r="C217" t="s">
        <v>1217</v>
      </c>
    </row>
    <row r="218" spans="2:8" x14ac:dyDescent="0.6">
      <c r="C218" s="234">
        <v>0.03</v>
      </c>
    </row>
    <row r="219" spans="2:8" x14ac:dyDescent="0.6">
      <c r="B219" t="s">
        <v>1218</v>
      </c>
    </row>
    <row r="220" spans="2:8" x14ac:dyDescent="0.6">
      <c r="C220" t="s">
        <v>1219</v>
      </c>
    </row>
    <row r="221" spans="2:8" x14ac:dyDescent="0.6">
      <c r="B221" t="s">
        <v>521</v>
      </c>
    </row>
    <row r="222" spans="2:8" x14ac:dyDescent="0.6">
      <c r="C222" t="s">
        <v>1220</v>
      </c>
    </row>
    <row r="223" spans="2:8" x14ac:dyDescent="0.6">
      <c r="C223" t="s">
        <v>1221</v>
      </c>
      <c r="H223" t="s">
        <v>1230</v>
      </c>
    </row>
    <row r="224" spans="2:8" x14ac:dyDescent="0.6">
      <c r="C224" t="s">
        <v>1222</v>
      </c>
    </row>
    <row r="225" spans="2:7" x14ac:dyDescent="0.6">
      <c r="C225" t="s">
        <v>1223</v>
      </c>
    </row>
    <row r="226" spans="2:7" x14ac:dyDescent="0.6">
      <c r="C226" t="s">
        <v>1224</v>
      </c>
    </row>
    <row r="227" spans="2:7" x14ac:dyDescent="0.6">
      <c r="D227" t="s">
        <v>1225</v>
      </c>
    </row>
    <row r="228" spans="2:7" x14ac:dyDescent="0.6">
      <c r="C228" t="s">
        <v>1226</v>
      </c>
      <c r="D228" s="234">
        <v>0.95</v>
      </c>
      <c r="F228" t="s">
        <v>1229</v>
      </c>
    </row>
    <row r="229" spans="2:7" x14ac:dyDescent="0.6">
      <c r="C229" t="s">
        <v>1227</v>
      </c>
      <c r="D229" t="s">
        <v>1228</v>
      </c>
      <c r="F229" t="s">
        <v>1229</v>
      </c>
    </row>
    <row r="230" spans="2:7" x14ac:dyDescent="0.6">
      <c r="C230" t="s">
        <v>1239</v>
      </c>
    </row>
    <row r="231" spans="2:7" x14ac:dyDescent="0.6">
      <c r="B231" t="s">
        <v>878</v>
      </c>
    </row>
    <row r="232" spans="2:7" x14ac:dyDescent="0.6">
      <c r="C232" t="s">
        <v>1231</v>
      </c>
    </row>
    <row r="233" spans="2:7" x14ac:dyDescent="0.6">
      <c r="C233" t="s">
        <v>1011</v>
      </c>
      <c r="D233" t="s">
        <v>1232</v>
      </c>
      <c r="G233" t="s">
        <v>1233</v>
      </c>
    </row>
    <row r="234" spans="2:7" x14ac:dyDescent="0.6">
      <c r="C234" t="s">
        <v>1012</v>
      </c>
      <c r="D234" t="s">
        <v>1234</v>
      </c>
    </row>
    <row r="235" spans="2:7" x14ac:dyDescent="0.6">
      <c r="B235" t="s">
        <v>1235</v>
      </c>
    </row>
    <row r="236" spans="2:7" x14ac:dyDescent="0.6">
      <c r="C236" t="s">
        <v>1236</v>
      </c>
    </row>
    <row r="237" spans="2:7" x14ac:dyDescent="0.6">
      <c r="C237" t="s">
        <v>1237</v>
      </c>
    </row>
    <row r="238" spans="2:7" x14ac:dyDescent="0.6">
      <c r="C238" t="s">
        <v>1238</v>
      </c>
    </row>
    <row r="239" spans="2:7" x14ac:dyDescent="0.6">
      <c r="B239" t="s">
        <v>1240</v>
      </c>
    </row>
    <row r="240" spans="2:7" x14ac:dyDescent="0.6">
      <c r="C240" t="s">
        <v>1241</v>
      </c>
    </row>
    <row r="241" spans="2:5" x14ac:dyDescent="0.6">
      <c r="C241" t="s">
        <v>1242</v>
      </c>
    </row>
    <row r="243" spans="2:5" x14ac:dyDescent="0.6">
      <c r="B243" s="502" t="s">
        <v>1262</v>
      </c>
    </row>
    <row r="245" spans="2:5" x14ac:dyDescent="0.6">
      <c r="B245" t="s">
        <v>1263</v>
      </c>
      <c r="C245" t="s">
        <v>1264</v>
      </c>
    </row>
    <row r="246" spans="2:5" x14ac:dyDescent="0.6">
      <c r="C246" t="s">
        <v>1265</v>
      </c>
    </row>
    <row r="247" spans="2:5" x14ac:dyDescent="0.6">
      <c r="C247" t="s">
        <v>1266</v>
      </c>
    </row>
    <row r="248" spans="2:5" x14ac:dyDescent="0.6">
      <c r="C248" t="s">
        <v>1267</v>
      </c>
    </row>
    <row r="250" spans="2:5" x14ac:dyDescent="0.6">
      <c r="C250" t="s">
        <v>1268</v>
      </c>
    </row>
    <row r="251" spans="2:5" x14ac:dyDescent="0.6">
      <c r="B251" t="s">
        <v>1092</v>
      </c>
    </row>
    <row r="252" spans="2:5" x14ac:dyDescent="0.6">
      <c r="C252" t="s">
        <v>1269</v>
      </c>
    </row>
    <row r="253" spans="2:5" x14ac:dyDescent="0.6">
      <c r="C253" t="s">
        <v>1270</v>
      </c>
    </row>
    <row r="254" spans="2:5" x14ac:dyDescent="0.6">
      <c r="D254" t="s">
        <v>1271</v>
      </c>
    </row>
    <row r="255" spans="2:5" x14ac:dyDescent="0.6">
      <c r="E255" t="s">
        <v>1272</v>
      </c>
    </row>
    <row r="256" spans="2:5" x14ac:dyDescent="0.6">
      <c r="D256" t="s">
        <v>1273</v>
      </c>
    </row>
    <row r="257" spans="2:4" x14ac:dyDescent="0.6">
      <c r="C257" t="s">
        <v>1274</v>
      </c>
    </row>
    <row r="258" spans="2:4" x14ac:dyDescent="0.6">
      <c r="C258" t="s">
        <v>1275</v>
      </c>
    </row>
    <row r="259" spans="2:4" x14ac:dyDescent="0.6">
      <c r="C259" t="s">
        <v>1276</v>
      </c>
    </row>
    <row r="260" spans="2:4" x14ac:dyDescent="0.6">
      <c r="B260" t="s">
        <v>1277</v>
      </c>
    </row>
    <row r="261" spans="2:4" x14ac:dyDescent="0.6">
      <c r="C261" t="s">
        <v>1278</v>
      </c>
    </row>
    <row r="262" spans="2:4" x14ac:dyDescent="0.6">
      <c r="B262" t="s">
        <v>1279</v>
      </c>
    </row>
    <row r="263" spans="2:4" x14ac:dyDescent="0.6">
      <c r="C263" t="s">
        <v>1280</v>
      </c>
    </row>
    <row r="264" spans="2:4" x14ac:dyDescent="0.6">
      <c r="D264" t="s">
        <v>1281</v>
      </c>
    </row>
    <row r="265" spans="2:4" x14ac:dyDescent="0.6">
      <c r="C265" t="s">
        <v>1282</v>
      </c>
    </row>
    <row r="266" spans="2:4" x14ac:dyDescent="0.6">
      <c r="C266" t="s">
        <v>1283</v>
      </c>
    </row>
    <row r="268" spans="2:4" x14ac:dyDescent="0.6">
      <c r="B268" s="1111">
        <v>45017</v>
      </c>
    </row>
    <row r="270" spans="2:4" x14ac:dyDescent="0.6">
      <c r="B270" t="s">
        <v>1293</v>
      </c>
    </row>
    <row r="271" spans="2:4" x14ac:dyDescent="0.6">
      <c r="B271" t="s">
        <v>1294</v>
      </c>
    </row>
    <row r="273" spans="2:7" x14ac:dyDescent="0.6">
      <c r="B273" t="s">
        <v>1365</v>
      </c>
    </row>
    <row r="274" spans="2:7" x14ac:dyDescent="0.6">
      <c r="C274" t="s">
        <v>1370</v>
      </c>
    </row>
    <row r="275" spans="2:7" x14ac:dyDescent="0.6">
      <c r="C275" t="s">
        <v>1371</v>
      </c>
    </row>
    <row r="276" spans="2:7" x14ac:dyDescent="0.6">
      <c r="C276" t="s">
        <v>1372</v>
      </c>
    </row>
    <row r="277" spans="2:7" x14ac:dyDescent="0.6">
      <c r="D277" t="s">
        <v>1373</v>
      </c>
    </row>
    <row r="278" spans="2:7" x14ac:dyDescent="0.6">
      <c r="D278" t="s">
        <v>1374</v>
      </c>
    </row>
    <row r="279" spans="2:7" x14ac:dyDescent="0.6">
      <c r="B279" t="s">
        <v>1366</v>
      </c>
    </row>
    <row r="280" spans="2:7" x14ac:dyDescent="0.6">
      <c r="C280" t="s">
        <v>1375</v>
      </c>
    </row>
    <row r="281" spans="2:7" x14ac:dyDescent="0.6">
      <c r="C281" t="s">
        <v>1376</v>
      </c>
    </row>
    <row r="282" spans="2:7" x14ac:dyDescent="0.6">
      <c r="D282" t="s">
        <v>1377</v>
      </c>
    </row>
    <row r="283" spans="2:7" x14ac:dyDescent="0.6">
      <c r="D283" t="s">
        <v>1378</v>
      </c>
    </row>
    <row r="284" spans="2:7" x14ac:dyDescent="0.6">
      <c r="D284" t="s">
        <v>1379</v>
      </c>
    </row>
    <row r="285" spans="2:7" x14ac:dyDescent="0.6">
      <c r="D285" t="s">
        <v>1380</v>
      </c>
    </row>
    <row r="286" spans="2:7" x14ac:dyDescent="0.6">
      <c r="D286" t="s">
        <v>1381</v>
      </c>
      <c r="E286" t="s">
        <v>1383</v>
      </c>
      <c r="G286" t="s">
        <v>1385</v>
      </c>
    </row>
    <row r="287" spans="2:7" x14ac:dyDescent="0.6">
      <c r="D287" t="s">
        <v>1382</v>
      </c>
      <c r="E287" t="s">
        <v>1384</v>
      </c>
      <c r="G287" t="s">
        <v>1386</v>
      </c>
    </row>
    <row r="288" spans="2:7" x14ac:dyDescent="0.6">
      <c r="D288" t="s">
        <v>1387</v>
      </c>
    </row>
    <row r="289" spans="2:7" x14ac:dyDescent="0.6">
      <c r="E289" t="s">
        <v>1388</v>
      </c>
    </row>
    <row r="290" spans="2:7" x14ac:dyDescent="0.6">
      <c r="E290" t="s">
        <v>1389</v>
      </c>
    </row>
    <row r="291" spans="2:7" x14ac:dyDescent="0.6">
      <c r="D291" t="s">
        <v>1390</v>
      </c>
    </row>
    <row r="292" spans="2:7" x14ac:dyDescent="0.6">
      <c r="E292" t="s">
        <v>1391</v>
      </c>
    </row>
    <row r="293" spans="2:7" x14ac:dyDescent="0.6">
      <c r="E293" t="s">
        <v>1392</v>
      </c>
    </row>
    <row r="294" spans="2:7" x14ac:dyDescent="0.6">
      <c r="F294" t="s">
        <v>1393</v>
      </c>
    </row>
    <row r="295" spans="2:7" x14ac:dyDescent="0.6">
      <c r="D295" t="s">
        <v>1394</v>
      </c>
    </row>
    <row r="296" spans="2:7" x14ac:dyDescent="0.6">
      <c r="B296" t="s">
        <v>1367</v>
      </c>
    </row>
    <row r="297" spans="2:7" x14ac:dyDescent="0.6">
      <c r="C297" t="s">
        <v>1368</v>
      </c>
    </row>
    <row r="298" spans="2:7" x14ac:dyDescent="0.6">
      <c r="C298" t="s">
        <v>1369</v>
      </c>
    </row>
    <row r="299" spans="2:7" x14ac:dyDescent="0.6">
      <c r="D299" t="s">
        <v>1395</v>
      </c>
    </row>
    <row r="300" spans="2:7" x14ac:dyDescent="0.6">
      <c r="E300" t="s">
        <v>1396</v>
      </c>
      <c r="G300" t="s">
        <v>1397</v>
      </c>
    </row>
    <row r="301" spans="2:7" x14ac:dyDescent="0.6">
      <c r="E301" t="s">
        <v>1398</v>
      </c>
      <c r="G301" t="s">
        <v>1399</v>
      </c>
    </row>
    <row r="302" spans="2:7" x14ac:dyDescent="0.6">
      <c r="G302" t="s">
        <v>1400</v>
      </c>
    </row>
    <row r="303" spans="2:7" x14ac:dyDescent="0.6">
      <c r="C303" t="s">
        <v>1401</v>
      </c>
    </row>
    <row r="304" spans="2:7" x14ac:dyDescent="0.6">
      <c r="D304" t="s">
        <v>1402</v>
      </c>
    </row>
    <row r="305" spans="2:9" x14ac:dyDescent="0.6">
      <c r="D305" t="s">
        <v>1403</v>
      </c>
    </row>
    <row r="306" spans="2:9" x14ac:dyDescent="0.6">
      <c r="C306" t="s">
        <v>1404</v>
      </c>
      <c r="G306" s="1112" t="s">
        <v>1407</v>
      </c>
      <c r="H306" s="1112" t="s">
        <v>1408</v>
      </c>
    </row>
    <row r="307" spans="2:9" x14ac:dyDescent="0.6">
      <c r="D307" t="s">
        <v>1405</v>
      </c>
      <c r="G307" s="280">
        <v>2.1399999999999999E-2</v>
      </c>
      <c r="H307" s="280">
        <v>1.9699999999999999E-2</v>
      </c>
      <c r="I307" t="s">
        <v>1409</v>
      </c>
    </row>
    <row r="308" spans="2:9" x14ac:dyDescent="0.6">
      <c r="G308" s="280"/>
      <c r="H308" s="280"/>
      <c r="I308" t="s">
        <v>1410</v>
      </c>
    </row>
    <row r="309" spans="2:9" x14ac:dyDescent="0.6">
      <c r="D309" t="s">
        <v>1398</v>
      </c>
      <c r="G309" s="280">
        <v>2.01E-2</v>
      </c>
      <c r="I309" t="s">
        <v>1412</v>
      </c>
    </row>
    <row r="310" spans="2:9" x14ac:dyDescent="0.6">
      <c r="E310" t="s">
        <v>1406</v>
      </c>
      <c r="H310" s="280">
        <v>1.35E-2</v>
      </c>
      <c r="I310" s="362"/>
    </row>
    <row r="311" spans="2:9" x14ac:dyDescent="0.6">
      <c r="H311" s="280">
        <v>1.9E-2</v>
      </c>
    </row>
    <row r="312" spans="2:9" x14ac:dyDescent="0.6">
      <c r="D312" t="s">
        <v>1411</v>
      </c>
      <c r="H312" s="280"/>
    </row>
    <row r="313" spans="2:9" x14ac:dyDescent="0.6">
      <c r="C313" t="s">
        <v>1413</v>
      </c>
      <c r="H313" s="280"/>
    </row>
    <row r="314" spans="2:9" x14ac:dyDescent="0.6">
      <c r="C314" t="s">
        <v>1414</v>
      </c>
      <c r="H314" s="280"/>
    </row>
    <row r="315" spans="2:9" x14ac:dyDescent="0.6">
      <c r="D315" t="s">
        <v>1415</v>
      </c>
      <c r="H315" s="280"/>
    </row>
    <row r="316" spans="2:9" x14ac:dyDescent="0.6">
      <c r="D316" t="s">
        <v>1416</v>
      </c>
      <c r="H316" s="280"/>
    </row>
    <row r="317" spans="2:9" x14ac:dyDescent="0.6">
      <c r="D317" t="s">
        <v>1417</v>
      </c>
      <c r="H317" s="280"/>
    </row>
    <row r="318" spans="2:9" x14ac:dyDescent="0.6">
      <c r="E318" t="s">
        <v>1418</v>
      </c>
      <c r="H318" s="280"/>
    </row>
    <row r="319" spans="2:9" x14ac:dyDescent="0.6">
      <c r="E319" t="s">
        <v>1419</v>
      </c>
      <c r="H319" s="280"/>
    </row>
    <row r="320" spans="2:9" x14ac:dyDescent="0.6">
      <c r="B320" t="s">
        <v>1341</v>
      </c>
      <c r="C320" s="412" t="s">
        <v>1351</v>
      </c>
    </row>
    <row r="321" spans="3:5" x14ac:dyDescent="0.6">
      <c r="D321" t="s">
        <v>1342</v>
      </c>
      <c r="E321" t="s">
        <v>1343</v>
      </c>
    </row>
    <row r="322" spans="3:5" x14ac:dyDescent="0.6">
      <c r="C322" t="s">
        <v>1344</v>
      </c>
      <c r="D322">
        <v>1091</v>
      </c>
      <c r="E322">
        <v>1135</v>
      </c>
    </row>
    <row r="323" spans="3:5" x14ac:dyDescent="0.6">
      <c r="C323" t="s">
        <v>1345</v>
      </c>
      <c r="D323">
        <v>5106</v>
      </c>
    </row>
    <row r="324" spans="3:5" x14ac:dyDescent="0.6">
      <c r="C324" t="s">
        <v>1350</v>
      </c>
      <c r="E324">
        <v>3923</v>
      </c>
    </row>
    <row r="326" spans="3:5" x14ac:dyDescent="0.6">
      <c r="C326" t="s">
        <v>1346</v>
      </c>
      <c r="D326">
        <v>536</v>
      </c>
    </row>
    <row r="327" spans="3:5" x14ac:dyDescent="0.6">
      <c r="C327" t="s">
        <v>1347</v>
      </c>
      <c r="D327" s="362">
        <f>D326/D323</f>
        <v>0.10497453975714845</v>
      </c>
    </row>
    <row r="329" spans="3:5" x14ac:dyDescent="0.6">
      <c r="C329" t="s">
        <v>1348</v>
      </c>
      <c r="D329">
        <f>D322-D326</f>
        <v>555</v>
      </c>
    </row>
    <row r="330" spans="3:5" x14ac:dyDescent="0.6">
      <c r="C330" t="s">
        <v>1349</v>
      </c>
      <c r="D330" s="362">
        <f>D322/D323</f>
        <v>0.21367019193106149</v>
      </c>
      <c r="E330" s="362">
        <f>E322/E324</f>
        <v>0.28931939841957688</v>
      </c>
    </row>
    <row r="332" spans="3:5" x14ac:dyDescent="0.6">
      <c r="C332" s="412" t="s">
        <v>1124</v>
      </c>
    </row>
    <row r="334" spans="3:5" x14ac:dyDescent="0.6">
      <c r="C334" t="s">
        <v>1355</v>
      </c>
      <c r="D334">
        <v>1700</v>
      </c>
    </row>
    <row r="335" spans="3:5" x14ac:dyDescent="0.6">
      <c r="C335" t="s">
        <v>1354</v>
      </c>
      <c r="D335" s="362">
        <v>0.09</v>
      </c>
    </row>
    <row r="336" spans="3:5" x14ac:dyDescent="0.6">
      <c r="C336" t="s">
        <v>1353</v>
      </c>
      <c r="D336" s="83">
        <f>D334/D335</f>
        <v>18888.888888888891</v>
      </c>
    </row>
    <row r="337" spans="2:6" x14ac:dyDescent="0.6">
      <c r="C337" t="str">
        <f>C327</f>
        <v>Basel III Tier 1</v>
      </c>
      <c r="D337" s="362">
        <f>D327</f>
        <v>0.10497453975714845</v>
      </c>
    </row>
    <row r="338" spans="2:6" x14ac:dyDescent="0.6">
      <c r="C338" t="s">
        <v>1356</v>
      </c>
      <c r="D338" s="83">
        <f>D337*D336</f>
        <v>1982.8524176350263</v>
      </c>
    </row>
    <row r="339" spans="2:6" x14ac:dyDescent="0.6">
      <c r="C339" t="s">
        <v>1357</v>
      </c>
      <c r="D339" s="83">
        <f>D338-D334</f>
        <v>282.85241763502631</v>
      </c>
    </row>
    <row r="341" spans="2:6" x14ac:dyDescent="0.6">
      <c r="B341" s="1113">
        <v>45108</v>
      </c>
    </row>
    <row r="342" spans="2:6" x14ac:dyDescent="0.6">
      <c r="B342" s="1113"/>
      <c r="C342" t="s">
        <v>1420</v>
      </c>
      <c r="D342">
        <v>6.75</v>
      </c>
      <c r="E342">
        <v>8.75</v>
      </c>
      <c r="F342">
        <v>10.5</v>
      </c>
    </row>
    <row r="343" spans="2:6" x14ac:dyDescent="0.6">
      <c r="B343" s="1113"/>
      <c r="C343" t="s">
        <v>1421</v>
      </c>
    </row>
    <row r="344" spans="2:6" x14ac:dyDescent="0.6">
      <c r="B344" s="1113"/>
      <c r="C344" t="s">
        <v>1422</v>
      </c>
    </row>
    <row r="345" spans="2:6" x14ac:dyDescent="0.6">
      <c r="B345" s="1113"/>
      <c r="C345" t="s">
        <v>1423</v>
      </c>
    </row>
    <row r="346" spans="2:6" x14ac:dyDescent="0.6">
      <c r="D346" t="s">
        <v>1424</v>
      </c>
    </row>
    <row r="347" spans="2:6" x14ac:dyDescent="0.6">
      <c r="B347" t="s">
        <v>1425</v>
      </c>
    </row>
    <row r="348" spans="2:6" x14ac:dyDescent="0.6">
      <c r="C348" t="s">
        <v>1426</v>
      </c>
    </row>
    <row r="349" spans="2:6" x14ac:dyDescent="0.6">
      <c r="C349" t="s">
        <v>1427</v>
      </c>
    </row>
    <row r="350" spans="2:6" x14ac:dyDescent="0.6">
      <c r="C350" t="s">
        <v>1428</v>
      </c>
    </row>
    <row r="352" spans="2:6" x14ac:dyDescent="0.6">
      <c r="B352" t="s">
        <v>1295</v>
      </c>
    </row>
    <row r="353" spans="2:5" x14ac:dyDescent="0.6">
      <c r="C353" t="s">
        <v>1358</v>
      </c>
      <c r="D353" t="s">
        <v>1359</v>
      </c>
    </row>
    <row r="354" spans="2:5" x14ac:dyDescent="0.6">
      <c r="C354" t="s">
        <v>1352</v>
      </c>
      <c r="D354" t="s">
        <v>1360</v>
      </c>
    </row>
    <row r="355" spans="2:5" x14ac:dyDescent="0.6">
      <c r="C355" t="s">
        <v>1364</v>
      </c>
    </row>
    <row r="356" spans="2:5" x14ac:dyDescent="0.6">
      <c r="C356" t="s">
        <v>1361</v>
      </c>
    </row>
    <row r="357" spans="2:5" x14ac:dyDescent="0.6">
      <c r="B357" t="s">
        <v>1297</v>
      </c>
    </row>
    <row r="358" spans="2:5" x14ac:dyDescent="0.6">
      <c r="C358" t="s">
        <v>1298</v>
      </c>
    </row>
    <row r="359" spans="2:5" x14ac:dyDescent="0.6">
      <c r="C359" t="s">
        <v>1299</v>
      </c>
    </row>
    <row r="360" spans="2:5" x14ac:dyDescent="0.6">
      <c r="C360" t="s">
        <v>1300</v>
      </c>
    </row>
    <row r="361" spans="2:5" x14ac:dyDescent="0.6">
      <c r="D361" t="s">
        <v>1435</v>
      </c>
    </row>
    <row r="362" spans="2:5" x14ac:dyDescent="0.6">
      <c r="D362" t="s">
        <v>1436</v>
      </c>
    </row>
    <row r="363" spans="2:5" x14ac:dyDescent="0.6">
      <c r="D363" t="s">
        <v>1437</v>
      </c>
    </row>
    <row r="364" spans="2:5" x14ac:dyDescent="0.6">
      <c r="B364" t="s">
        <v>1362</v>
      </c>
    </row>
    <row r="365" spans="2:5" x14ac:dyDescent="0.6">
      <c r="C365" t="s">
        <v>1363</v>
      </c>
    </row>
    <row r="366" spans="2:5" x14ac:dyDescent="0.6">
      <c r="D366" t="s">
        <v>1429</v>
      </c>
    </row>
    <row r="367" spans="2:5" x14ac:dyDescent="0.6">
      <c r="E367" t="s">
        <v>1430</v>
      </c>
    </row>
    <row r="368" spans="2:5" x14ac:dyDescent="0.6">
      <c r="E368" t="s">
        <v>1431</v>
      </c>
    </row>
    <row r="369" spans="2:4" x14ac:dyDescent="0.6">
      <c r="C369" t="s">
        <v>1432</v>
      </c>
    </row>
    <row r="370" spans="2:4" x14ac:dyDescent="0.6">
      <c r="C370" t="s">
        <v>1433</v>
      </c>
    </row>
    <row r="371" spans="2:4" x14ac:dyDescent="0.6">
      <c r="D371" t="s">
        <v>1434</v>
      </c>
    </row>
    <row r="373" spans="2:4" x14ac:dyDescent="0.6">
      <c r="B373" s="412" t="s">
        <v>1466</v>
      </c>
    </row>
    <row r="375" spans="2:4" x14ac:dyDescent="0.6">
      <c r="B375" t="s">
        <v>229</v>
      </c>
    </row>
    <row r="376" spans="2:4" x14ac:dyDescent="0.6">
      <c r="C376" t="s">
        <v>1499</v>
      </c>
    </row>
    <row r="377" spans="2:4" x14ac:dyDescent="0.6">
      <c r="C377" t="s">
        <v>1500</v>
      </c>
    </row>
    <row r="378" spans="2:4" x14ac:dyDescent="0.6">
      <c r="D378" t="s">
        <v>1491</v>
      </c>
    </row>
    <row r="379" spans="2:4" x14ac:dyDescent="0.6">
      <c r="B379" t="s">
        <v>346</v>
      </c>
    </row>
    <row r="380" spans="2:4" x14ac:dyDescent="0.6">
      <c r="C380" t="s">
        <v>1501</v>
      </c>
    </row>
    <row r="381" spans="2:4" x14ac:dyDescent="0.6">
      <c r="D381" t="s">
        <v>1492</v>
      </c>
    </row>
    <row r="382" spans="2:4" x14ac:dyDescent="0.6">
      <c r="C382" t="s">
        <v>1493</v>
      </c>
    </row>
    <row r="383" spans="2:4" x14ac:dyDescent="0.6">
      <c r="B383" t="s">
        <v>1482</v>
      </c>
    </row>
    <row r="384" spans="2:4" x14ac:dyDescent="0.6">
      <c r="C384" t="s">
        <v>1483</v>
      </c>
    </row>
    <row r="385" spans="2:5" x14ac:dyDescent="0.6">
      <c r="B385" t="s">
        <v>1484</v>
      </c>
      <c r="E385" t="s">
        <v>577</v>
      </c>
    </row>
    <row r="386" spans="2:5" x14ac:dyDescent="0.6">
      <c r="C386" t="s">
        <v>1485</v>
      </c>
    </row>
    <row r="387" spans="2:5" x14ac:dyDescent="0.6">
      <c r="B387" t="s">
        <v>1494</v>
      </c>
    </row>
    <row r="388" spans="2:5" x14ac:dyDescent="0.6">
      <c r="C388" t="s">
        <v>1502</v>
      </c>
    </row>
    <row r="389" spans="2:5" x14ac:dyDescent="0.6">
      <c r="C389" t="s">
        <v>1503</v>
      </c>
    </row>
    <row r="390" spans="2:5" x14ac:dyDescent="0.6">
      <c r="C390" t="s">
        <v>1504</v>
      </c>
    </row>
    <row r="391" spans="2:5" x14ac:dyDescent="0.6">
      <c r="B391" t="s">
        <v>1467</v>
      </c>
    </row>
    <row r="392" spans="2:5" x14ac:dyDescent="0.6">
      <c r="B392" t="s">
        <v>1469</v>
      </c>
    </row>
    <row r="393" spans="2:5" x14ac:dyDescent="0.6">
      <c r="B393" t="s">
        <v>1473</v>
      </c>
    </row>
    <row r="394" spans="2:5" x14ac:dyDescent="0.6">
      <c r="B394" t="s">
        <v>1474</v>
      </c>
    </row>
    <row r="395" spans="2:5" x14ac:dyDescent="0.6">
      <c r="B395" t="s">
        <v>1475</v>
      </c>
    </row>
    <row r="396" spans="2:5" x14ac:dyDescent="0.6">
      <c r="B396" t="s">
        <v>1476</v>
      </c>
    </row>
    <row r="398" spans="2:5" x14ac:dyDescent="0.6">
      <c r="B398" t="s">
        <v>420</v>
      </c>
    </row>
    <row r="399" spans="2:5" x14ac:dyDescent="0.6">
      <c r="C399" t="s">
        <v>1089</v>
      </c>
      <c r="D399" t="s">
        <v>1506</v>
      </c>
    </row>
    <row r="400" spans="2:5" x14ac:dyDescent="0.6">
      <c r="D400" t="s">
        <v>218</v>
      </c>
      <c r="E400" t="s">
        <v>1507</v>
      </c>
    </row>
    <row r="401" spans="2:5" x14ac:dyDescent="0.6">
      <c r="D401" t="s">
        <v>420</v>
      </c>
      <c r="E401" t="s">
        <v>1508</v>
      </c>
    </row>
    <row r="402" spans="2:5" x14ac:dyDescent="0.6">
      <c r="C402" t="s">
        <v>1509</v>
      </c>
    </row>
    <row r="403" spans="2:5" x14ac:dyDescent="0.6">
      <c r="D403" t="s">
        <v>1510</v>
      </c>
    </row>
    <row r="404" spans="2:5" x14ac:dyDescent="0.6">
      <c r="B404" t="s">
        <v>229</v>
      </c>
    </row>
    <row r="405" spans="2:5" x14ac:dyDescent="0.6">
      <c r="C405" t="s">
        <v>1511</v>
      </c>
    </row>
    <row r="406" spans="2:5" x14ac:dyDescent="0.6">
      <c r="C406" t="s">
        <v>1512</v>
      </c>
    </row>
    <row r="407" spans="2:5" x14ac:dyDescent="0.6">
      <c r="D407" t="s">
        <v>1513</v>
      </c>
    </row>
    <row r="408" spans="2:5" x14ac:dyDescent="0.6">
      <c r="D408" t="s">
        <v>1514</v>
      </c>
    </row>
    <row r="409" spans="2:5" x14ac:dyDescent="0.6">
      <c r="C409" t="s">
        <v>1515</v>
      </c>
    </row>
    <row r="410" spans="2:5" x14ac:dyDescent="0.6">
      <c r="D410" t="s">
        <v>1516</v>
      </c>
    </row>
    <row r="411" spans="2:5" x14ac:dyDescent="0.6">
      <c r="E411" t="s">
        <v>1517</v>
      </c>
    </row>
    <row r="412" spans="2:5" x14ac:dyDescent="0.6">
      <c r="E412" t="s">
        <v>1518</v>
      </c>
    </row>
    <row r="413" spans="2:5" x14ac:dyDescent="0.6">
      <c r="D413" t="s">
        <v>1519</v>
      </c>
    </row>
    <row r="414" spans="2:5" x14ac:dyDescent="0.6">
      <c r="E414" t="s">
        <v>1520</v>
      </c>
    </row>
    <row r="415" spans="2:5" x14ac:dyDescent="0.6">
      <c r="E415" t="s">
        <v>1522</v>
      </c>
    </row>
    <row r="416" spans="2:5" x14ac:dyDescent="0.6">
      <c r="E416" t="s">
        <v>1521</v>
      </c>
    </row>
    <row r="417" spans="2:4" x14ac:dyDescent="0.6">
      <c r="B417" t="s">
        <v>1523</v>
      </c>
    </row>
    <row r="418" spans="2:4" x14ac:dyDescent="0.6">
      <c r="C418" t="s">
        <v>1524</v>
      </c>
    </row>
    <row r="419" spans="2:4" x14ac:dyDescent="0.6">
      <c r="B419" t="s">
        <v>1525</v>
      </c>
    </row>
    <row r="420" spans="2:4" x14ac:dyDescent="0.6">
      <c r="C420" t="s">
        <v>1526</v>
      </c>
    </row>
    <row r="421" spans="2:4" x14ac:dyDescent="0.6">
      <c r="B421" t="s">
        <v>1527</v>
      </c>
    </row>
    <row r="422" spans="2:4" x14ac:dyDescent="0.6">
      <c r="C422" t="s">
        <v>1529</v>
      </c>
    </row>
    <row r="423" spans="2:4" x14ac:dyDescent="0.6">
      <c r="C423" t="s">
        <v>1528</v>
      </c>
    </row>
    <row r="424" spans="2:4" x14ac:dyDescent="0.6">
      <c r="D424" t="s">
        <v>1530</v>
      </c>
    </row>
    <row r="425" spans="2:4" x14ac:dyDescent="0.6">
      <c r="B425" t="s">
        <v>24</v>
      </c>
    </row>
    <row r="426" spans="2:4" x14ac:dyDescent="0.6">
      <c r="C426" t="s">
        <v>1531</v>
      </c>
    </row>
    <row r="428" spans="2:4" x14ac:dyDescent="0.6">
      <c r="B428" s="502" t="s">
        <v>1533</v>
      </c>
    </row>
    <row r="430" spans="2:4" x14ac:dyDescent="0.6">
      <c r="B430" t="s">
        <v>1205</v>
      </c>
    </row>
    <row r="431" spans="2:4" x14ac:dyDescent="0.6">
      <c r="C431" t="s">
        <v>1534</v>
      </c>
    </row>
    <row r="432" spans="2:4" x14ac:dyDescent="0.6">
      <c r="C432" t="s">
        <v>1535</v>
      </c>
    </row>
    <row r="433" spans="2:4" x14ac:dyDescent="0.6">
      <c r="C433" t="s">
        <v>1536</v>
      </c>
    </row>
    <row r="434" spans="2:4" x14ac:dyDescent="0.6">
      <c r="B434" t="s">
        <v>938</v>
      </c>
    </row>
    <row r="435" spans="2:4" x14ac:dyDescent="0.6">
      <c r="C435" t="s">
        <v>1537</v>
      </c>
    </row>
    <row r="436" spans="2:4" x14ac:dyDescent="0.6">
      <c r="C436" t="s">
        <v>1538</v>
      </c>
    </row>
    <row r="437" spans="2:4" x14ac:dyDescent="0.6">
      <c r="B437" t="s">
        <v>420</v>
      </c>
    </row>
    <row r="438" spans="2:4" x14ac:dyDescent="0.6">
      <c r="C438" t="s">
        <v>1539</v>
      </c>
    </row>
    <row r="439" spans="2:4" x14ac:dyDescent="0.6">
      <c r="C439" t="s">
        <v>1540</v>
      </c>
    </row>
    <row r="440" spans="2:4" x14ac:dyDescent="0.6">
      <c r="C440" t="s">
        <v>1541</v>
      </c>
    </row>
    <row r="442" spans="2:4" x14ac:dyDescent="0.6">
      <c r="C442" t="s">
        <v>1542</v>
      </c>
    </row>
    <row r="443" spans="2:4" x14ac:dyDescent="0.6">
      <c r="D443" t="s">
        <v>1543</v>
      </c>
    </row>
    <row r="444" spans="2:4" x14ac:dyDescent="0.6">
      <c r="D444" t="s">
        <v>1544</v>
      </c>
    </row>
    <row r="445" spans="2:4" x14ac:dyDescent="0.6">
      <c r="C445" t="s">
        <v>1545</v>
      </c>
    </row>
    <row r="446" spans="2:4" x14ac:dyDescent="0.6">
      <c r="B446" t="s">
        <v>180</v>
      </c>
    </row>
    <row r="447" spans="2:4" x14ac:dyDescent="0.6">
      <c r="C447" t="s">
        <v>1546</v>
      </c>
    </row>
    <row r="448" spans="2:4" x14ac:dyDescent="0.6">
      <c r="C448" t="s">
        <v>1547</v>
      </c>
    </row>
    <row r="449" spans="2:4" x14ac:dyDescent="0.6">
      <c r="C449" t="s">
        <v>1548</v>
      </c>
    </row>
    <row r="450" spans="2:4" x14ac:dyDescent="0.6">
      <c r="D450" t="s">
        <v>1549</v>
      </c>
    </row>
    <row r="451" spans="2:4" x14ac:dyDescent="0.6">
      <c r="D451" t="s">
        <v>1550</v>
      </c>
    </row>
    <row r="452" spans="2:4" x14ac:dyDescent="0.6">
      <c r="B452" t="s">
        <v>1554</v>
      </c>
    </row>
    <row r="453" spans="2:4" x14ac:dyDescent="0.6">
      <c r="C453" t="s">
        <v>1551</v>
      </c>
    </row>
    <row r="454" spans="2:4" x14ac:dyDescent="0.6">
      <c r="C454" t="s">
        <v>1552</v>
      </c>
    </row>
    <row r="455" spans="2:4" x14ac:dyDescent="0.6">
      <c r="C455" t="s">
        <v>1553</v>
      </c>
    </row>
    <row r="456" spans="2:4" x14ac:dyDescent="0.6">
      <c r="B456" t="s">
        <v>1555</v>
      </c>
    </row>
    <row r="457" spans="2:4" x14ac:dyDescent="0.6">
      <c r="C457" t="s">
        <v>1556</v>
      </c>
    </row>
    <row r="458" spans="2:4" x14ac:dyDescent="0.6">
      <c r="C458" t="s">
        <v>1557</v>
      </c>
    </row>
    <row r="459" spans="2:4" x14ac:dyDescent="0.6">
      <c r="B459" t="s">
        <v>1558</v>
      </c>
    </row>
    <row r="460" spans="2:4" x14ac:dyDescent="0.6">
      <c r="C460" t="s">
        <v>1559</v>
      </c>
    </row>
    <row r="461" spans="2:4" x14ac:dyDescent="0.6">
      <c r="C461" t="s">
        <v>1560</v>
      </c>
    </row>
    <row r="462" spans="2:4" x14ac:dyDescent="0.6">
      <c r="C462" t="s">
        <v>1561</v>
      </c>
    </row>
    <row r="463" spans="2:4" x14ac:dyDescent="0.6">
      <c r="C463" t="s">
        <v>1562</v>
      </c>
    </row>
    <row r="464" spans="2:4" x14ac:dyDescent="0.6">
      <c r="D464" t="s">
        <v>1564</v>
      </c>
    </row>
    <row r="465" spans="2:4" x14ac:dyDescent="0.6">
      <c r="C465" t="s">
        <v>1563</v>
      </c>
    </row>
    <row r="466" spans="2:4" x14ac:dyDescent="0.6">
      <c r="D466" t="s">
        <v>1565</v>
      </c>
    </row>
    <row r="467" spans="2:4" x14ac:dyDescent="0.6">
      <c r="D467" t="s">
        <v>1566</v>
      </c>
    </row>
    <row r="468" spans="2:4" x14ac:dyDescent="0.6">
      <c r="B468" t="s">
        <v>1089</v>
      </c>
    </row>
    <row r="469" spans="2:4" x14ac:dyDescent="0.6">
      <c r="C469" t="s">
        <v>1567</v>
      </c>
    </row>
    <row r="470" spans="2:4" x14ac:dyDescent="0.6">
      <c r="C470" t="s">
        <v>1568</v>
      </c>
    </row>
    <row r="471" spans="2:4" x14ac:dyDescent="0.6">
      <c r="B471" t="s">
        <v>1569</v>
      </c>
    </row>
    <row r="472" spans="2:4" x14ac:dyDescent="0.6">
      <c r="C472" t="s">
        <v>1570</v>
      </c>
    </row>
    <row r="473" spans="2:4" x14ac:dyDescent="0.6">
      <c r="C473" t="s">
        <v>1571</v>
      </c>
    </row>
    <row r="474" spans="2:4" x14ac:dyDescent="0.6">
      <c r="C474" t="s">
        <v>1572</v>
      </c>
    </row>
    <row r="475" spans="2:4" x14ac:dyDescent="0.6">
      <c r="D475" t="s">
        <v>1573</v>
      </c>
    </row>
    <row r="476" spans="2:4" x14ac:dyDescent="0.6">
      <c r="D476" t="s">
        <v>1574</v>
      </c>
    </row>
    <row r="477" spans="2:4" x14ac:dyDescent="0.6">
      <c r="B477" t="s">
        <v>229</v>
      </c>
    </row>
    <row r="478" spans="2:4" x14ac:dyDescent="0.6">
      <c r="C478" t="s">
        <v>1575</v>
      </c>
    </row>
    <row r="479" spans="2:4" x14ac:dyDescent="0.6">
      <c r="C479" t="s">
        <v>1577</v>
      </c>
    </row>
    <row r="480" spans="2:4" x14ac:dyDescent="0.6">
      <c r="D480" t="s">
        <v>1576</v>
      </c>
    </row>
    <row r="481" spans="2:4" x14ac:dyDescent="0.6">
      <c r="D481" t="s">
        <v>1578</v>
      </c>
    </row>
    <row r="482" spans="2:4" x14ac:dyDescent="0.6">
      <c r="D482" t="s">
        <v>1579</v>
      </c>
    </row>
    <row r="483" spans="2:4" x14ac:dyDescent="0.6">
      <c r="C483" t="s">
        <v>1580</v>
      </c>
    </row>
    <row r="484" spans="2:4" x14ac:dyDescent="0.6">
      <c r="D484" t="s">
        <v>1581</v>
      </c>
    </row>
    <row r="485" spans="2:4" x14ac:dyDescent="0.6">
      <c r="C485" t="s">
        <v>1582</v>
      </c>
    </row>
    <row r="486" spans="2:4" x14ac:dyDescent="0.6">
      <c r="D486" t="s">
        <v>1583</v>
      </c>
    </row>
    <row r="487" spans="2:4" x14ac:dyDescent="0.6">
      <c r="D487" t="s">
        <v>1584</v>
      </c>
    </row>
    <row r="488" spans="2:4" x14ac:dyDescent="0.6">
      <c r="C488" t="s">
        <v>1585</v>
      </c>
    </row>
    <row r="489" spans="2:4" x14ac:dyDescent="0.6">
      <c r="D489" t="s">
        <v>1586</v>
      </c>
    </row>
    <row r="490" spans="2:4" x14ac:dyDescent="0.6">
      <c r="C490" t="s">
        <v>1587</v>
      </c>
    </row>
    <row r="491" spans="2:4" x14ac:dyDescent="0.6">
      <c r="B491" t="s">
        <v>420</v>
      </c>
    </row>
    <row r="492" spans="2:4" x14ac:dyDescent="0.6">
      <c r="C492" t="s">
        <v>1588</v>
      </c>
    </row>
    <row r="493" spans="2:4" x14ac:dyDescent="0.6">
      <c r="B493" t="s">
        <v>1589</v>
      </c>
    </row>
    <row r="494" spans="2:4" x14ac:dyDescent="0.6">
      <c r="C494" t="s">
        <v>1590</v>
      </c>
    </row>
    <row r="495" spans="2:4" x14ac:dyDescent="0.6">
      <c r="C495" t="s">
        <v>1591</v>
      </c>
    </row>
    <row r="496" spans="2:4" x14ac:dyDescent="0.6">
      <c r="B496" t="s">
        <v>1592</v>
      </c>
    </row>
    <row r="497" spans="2:4" x14ac:dyDescent="0.6">
      <c r="C497" t="s">
        <v>1593</v>
      </c>
    </row>
    <row r="498" spans="2:4" x14ac:dyDescent="0.6">
      <c r="C498" t="s">
        <v>1594</v>
      </c>
    </row>
    <row r="499" spans="2:4" x14ac:dyDescent="0.6">
      <c r="C499" t="s">
        <v>1595</v>
      </c>
      <c r="D499" t="s">
        <v>1596</v>
      </c>
    </row>
    <row r="500" spans="2:4" x14ac:dyDescent="0.6">
      <c r="C500" t="s">
        <v>1597</v>
      </c>
      <c r="D500" t="s">
        <v>1598</v>
      </c>
    </row>
    <row r="501" spans="2:4" x14ac:dyDescent="0.6">
      <c r="D501" t="s">
        <v>1599</v>
      </c>
    </row>
    <row r="502" spans="2:4" x14ac:dyDescent="0.6">
      <c r="B502" t="s">
        <v>1600</v>
      </c>
    </row>
    <row r="503" spans="2:4" x14ac:dyDescent="0.6">
      <c r="C503" t="s">
        <v>1601</v>
      </c>
    </row>
    <row r="504" spans="2:4" x14ac:dyDescent="0.6">
      <c r="C504" t="s">
        <v>1602</v>
      </c>
    </row>
    <row r="505" spans="2:4" x14ac:dyDescent="0.6">
      <c r="C505" t="s">
        <v>1603</v>
      </c>
    </row>
    <row r="506" spans="2:4" x14ac:dyDescent="0.6">
      <c r="B506" t="s">
        <v>1604</v>
      </c>
    </row>
    <row r="507" spans="2:4" x14ac:dyDescent="0.6">
      <c r="C507" t="s">
        <v>1605</v>
      </c>
    </row>
    <row r="508" spans="2:4" x14ac:dyDescent="0.6">
      <c r="C508" t="s">
        <v>1606</v>
      </c>
    </row>
    <row r="509" spans="2:4" x14ac:dyDescent="0.6">
      <c r="C509" t="s">
        <v>1607</v>
      </c>
    </row>
    <row r="510" spans="2:4" x14ac:dyDescent="0.6">
      <c r="B510" t="s">
        <v>1608</v>
      </c>
    </row>
    <row r="511" spans="2:4" x14ac:dyDescent="0.6">
      <c r="C511" t="s">
        <v>1609</v>
      </c>
    </row>
    <row r="512" spans="2:4" x14ac:dyDescent="0.6">
      <c r="B512" t="s">
        <v>1614</v>
      </c>
    </row>
    <row r="513" spans="2:3" x14ac:dyDescent="0.6">
      <c r="C513" t="s">
        <v>1610</v>
      </c>
    </row>
    <row r="514" spans="2:3" x14ac:dyDescent="0.6">
      <c r="C514" t="s">
        <v>1611</v>
      </c>
    </row>
    <row r="515" spans="2:3" x14ac:dyDescent="0.6">
      <c r="C515" t="s">
        <v>1612</v>
      </c>
    </row>
    <row r="516" spans="2:3" x14ac:dyDescent="0.6">
      <c r="C516" t="s">
        <v>1613</v>
      </c>
    </row>
    <row r="517" spans="2:3" x14ac:dyDescent="0.6">
      <c r="B517" t="s">
        <v>1615</v>
      </c>
    </row>
    <row r="518" spans="2:3" x14ac:dyDescent="0.6">
      <c r="C518" t="s">
        <v>1616</v>
      </c>
    </row>
    <row r="519" spans="2:3" x14ac:dyDescent="0.6">
      <c r="C519" t="s">
        <v>1617</v>
      </c>
    </row>
    <row r="520" spans="2:3" x14ac:dyDescent="0.6">
      <c r="C520" t="s">
        <v>1618</v>
      </c>
    </row>
    <row r="521" spans="2:3" x14ac:dyDescent="0.6">
      <c r="C521" t="s">
        <v>1619</v>
      </c>
    </row>
    <row r="522" spans="2:3" x14ac:dyDescent="0.6">
      <c r="B522" t="s">
        <v>1548</v>
      </c>
    </row>
    <row r="523" spans="2:3" x14ac:dyDescent="0.6">
      <c r="C523" t="s">
        <v>1620</v>
      </c>
    </row>
    <row r="525" spans="2:3" x14ac:dyDescent="0.6">
      <c r="B525" s="502" t="s">
        <v>1630</v>
      </c>
    </row>
    <row r="527" spans="2:3" x14ac:dyDescent="0.6">
      <c r="B527" t="s">
        <v>1631</v>
      </c>
    </row>
    <row r="528" spans="2:3" x14ac:dyDescent="0.6">
      <c r="C528" t="s">
        <v>1644</v>
      </c>
    </row>
    <row r="529" spans="2:5" x14ac:dyDescent="0.6">
      <c r="D529" t="s">
        <v>1650</v>
      </c>
    </row>
    <row r="530" spans="2:5" x14ac:dyDescent="0.6">
      <c r="C530" t="s">
        <v>577</v>
      </c>
      <c r="D530" s="1185" t="s">
        <v>1651</v>
      </c>
    </row>
    <row r="531" spans="2:5" x14ac:dyDescent="0.6">
      <c r="D531" s="1185" t="s">
        <v>1652</v>
      </c>
    </row>
    <row r="532" spans="2:5" x14ac:dyDescent="0.6">
      <c r="D532" s="1185" t="s">
        <v>1653</v>
      </c>
    </row>
    <row r="533" spans="2:5" x14ac:dyDescent="0.6">
      <c r="D533" s="1185"/>
      <c r="E533" s="1185" t="s">
        <v>1682</v>
      </c>
    </row>
    <row r="534" spans="2:5" x14ac:dyDescent="0.6">
      <c r="D534" s="1185" t="s">
        <v>1654</v>
      </c>
    </row>
    <row r="535" spans="2:5" x14ac:dyDescent="0.6">
      <c r="D535" s="1185" t="s">
        <v>1655</v>
      </c>
    </row>
    <row r="536" spans="2:5" x14ac:dyDescent="0.6">
      <c r="C536" s="1185" t="s">
        <v>1656</v>
      </c>
      <c r="D536" s="1185"/>
      <c r="E536" s="1185"/>
    </row>
    <row r="537" spans="2:5" x14ac:dyDescent="0.6">
      <c r="C537" s="1185" t="s">
        <v>228</v>
      </c>
      <c r="D537" s="1185"/>
      <c r="E537" s="1185"/>
    </row>
    <row r="538" spans="2:5" x14ac:dyDescent="0.6">
      <c r="C538" s="1185"/>
      <c r="D538" s="1185" t="s">
        <v>1657</v>
      </c>
      <c r="E538" s="1185"/>
    </row>
    <row r="539" spans="2:5" x14ac:dyDescent="0.6">
      <c r="C539" s="1185"/>
      <c r="D539" s="1185" t="s">
        <v>1711</v>
      </c>
      <c r="E539" s="1185"/>
    </row>
    <row r="540" spans="2:5" x14ac:dyDescent="0.6">
      <c r="C540" s="1185"/>
      <c r="D540" s="1185" t="s">
        <v>1658</v>
      </c>
      <c r="E540" s="1185"/>
    </row>
    <row r="541" spans="2:5" x14ac:dyDescent="0.6">
      <c r="C541" t="s">
        <v>1645</v>
      </c>
    </row>
    <row r="542" spans="2:5" x14ac:dyDescent="0.6">
      <c r="C542" t="s">
        <v>1646</v>
      </c>
    </row>
    <row r="543" spans="2:5" x14ac:dyDescent="0.6">
      <c r="B543" t="s">
        <v>1632</v>
      </c>
    </row>
    <row r="544" spans="2:5" x14ac:dyDescent="0.6">
      <c r="C544" t="s">
        <v>1633</v>
      </c>
    </row>
    <row r="545" spans="3:5" x14ac:dyDescent="0.6">
      <c r="D545" s="1185" t="s">
        <v>1659</v>
      </c>
    </row>
    <row r="546" spans="3:5" x14ac:dyDescent="0.6">
      <c r="D546" s="1185"/>
    </row>
    <row r="547" spans="3:5" x14ac:dyDescent="0.6">
      <c r="D547" s="1185" t="s">
        <v>1660</v>
      </c>
    </row>
    <row r="548" spans="3:5" x14ac:dyDescent="0.6">
      <c r="D548" s="1185" t="s">
        <v>1661</v>
      </c>
    </row>
    <row r="549" spans="3:5" x14ac:dyDescent="0.6">
      <c r="D549" s="1185" t="s">
        <v>1662</v>
      </c>
    </row>
    <row r="550" spans="3:5" x14ac:dyDescent="0.6">
      <c r="C550" s="1185" t="s">
        <v>1663</v>
      </c>
      <c r="D550" s="1185"/>
    </row>
    <row r="551" spans="3:5" x14ac:dyDescent="0.6">
      <c r="C551" s="1185" t="s">
        <v>1677</v>
      </c>
      <c r="D551" s="1185" t="s">
        <v>1664</v>
      </c>
    </row>
    <row r="552" spans="3:5" x14ac:dyDescent="0.6">
      <c r="C552" s="1185"/>
      <c r="D552" s="1185" t="s">
        <v>1665</v>
      </c>
    </row>
    <row r="553" spans="3:5" x14ac:dyDescent="0.6">
      <c r="C553" s="1185"/>
      <c r="D553" s="1185"/>
      <c r="E553" s="1185" t="s">
        <v>1666</v>
      </c>
    </row>
    <row r="554" spans="3:5" x14ac:dyDescent="0.6">
      <c r="D554" s="1185"/>
      <c r="E554" s="1185" t="s">
        <v>1667</v>
      </c>
    </row>
    <row r="555" spans="3:5" x14ac:dyDescent="0.6">
      <c r="D555" s="1185"/>
      <c r="E555" s="1185" t="s">
        <v>1668</v>
      </c>
    </row>
    <row r="556" spans="3:5" x14ac:dyDescent="0.6">
      <c r="D556" s="1185"/>
      <c r="E556" s="1185" t="s">
        <v>1669</v>
      </c>
    </row>
    <row r="557" spans="3:5" x14ac:dyDescent="0.6">
      <c r="D557" s="1185"/>
      <c r="E557" s="1185" t="s">
        <v>1670</v>
      </c>
    </row>
    <row r="558" spans="3:5" x14ac:dyDescent="0.6">
      <c r="D558" s="1185"/>
      <c r="E558" s="1185" t="s">
        <v>1671</v>
      </c>
    </row>
    <row r="559" spans="3:5" x14ac:dyDescent="0.6">
      <c r="D559" s="1185" t="s">
        <v>1672</v>
      </c>
      <c r="E559" s="1185"/>
    </row>
    <row r="560" spans="3:5" x14ac:dyDescent="0.6">
      <c r="C560" s="1185" t="s">
        <v>874</v>
      </c>
      <c r="D560" s="1185"/>
      <c r="E560" s="1185"/>
    </row>
    <row r="561" spans="2:5" x14ac:dyDescent="0.6">
      <c r="C561" s="1185" t="s">
        <v>1678</v>
      </c>
      <c r="D561" s="1185" t="s">
        <v>1673</v>
      </c>
      <c r="E561" s="1185"/>
    </row>
    <row r="562" spans="2:5" x14ac:dyDescent="0.6">
      <c r="C562" s="1185" t="s">
        <v>1679</v>
      </c>
      <c r="D562" s="1185" t="s">
        <v>1674</v>
      </c>
      <c r="E562" s="1185"/>
    </row>
    <row r="563" spans="2:5" x14ac:dyDescent="0.6">
      <c r="C563" s="1185" t="s">
        <v>1680</v>
      </c>
      <c r="D563" s="1185" t="s">
        <v>1675</v>
      </c>
      <c r="E563" s="1185"/>
    </row>
    <row r="564" spans="2:5" x14ac:dyDescent="0.6">
      <c r="C564" s="1185" t="s">
        <v>1681</v>
      </c>
      <c r="D564" s="1185" t="s">
        <v>1676</v>
      </c>
      <c r="E564" s="1185"/>
    </row>
    <row r="565" spans="2:5" x14ac:dyDescent="0.6">
      <c r="C565" t="s">
        <v>1647</v>
      </c>
    </row>
    <row r="566" spans="2:5" x14ac:dyDescent="0.6">
      <c r="C566" t="s">
        <v>1634</v>
      </c>
    </row>
    <row r="567" spans="2:5" x14ac:dyDescent="0.6">
      <c r="B567" t="s">
        <v>1638</v>
      </c>
    </row>
    <row r="568" spans="2:5" x14ac:dyDescent="0.6">
      <c r="C568" t="s">
        <v>1639</v>
      </c>
    </row>
    <row r="569" spans="2:5" x14ac:dyDescent="0.6">
      <c r="B569" t="s">
        <v>1637</v>
      </c>
    </row>
    <row r="570" spans="2:5" x14ac:dyDescent="0.6">
      <c r="C570" t="s">
        <v>1642</v>
      </c>
    </row>
    <row r="571" spans="2:5" x14ac:dyDescent="0.6">
      <c r="C571" t="s">
        <v>1643</v>
      </c>
    </row>
    <row r="572" spans="2:5" x14ac:dyDescent="0.6">
      <c r="B572" t="s">
        <v>1636</v>
      </c>
    </row>
    <row r="574" spans="2:5" x14ac:dyDescent="0.6">
      <c r="B574" t="s">
        <v>229</v>
      </c>
    </row>
    <row r="575" spans="2:5" x14ac:dyDescent="0.6">
      <c r="C575" t="s">
        <v>1649</v>
      </c>
    </row>
    <row r="576" spans="2:5" x14ac:dyDescent="0.6">
      <c r="C576" t="s">
        <v>1648</v>
      </c>
    </row>
    <row r="577" spans="2:4" x14ac:dyDescent="0.6">
      <c r="B577" s="1185" t="s">
        <v>1683</v>
      </c>
    </row>
    <row r="578" spans="2:4" x14ac:dyDescent="0.6">
      <c r="C578" s="1185" t="s">
        <v>1684</v>
      </c>
    </row>
    <row r="579" spans="2:4" x14ac:dyDescent="0.6">
      <c r="C579" s="1185" t="s">
        <v>1685</v>
      </c>
    </row>
    <row r="580" spans="2:4" x14ac:dyDescent="0.6">
      <c r="C580" s="1185" t="s">
        <v>1686</v>
      </c>
    </row>
    <row r="581" spans="2:4" x14ac:dyDescent="0.6">
      <c r="C581" s="1185" t="s">
        <v>1687</v>
      </c>
    </row>
    <row r="582" spans="2:4" x14ac:dyDescent="0.6">
      <c r="D582" s="1185" t="s">
        <v>1688</v>
      </c>
    </row>
    <row r="583" spans="2:4" x14ac:dyDescent="0.6">
      <c r="B583" s="1185" t="s">
        <v>1689</v>
      </c>
    </row>
    <row r="584" spans="2:4" x14ac:dyDescent="0.6">
      <c r="C584" s="1185" t="s">
        <v>1690</v>
      </c>
    </row>
    <row r="585" spans="2:4" x14ac:dyDescent="0.6">
      <c r="C585" s="1185" t="s">
        <v>1691</v>
      </c>
    </row>
    <row r="586" spans="2:4" x14ac:dyDescent="0.6">
      <c r="C586" s="1185" t="s">
        <v>1692</v>
      </c>
    </row>
    <row r="588" spans="2:4" x14ac:dyDescent="0.6">
      <c r="C588" s="1185" t="s">
        <v>1693</v>
      </c>
    </row>
    <row r="589" spans="2:4" x14ac:dyDescent="0.6">
      <c r="C589" s="1185" t="s">
        <v>1694</v>
      </c>
    </row>
    <row r="590" spans="2:4" x14ac:dyDescent="0.6">
      <c r="C590" s="1185" t="s">
        <v>1695</v>
      </c>
    </row>
    <row r="591" spans="2:4" x14ac:dyDescent="0.6">
      <c r="C591" s="1185" t="s">
        <v>1696</v>
      </c>
    </row>
    <row r="592" spans="2:4" x14ac:dyDescent="0.6">
      <c r="C592" s="1185" t="s">
        <v>1697</v>
      </c>
    </row>
    <row r="593" spans="2:4" x14ac:dyDescent="0.6">
      <c r="B593" s="1185" t="s">
        <v>1205</v>
      </c>
      <c r="C593" s="1185" t="s">
        <v>577</v>
      </c>
    </row>
    <row r="594" spans="2:4" x14ac:dyDescent="0.6">
      <c r="C594" s="1185" t="s">
        <v>1698</v>
      </c>
    </row>
    <row r="595" spans="2:4" x14ac:dyDescent="0.6">
      <c r="C595" s="1185" t="s">
        <v>218</v>
      </c>
    </row>
    <row r="596" spans="2:4" x14ac:dyDescent="0.6">
      <c r="D596" s="1185" t="s">
        <v>1699</v>
      </c>
    </row>
    <row r="597" spans="2:4" x14ac:dyDescent="0.6">
      <c r="C597" s="1185" t="s">
        <v>346</v>
      </c>
      <c r="D597" s="1185"/>
    </row>
    <row r="598" spans="2:4" x14ac:dyDescent="0.6">
      <c r="D598" s="1185" t="s">
        <v>1700</v>
      </c>
    </row>
    <row r="599" spans="2:4" x14ac:dyDescent="0.6">
      <c r="D599" s="1185" t="s">
        <v>1701</v>
      </c>
    </row>
    <row r="600" spans="2:4" x14ac:dyDescent="0.6">
      <c r="D600" s="1185" t="s">
        <v>1702</v>
      </c>
    </row>
    <row r="601" spans="2:4" x14ac:dyDescent="0.6">
      <c r="D601" s="1185" t="s">
        <v>1703</v>
      </c>
    </row>
    <row r="602" spans="2:4" x14ac:dyDescent="0.6">
      <c r="B602" s="1185" t="s">
        <v>1704</v>
      </c>
      <c r="C602" t="s">
        <v>577</v>
      </c>
    </row>
    <row r="603" spans="2:4" x14ac:dyDescent="0.6">
      <c r="C603" s="1185" t="s">
        <v>1705</v>
      </c>
    </row>
    <row r="604" spans="2:4" x14ac:dyDescent="0.6">
      <c r="C604" s="1185" t="s">
        <v>1706</v>
      </c>
    </row>
    <row r="606" spans="2:4" x14ac:dyDescent="0.6">
      <c r="B606" s="502" t="s">
        <v>1776</v>
      </c>
    </row>
    <row r="608" spans="2:4" x14ac:dyDescent="0.6">
      <c r="B608" t="s">
        <v>1777</v>
      </c>
    </row>
    <row r="609" spans="2:3" x14ac:dyDescent="0.6">
      <c r="B609" t="s">
        <v>1778</v>
      </c>
    </row>
    <row r="610" spans="2:3" x14ac:dyDescent="0.6">
      <c r="B610" t="s">
        <v>1779</v>
      </c>
    </row>
    <row r="611" spans="2:3" x14ac:dyDescent="0.6">
      <c r="B611" t="s">
        <v>1780</v>
      </c>
    </row>
    <row r="612" spans="2:3" x14ac:dyDescent="0.6">
      <c r="C612" t="s">
        <v>1781</v>
      </c>
    </row>
    <row r="613" spans="2:3" x14ac:dyDescent="0.6">
      <c r="C613" t="s">
        <v>1782</v>
      </c>
    </row>
    <row r="614" spans="2:3" x14ac:dyDescent="0.6">
      <c r="C614" t="s">
        <v>1783</v>
      </c>
    </row>
    <row r="615" spans="2:3" x14ac:dyDescent="0.6">
      <c r="B615" t="s">
        <v>1784</v>
      </c>
    </row>
    <row r="616" spans="2:3" x14ac:dyDescent="0.6">
      <c r="B616" t="s">
        <v>1785</v>
      </c>
    </row>
    <row r="617" spans="2:3" x14ac:dyDescent="0.6">
      <c r="C617" t="s">
        <v>1786</v>
      </c>
    </row>
    <row r="618" spans="2:3" x14ac:dyDescent="0.6">
      <c r="B618" t="s">
        <v>1787</v>
      </c>
    </row>
    <row r="619" spans="2:3" x14ac:dyDescent="0.6">
      <c r="B619" t="s">
        <v>1788</v>
      </c>
    </row>
    <row r="620" spans="2:3" x14ac:dyDescent="0.6">
      <c r="C620" t="s">
        <v>1789</v>
      </c>
    </row>
    <row r="621" spans="2:3" x14ac:dyDescent="0.6">
      <c r="C621" t="s">
        <v>1790</v>
      </c>
    </row>
    <row r="622" spans="2:3" x14ac:dyDescent="0.6">
      <c r="C622" t="s">
        <v>1791</v>
      </c>
    </row>
    <row r="623" spans="2:3" x14ac:dyDescent="0.6">
      <c r="C623" t="s">
        <v>1792</v>
      </c>
    </row>
    <row r="624" spans="2:3" x14ac:dyDescent="0.6">
      <c r="C624" t="s">
        <v>1793</v>
      </c>
    </row>
    <row r="625" spans="2:4" x14ac:dyDescent="0.6">
      <c r="D625" t="s">
        <v>1794</v>
      </c>
    </row>
    <row r="626" spans="2:4" x14ac:dyDescent="0.6">
      <c r="D626" t="s">
        <v>1795</v>
      </c>
    </row>
    <row r="627" spans="2:4" x14ac:dyDescent="0.6">
      <c r="D627" t="s">
        <v>1796</v>
      </c>
    </row>
    <row r="628" spans="2:4" x14ac:dyDescent="0.6">
      <c r="B628" t="s">
        <v>1797</v>
      </c>
      <c r="C628" t="s">
        <v>1798</v>
      </c>
    </row>
    <row r="629" spans="2:4" x14ac:dyDescent="0.6">
      <c r="B629" t="s">
        <v>1089</v>
      </c>
    </row>
    <row r="630" spans="2:4" x14ac:dyDescent="0.6">
      <c r="C630" t="s">
        <v>1799</v>
      </c>
      <c r="D630" s="234">
        <f>1.8%*12</f>
        <v>0.21600000000000003</v>
      </c>
    </row>
    <row r="631" spans="2:4" x14ac:dyDescent="0.6">
      <c r="C631" t="s">
        <v>1800</v>
      </c>
      <c r="D631" s="234">
        <v>0.03</v>
      </c>
    </row>
    <row r="632" spans="2:4" x14ac:dyDescent="0.6">
      <c r="C632" t="s">
        <v>1801</v>
      </c>
      <c r="D632" s="234">
        <v>0.12</v>
      </c>
    </row>
    <row r="633" spans="2:4" x14ac:dyDescent="0.6">
      <c r="C633" t="s">
        <v>1802</v>
      </c>
    </row>
    <row r="634" spans="2:4" x14ac:dyDescent="0.6">
      <c r="B634" t="s">
        <v>1803</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Master</vt:lpstr>
      <vt:lpstr>Consensus</vt:lpstr>
      <vt:lpstr>Analysis</vt:lpstr>
      <vt:lpstr>Revenue and Expenses breakdown</vt:lpstr>
      <vt:lpstr>Quarts</vt:lpstr>
      <vt:lpstr>Earnings snap</vt:lpstr>
      <vt:lpstr>Drivers</vt:lpstr>
      <vt:lpstr>Notes</vt:lpstr>
      <vt:lpstr>Valuation</vt:lpstr>
      <vt:lpstr>Banks comps</vt:lpstr>
      <vt:lpstr>BS Estimates</vt:lpstr>
      <vt:lpstr>Macro</vt:lpstr>
      <vt:lpstr>Summary</vt:lpstr>
      <vt:lpstr>Summary II</vt:lpstr>
      <vt:lpstr>Comps link</vt:lpstr>
      <vt:lpstr>FIG ratios</vt:lpstr>
      <vt:lpstr>Customers</vt:lpstr>
      <vt:lpstr>Subs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dc:creator>
  <cp:lastModifiedBy>Soomit Datta</cp:lastModifiedBy>
  <cp:lastPrinted>2022-11-02T12:21:11Z</cp:lastPrinted>
  <dcterms:created xsi:type="dcterms:W3CDTF">2021-11-01T16:37:22Z</dcterms:created>
  <dcterms:modified xsi:type="dcterms:W3CDTF">2023-10-06T13:58:18Z</dcterms:modified>
</cp:coreProperties>
</file>