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5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LECOMS\STOCKS\EMEA\Latam\Brazil\PAGS\Model\Current model\"/>
    </mc:Choice>
  </mc:AlternateContent>
  <xr:revisionPtr revIDLastSave="0" documentId="13_ncr:1_{3F9D2206-B5D0-449E-AE41-B7791A9EC3E6}" xr6:coauthVersionLast="47" xr6:coauthVersionMax="47" xr10:uidLastSave="{00000000-0000-0000-0000-000000000000}"/>
  <bookViews>
    <workbookView xWindow="-96" yWindow="-96" windowWidth="20928" windowHeight="12552" tabRatio="766" xr2:uid="{03582D5C-AC98-44EC-A58D-59759539F6EE}"/>
  </bookViews>
  <sheets>
    <sheet name="Cover" sheetId="18" r:id="rId1"/>
    <sheet name="Master" sheetId="11" r:id="rId2"/>
    <sheet name="Quarts" sheetId="12" r:id="rId3"/>
    <sheet name="Pagbank" sheetId="6" r:id="rId4"/>
    <sheet name="Notes" sheetId="3" r:id="rId5"/>
    <sheet name="Valuation" sheetId="14" r:id="rId6"/>
    <sheet name="Analysis" sheetId="4" r:id="rId7"/>
    <sheet name="Vs consensus" sheetId="13" r:id="rId8"/>
    <sheet name="Acquirer" sheetId="1" r:id="rId9"/>
    <sheet name="Earnings snaps" sheetId="19" r:id="rId10"/>
    <sheet name="Ests to PAGS" sheetId="17" r:id="rId11"/>
    <sheet name="Summary I" sheetId="15" r:id="rId12"/>
    <sheet name="Summary II" sheetId="16" r:id="rId13"/>
    <sheet name="CB data" sheetId="5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Admin" hidden="1">"No"</definedName>
    <definedName name="_Fill" hidden="1">#REF!</definedName>
    <definedName name="_xlnm._FilterDatabase" hidden="1">#REF!</definedName>
    <definedName name="_GSR008" hidden="1">[1]Equipment!$E$134:$DT$134</definedName>
    <definedName name="_GSR012" hidden="1">[1]Equipment!$E$185:$DT$185</definedName>
    <definedName name="_InAdmin" hidden="1">"No"</definedName>
    <definedName name="_Key1" hidden="1">#REF!</definedName>
    <definedName name="_LegalOk" hidden="1">"No"</definedName>
    <definedName name="_MC16" hidden="1">[1]Equipment!$E$80:$DT$80</definedName>
    <definedName name="_MC28" hidden="1">[1]Equipment!$E$77:$DT$77</definedName>
    <definedName name="_Order1" hidden="1">255</definedName>
    <definedName name="_Order2" hidden="1">0</definedName>
    <definedName name="_Sort" hidden="1">#REF!</definedName>
    <definedName name="adfa" hidden="1">#REF!</definedName>
    <definedName name="anscount" hidden="1">2</definedName>
    <definedName name="AP" hidden="1">[1]Model!$E$41</definedName>
    <definedName name="ARPUInput" hidden="1">[1]Model!$E$142:$DT$142</definedName>
    <definedName name="asdfdf" hidden="1">{#N/A,#N/A,FALSE,"Statement of Ops";#N/A,#N/A,FALSE,"Trend Ops"}</definedName>
    <definedName name="Assumptions" hidden="1">[1]Model!$A$30:$A$122</definedName>
    <definedName name="AvgVoiceLines" hidden="1">[1]Model!$E$136:$DT$136</definedName>
    <definedName name="Balance_Sheet" hidden="1">'[1]Financial Statements'!$A$126:$A$177</definedName>
    <definedName name="bb" hidden="1">{#N/A,#N/A,FALSE,"Statement of Ops";#N/A,#N/A,FALSE,"Trend Ops"}</definedName>
    <definedName name="BPackClust" hidden="1">[1]Equipment!$E$226:$DT$226</definedName>
    <definedName name="BPackRTU" hidden="1">[1]Equipment!$E$220:$DT$220</definedName>
    <definedName name="BPackRTUCapex" hidden="1">[1]Capex!$E$220:$DT$220</definedName>
    <definedName name="BPackRTULife" hidden="1">[1]Capex!$C$116</definedName>
    <definedName name="BPackRTUMaint" hidden="1">[1]Capex!$E$248:$DT$248</definedName>
    <definedName name="BTS" hidden="1">[1]Equipment!$E$212:$DT$212</definedName>
    <definedName name="BTSAppRTUCapex" hidden="1">[1]Capex!$E$218:$DT$218</definedName>
    <definedName name="BTSAppRTULife" hidden="1">[1]Capex!$C$114</definedName>
    <definedName name="BTSAppRTUMaint" hidden="1">[1]Capex!$E$247:$DT$247</definedName>
    <definedName name="BTSLife" hidden="1">[1]Capex!$C$112</definedName>
    <definedName name="BTSPlatRTUCapex" hidden="1">[1]Capex!$E$217:$DT$217</definedName>
    <definedName name="BTSPlatRTULife" hidden="1">[1]Capex!$C$113</definedName>
    <definedName name="BTSPlatRTUMaint" hidden="1">[1]Capex!$E$246:$DT$246</definedName>
    <definedName name="BTSRTU" hidden="1">[1]Equipment!$E$206:$DT$206</definedName>
    <definedName name="CalcSetting" hidden="1">[1]Equipment!$B$10</definedName>
    <definedName name="CallMgmtPctInbound" hidden="1">[1]Model!$E$118:$DT$118</definedName>
    <definedName name="CallMgmtPctOutbound" hidden="1">[1]Model!$E$119:$DT$119</definedName>
    <definedName name="Card" hidden="1">[1]Equipment!$E$40:$DT$40</definedName>
    <definedName name="CardInput" hidden="1">'[1]Capex Input'!$E$48:$DT$48</definedName>
    <definedName name="Cash_Flow_Statement" hidden="1">'[1]Financial Statements'!$A$69:$A$122</definedName>
    <definedName name="CHT" hidden="1">[1]Equipment!$E$202:$DT$202</definedName>
    <definedName name="CHTInput" hidden="1">'[1]Capex Input'!$E$41:$DT$41</definedName>
    <definedName name="CMTSInputs" hidden="1">[1]Equipment!$E$13:$DT$57</definedName>
    <definedName name="CMTSOutputs" hidden="1">[1]Equipment!$E$59:$DT$68</definedName>
    <definedName name="CNAMPctInbound" hidden="1">[1]Model!$E$116:$DT$116</definedName>
    <definedName name="CNAMPctOutbound" hidden="1">[1]Model!$E$117:$DT$117</definedName>
    <definedName name="CodecInput" hidden="1">'[1]Capex Input'!$E$33:$DT$33</definedName>
    <definedName name="Cognit" hidden="1">[1]Equipment!$E$235:$DT$235</definedName>
    <definedName name="ColCount" hidden="1">[1]Equipment!$B$11</definedName>
    <definedName name="cost_of_capital" hidden="1">[1]Model!$E$43</definedName>
    <definedName name="CPULimit" hidden="1">[1]Equipment!$E$56:$DT$56</definedName>
    <definedName name="CPUPerDataSub" hidden="1">[1]Equipment!$E$36:$DT$36</definedName>
    <definedName name="CPUPerDS0" hidden="1">[1]Equipment!$E$35:$DT$35</definedName>
    <definedName name="CPUUtil" hidden="1">[1]Equipment!$E$63:$DT$63</definedName>
    <definedName name="CPUUtilData" hidden="1">[1]Equipment!$E$68:$DT$68</definedName>
    <definedName name="DB">"WIRENYPROD"</definedName>
    <definedName name="dere" hidden="1">{#N/A,#N/A,FALSE,"Statement of Ops";#N/A,#N/A,FALSE,"Trend Ops"}</definedName>
    <definedName name="dfdfd" hidden="1">{#N/A,#N/A,FALSE,"Statement of Ops";#N/A,#N/A,FALSE,"Trend Ops"}</definedName>
    <definedName name="dfsdf" hidden="1">{#N/A,#N/A,FALSE,"Statement of Ops";#N/A,#N/A,FALSE,"Trend Ops"}</definedName>
    <definedName name="dsf" hidden="1">{#N/A,#N/A,FALSE,"Statement of Ops";#N/A,#N/A,FALSE,"Trend Ops"}</definedName>
    <definedName name="DSPerDataSub" hidden="1">[1]Equipment!$E$30:$DT$30</definedName>
    <definedName name="DSPerDataSubInput" hidden="1">'[1]Capex Input'!$E$42:$DT$42</definedName>
    <definedName name="DSPerDom" hidden="1">[1]Equipment!$E$46:$DT$46</definedName>
    <definedName name="DSPerDS0" hidden="1">[1]Equipment!$E$24:$DT$24</definedName>
    <definedName name="DSUtil" hidden="1">[1]Equipment!$E$60:$DT$60</definedName>
    <definedName name="DSUtilData" hidden="1">[1]Equipment!$E$65:$DT$65</definedName>
    <definedName name="DualPctData" hidden="1">[1]Capex!$E$32:$DT$32</definedName>
    <definedName name="DualPctVoiceInput" hidden="1">[1]Model!$E$86:$DT$86</definedName>
    <definedName name="eeeeeeeeee" hidden="1">{#N/A,#N/A,FALSE,"Statement of Ops";#N/A,#N/A,FALSE,"Trend Ops"}</definedName>
    <definedName name="Equipment_and_CAPEX" hidden="1">[1]Model!$A$199:$A$265</definedName>
    <definedName name="erere" hidden="1">{#N/A,#N/A,FALSE,"Statement of Ops";#N/A,#N/A,FALSE,"Trend Ops"}</definedName>
    <definedName name="ererere" hidden="1">{#N/A,#N/A,FALSE,"Statement of Ops";#N/A,#N/A,FALSE,"Trend Ops"}</definedName>
    <definedName name="ErlangsPerLine" hidden="1">[1]Equipment!$E$29:$DT$29</definedName>
    <definedName name="ErlangsPerLineInput" hidden="1">'[1]Capex Input'!$E$40:$DT$40</definedName>
    <definedName name="g_Cumulative_Net_Income" hidden="1">[1]Results!$P$157:$AH$192</definedName>
    <definedName name="g_Discounted_Cash" hidden="1">[1]Results!$A$341:$M$376</definedName>
    <definedName name="g_Expenses" hidden="1">[1]Results!$P$203:$AH$238</definedName>
    <definedName name="g_IRR" hidden="1">[1]Results!$P$65:$AH$100</definedName>
    <definedName name="g_Net_Income" hidden="1">[1]Results!$A$157:$M$192</definedName>
    <definedName name="g_NPV" hidden="1">[1]Results!$A$65:$M$100</definedName>
    <definedName name="g_Service_Revenue" hidden="1">[1]Results!$A$203:$M$238</definedName>
    <definedName name="g_User_defined_1" hidden="1">[1]Results!$A$249:$M$284</definedName>
    <definedName name="g_User_defined_2" hidden="1">[1]Results!$P$249:$AH$284</definedName>
    <definedName name="g_User_defined_3" hidden="1">[1]Results!$A$295:$M$330</definedName>
    <definedName name="g_User_defined_4" hidden="1">[1]Results!$P$295:$AH$330</definedName>
    <definedName name="GBPUSD">[2]Summary!$C$84</definedName>
    <definedName name="GOS" hidden="1">[1]Equipment!$E$23:$DT$23</definedName>
    <definedName name="GOSInput" hidden="1">'[1]Capex Input'!$E$36:$DT$36</definedName>
    <definedName name="Graphs" hidden="1">[1]Results!$A$49:$A$62</definedName>
    <definedName name="GrossAddDual" hidden="1">[1]Model!$E$104:$DT$104</definedName>
    <definedName name="GrossAddFromHSD" hidden="1">[1]Model!$E$102:$DT$102</definedName>
    <definedName name="GrossAddVoiceOnly" hidden="1">[1]Model!$E$100:$DT$100</definedName>
    <definedName name="GrossLineAdds" hidden="1">[1]Model!$E$107:$DT$107</definedName>
    <definedName name="GSR008Data" hidden="1">[1]Equipment!$E$143:$DT$143</definedName>
    <definedName name="GSR012Data" hidden="1">[1]Equipment!$E$191:$DT$191</definedName>
    <definedName name="GSR1OC12_CMTS" hidden="1">[1]Equipment!$E$131:$DT$131</definedName>
    <definedName name="GSR1OC12Data_CMTS" hidden="1">[1]Equipment!$E$140:$DT$140</definedName>
    <definedName name="GSR4OC12_DC" hidden="1">[1]Equipment!$E$179:$DT$179</definedName>
    <definedName name="GSR4OC12ATM" hidden="1">[1]Equipment!$E$182:$DT$182</definedName>
    <definedName name="GSR4OC12Data_DC" hidden="1">[1]Equipment!$E$188:$DT$188</definedName>
    <definedName name="GSR4OC3_CMTS" hidden="1">[1]Equipment!$E$128:$DT$128</definedName>
    <definedName name="GSR4OC3Data_CMTS" hidden="1">[1]Equipment!$E$137:$DT$137</definedName>
    <definedName name="GSRCapex" hidden="1">[1]Capex!$E$266:$DT$266</definedName>
    <definedName name="GSRLife" hidden="1">[1]Capex!$C$102</definedName>
    <definedName name="GSRMaint" hidden="1">[1]Capex!$E$291:$DT$291</definedName>
    <definedName name="h.IsCSM" hidden="1">"CSModel"</definedName>
    <definedName name="HHP" hidden="1">[1]Capex!$E$12:$DT$12</definedName>
    <definedName name="HHPInput" hidden="1">[1]Model!$E$71:$DT$71</definedName>
    <definedName name="HTML_CodePage" hidden="1">1252</definedName>
    <definedName name="HTML_Description" hidden="1">"IBN Products"</definedName>
    <definedName name="HTML_Email" hidden="1">""</definedName>
    <definedName name="HTML_Header" hidden="1">"Edit"</definedName>
    <definedName name="HTML_LastUpdate" hidden="1">"24/05/97"</definedName>
    <definedName name="HTML_LineAfter" hidden="1">FALSE</definedName>
    <definedName name="HTML_LineBefore" hidden="1">TRUE</definedName>
    <definedName name="HTML_Name" hidden="1">"Mike Bibbings"</definedName>
    <definedName name="HTML_OBDlg2" hidden="1">TRUE</definedName>
    <definedName name="HTML_OBDlg4" hidden="1">TRUE</definedName>
    <definedName name="HTML_OS" hidden="1">0</definedName>
    <definedName name="HTML_PathFile" hidden="1">"C:\My Documents\mmelHTML.htm"</definedName>
    <definedName name="HTML_Title" hidden="1">"Master Edit List"</definedName>
    <definedName name="HubSize" hidden="1">[1]Equipment!$E$17:$DT$17</definedName>
    <definedName name="HubSizeInput" hidden="1">'[1]Capex Input'!$E$27:$DT$27</definedName>
    <definedName name="Income_Statement" hidden="1">'[1]Financial Statements'!$A$31:$A$65</definedName>
    <definedName name="income_tax_rate" hidden="1">[1]Model!$E$42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39420.5584027778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k" hidden="1">#REF!</definedName>
    <definedName name="LATASize" hidden="1">[1]Equipment!$E$149:$DT$149</definedName>
    <definedName name="LATASizeInput" hidden="1">'[1]Capex Input'!$E$28:$DT$28</definedName>
    <definedName name="LegalOk" hidden="1">"No"</definedName>
    <definedName name="limcount" hidden="1">1</definedName>
    <definedName name="LinesPerFN" hidden="1">[1]Equipment!$E$15:$DT$15</definedName>
    <definedName name="LinesPerSubInput" hidden="1">[1]Model!$E$77:$DT$77</definedName>
    <definedName name="lll" hidden="1">{#N/A,#N/A,FALSE,"Statement of Ops";#N/A,#N/A,FALSE,"Trend Ops"}</definedName>
    <definedName name="llll" hidden="1">{#N/A,#N/A,FALSE,"Statement of Ops";#N/A,#N/A,FALSE,"Trend Ops"}</definedName>
    <definedName name="lllll" hidden="1">{#N/A,#N/A,FALSE,"Statement of Ops";#N/A,#N/A,FALSE,"Trend Ops"}</definedName>
    <definedName name="LNPPct" hidden="1">[1]Model!$E$120:$DT$120</definedName>
    <definedName name="LookupAppRTU" hidden="1">'[1]BTS Tables'!$B$30:$B$81</definedName>
    <definedName name="LookupCPS" hidden="1">'[1]BTS Tables'!$A$3:$A$27</definedName>
    <definedName name="LookupLines" hidden="1">'[1]BTS Tables'!$A$30:$A$81</definedName>
    <definedName name="LookupPlatRTU" hidden="1">'[1]BTS Tables'!$B$3:$B$27</definedName>
    <definedName name="MC16Data" hidden="1">[1]Equipment!$E$98:$DT$98</definedName>
    <definedName name="MC28Data" hidden="1">[1]Equipment!$E$95:$DT$95</definedName>
    <definedName name="md" hidden="1">[1]Model!$E$52</definedName>
    <definedName name="MGX" hidden="1">[1]Equipment!$E$161:$DT$161</definedName>
    <definedName name="MGXCapex" hidden="1">[1]Capex!$E$267:$DT$267</definedName>
    <definedName name="MGXLife" hidden="1">[1]Capex!$C$108</definedName>
    <definedName name="MGXMaint" hidden="1">[1]Capex!$E$292:$DT$292</definedName>
    <definedName name="MinPerLineLocal" hidden="1">[1]Model!$E$111:$DT$111</definedName>
    <definedName name="MinPerLineToll" hidden="1">[1]Model!$E$112:$DT$112</definedName>
    <definedName name="mv" hidden="1">[1]Model!$E$51</definedName>
    <definedName name="OnNetMaxInput" hidden="1">'[1]Capex Input'!$E$29:$DT$29</definedName>
    <definedName name="Operations" hidden="1">[1]Model!$A$269:$A$412</definedName>
    <definedName name="OSSInput" hidden="1">'[1]Capex Input'!$E$144:$DT$144</definedName>
    <definedName name="p" hidden="1">[1]Model!$E$53</definedName>
    <definedName name="PentrData" hidden="1">[1]Equipment!$E$4:$DT$4</definedName>
    <definedName name="PentrDataInput" hidden="1">[1]Model!$E$76:$DT$76</definedName>
    <definedName name="PentrVoice" hidden="1">[1]Equipment!$E$2:$DT$2</definedName>
    <definedName name="PentrVoiceInput" hidden="1">[1]Model!$E$75:$DT$75</definedName>
    <definedName name="PHSInput" hidden="1">'[1]Capex Input'!$E$35:$DT$35</definedName>
    <definedName name="PlatformInput" hidden="1">'[1]Capex Input'!$E$47:$DT$47</definedName>
    <definedName name="_xlnm.Print_Area">#REF!</definedName>
    <definedName name="_xlnm.Print_Titles">#REF!</definedName>
    <definedName name="Q1_Account">#REF!</definedName>
    <definedName name="Q1_Coding">#REF!</definedName>
    <definedName name="Q1_Data">#REF!</definedName>
    <definedName name="Q1_Period">#REF!</definedName>
    <definedName name="Q1_TP">#REF!</definedName>
    <definedName name="Q2_Account">#REF!</definedName>
    <definedName name="Q2_Coding">#REF!</definedName>
    <definedName name="Q2_Data">#REF!</definedName>
    <definedName name="Q2_Period">#REF!</definedName>
    <definedName name="Q2_TP">#REF!</definedName>
    <definedName name="Q3_Account">#REF!</definedName>
    <definedName name="Q3_Coding">#REF!</definedName>
    <definedName name="Q3_Data">#REF!</definedName>
    <definedName name="Q3_Period">#REF!</definedName>
    <definedName name="Q3_TP">#REF!</definedName>
    <definedName name="Q4_Account">#REF!</definedName>
    <definedName name="Q4_Coding">#REF!</definedName>
    <definedName name="Q4_Data">#REF!</definedName>
    <definedName name="Q4_Period">#REF!</definedName>
    <definedName name="Q4_TP">#REF!</definedName>
    <definedName name="QC用労働時間有">'[3]03FY 2nd Hafl Latest Estimate'!$A$1:$A$2638</definedName>
    <definedName name="QC用労働時間無">'[3]03FY 2nd Hafl Latest Estimate'!$A$1:$D$618</definedName>
    <definedName name="RedundantEdgeInput" hidden="1">'[1]Capex Input'!$E$51:$DT$51</definedName>
    <definedName name="RedundantGWInput" hidden="1">'[1]Capex Input'!$E$53:$DT$53</definedName>
    <definedName name="RedundNInput" hidden="1">'[1]Capex Input'!$E$58:$DT$58</definedName>
    <definedName name="Repdate1">#REF!</definedName>
    <definedName name="Repdate2">#REF!</definedName>
    <definedName name="RF" hidden="1">[1]Equipment!$E$92:$DT$92</definedName>
    <definedName name="RFData" hidden="1">[1]Equipment!$E$110:$DT$110</definedName>
    <definedName name="rngColData">'[4]RevCost Report'!$G$1:$Y$65536,'[4]RevCost Report'!$AA$1:$BV$65536</definedName>
    <definedName name="rngColHidden">'[4]RevCost Report'!$A$1:$B$65536,'[4]RevCost Report'!$D$1:$D$65536</definedName>
    <definedName name="rngHideMissingColumns">FALSE</definedName>
    <definedName name="rngHideMissingRows">FALSE</definedName>
    <definedName name="rngRowHidden">'[4]RevCost Report'!$A$4:$IV$5,'[4]RevCost Report'!$A$11:$IV$17</definedName>
    <definedName name="RoutesPerLATA" hidden="1">[1]Model!$E$114:$DT$114</definedName>
    <definedName name="Rpt_Month">[5]★ﾒﾆｭｰ!$I$31</definedName>
    <definedName name="Rpt_Year">[5]★ﾒﾆｭｰ!$I$30</definedName>
    <definedName name="SalvagePct" hidden="1">[1]Model!$E$38</definedName>
    <definedName name="SampleInput" hidden="1">'[1]Capex Input'!$E$34:$DT$34</definedName>
    <definedName name="SAPBEXhrIndnt" hidden="1">1</definedName>
    <definedName name="SAPBEXrevision" hidden="1">0</definedName>
    <definedName name="SAPBEXsysID" hidden="1">"UBP"</definedName>
    <definedName name="SAPBEXwbID" hidden="1">"46ZQZIX9P9TMSSGKMZCTXHTXP"</definedName>
    <definedName name="sdsdsd" hidden="1">{#N/A,#N/A,FALSE,"Statement of Ops";#N/A,#N/A,FALSE,"Trend Ops"}</definedName>
    <definedName name="Select_Inc_Exp">[6]Ref!$B$12</definedName>
    <definedName name="sencount" hidden="1">2</definedName>
    <definedName name="ServerHWCapex" hidden="1">[1]Capex!$E$268:$DT$268</definedName>
    <definedName name="ServerHWMaint" hidden="1">[1]Capex!$E$293:$DT$293</definedName>
    <definedName name="Services_and_Revenue" hidden="1">[1]Model!$A$126:$A$195</definedName>
    <definedName name="sfsdf" hidden="1">{#N/A,#N/A,FALSE,"Statement of Ops";#N/A,#N/A,FALSE,"Trend Ops"}</definedName>
    <definedName name="Sheetname_Instructions">[6]Ref!#REF!</definedName>
    <definedName name="show_base">[6]WaterFall_Prep!$U$1</definedName>
    <definedName name="show_newbase">[6]WaterFall_Prep!$W$1</definedName>
    <definedName name="show_pctchange">[6]WaterFall_Prep!$Y$1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PAPrint">[7]SPA!$A$1:$AD$48,[7]SPA!$A$90:$AD$137</definedName>
    <definedName name="subs1" hidden="1">{"Monthly Rev",#N/A,FALSE,"DetRev";"Monthly Tech",#N/A,FALSE,"DetTech";"Monthly CSR",#N/A,FALSE,"DetCSR";"Monthly Mrkt",#N/A,FALSE,"DetMrkt";"Monthly Online",#N/A,FALSE,"DetOnline";"Monthly AdSales",#N/A,FALSE,"DetAdSales";"Monthly LO",#N/A,FALSE,"DETLO";"Monthly Admin",#N/A,FALSE,"DetAdmin";"Monthly Prod",#N/A,FALSE,"DetProd";"Headcount Monthly",#N/A,FALSE,"Headcount"}</definedName>
    <definedName name="subtotal">[8]基礎ﾃﾞｰﾀ!#REF!</definedName>
    <definedName name="TA">[3]Sheet3!$A$1:$E$196</definedName>
    <definedName name="Trend_Start">[5]★ﾒﾆｭｰ!$L$31</definedName>
    <definedName name="uBR10Data" hidden="1">[1]Equipment!$E$100:$DT$100</definedName>
    <definedName name="uBR1OC12" hidden="1">[1]Equipment!$E$91:$DT$91</definedName>
    <definedName name="uBR1OC12Data" hidden="1">[1]Equipment!$E$109:$DT$109</definedName>
    <definedName name="uBR1OC3" hidden="1">[1]Equipment!$E$88:$DT$88</definedName>
    <definedName name="uBR1OC3Data" hidden="1">[1]Equipment!$E$106:$DT$106</definedName>
    <definedName name="uBR7Data" hidden="1">[1]Equipment!$E$103:$DT$103</definedName>
    <definedName name="uBRCapex" hidden="1">[1]Capex!$E$265:$DT$265</definedName>
    <definedName name="uBRLife" hidden="1">[1]Capex!$C$92</definedName>
    <definedName name="uBRMaint" hidden="1">[1]Capex!$E$290:$DT$290</definedName>
    <definedName name="UKPrint">[7]UK!$A$90:$AD$137,[7]UK!$A$1:$AD$48</definedName>
    <definedName name="uOne" hidden="1">[1]Equipment!$E$259:$DT$259</definedName>
    <definedName name="UPIBVPrint">[7]UPIBV!$A$1:$AD$48,[7]UPIBV!$A$90:$AD$137</definedName>
    <definedName name="UPIOPrint">[7]UPIO!$A$90:$AD$137,[7]UPIO!$A$1:$AD$48</definedName>
    <definedName name="UPVPPrint">[7]UPVP!$A$1:$AD$48,[7]UPVP!$A$90:$AD$137</definedName>
    <definedName name="USBandwidth" hidden="1">[1]Equipment!$E$54:$DT$54</definedName>
    <definedName name="USDBRL">[2]Summary!$C$86</definedName>
    <definedName name="USDJPY">[2]Summary!$C$87</definedName>
    <definedName name="UsefulLife" hidden="1">[1]Model!$E$37</definedName>
    <definedName name="USPerDataSub" hidden="1">[1]Equipment!$E$31:$DT$31</definedName>
    <definedName name="USPerDataSubInput" hidden="1">'[1]Capex Input'!$E$43:$DT$43</definedName>
    <definedName name="USPerDom" hidden="1">[1]Equipment!$E$47:$DT$47</definedName>
    <definedName name="USPerDS0" hidden="1">[1]Equipment!$E$25:$DT$25</definedName>
    <definedName name="USUtil" hidden="1">[1]Equipment!$E$61:$DT$61</definedName>
    <definedName name="USUtilData" hidden="1">[1]Equipment!$E$66:$DT$66</definedName>
    <definedName name="valuearea">[9]data!$AQ$26:$CS$864</definedName>
    <definedName name="variance_logic">#REF!</definedName>
    <definedName name="VerintFixed" hidden="1">[1]Equipment!$E$244:$DT$244</definedName>
    <definedName name="VerintVar" hidden="1">[1]Equipment!$E$250:$DT$250</definedName>
    <definedName name="VISM" hidden="1">[1]Equipment!$E$159:$DT$159</definedName>
    <definedName name="VoiceLines" hidden="1">[1]Model!$E$83:$DT$83</definedName>
    <definedName name="VoiceSubs" hidden="1">[1]Model!$E$81:$DT$81</definedName>
    <definedName name="WANBandwidth" hidden="1">[1]Equipment!$E$55:$DT$55</definedName>
    <definedName name="WANPerDataSub" hidden="1">[1]Equipment!$E$32:$DT$32</definedName>
    <definedName name="WANPerDS0" hidden="1">[1]Equipment!$E$26:$DT$26</definedName>
    <definedName name="WANUtil" hidden="1">[1]Equipment!$E$62:$DT$62</definedName>
    <definedName name="WANUtilData" hidden="1">[1]Equipment!$E$67:$DT$67</definedName>
    <definedName name="WhoIs" hidden="1">"Developed by Cisco Systems, August 2002"</definedName>
    <definedName name="WORKBOOK_SAPBEXq0003" comment="DP_4">"DP_4"</definedName>
    <definedName name="WORKBOOK_SAPBEXq0004" comment="DP_5">"DP_5"</definedName>
    <definedName name="WORKBOOK_SAPBEXq0009" comment="DP_6">"DP_6"</definedName>
    <definedName name="WORKBOOK_SAPBEXq0010" comment="DP_7">"DP_7"</definedName>
    <definedName name="WORKBOOK_SAPBEXq0011" comment="DP_8">"DP_8"</definedName>
    <definedName name="WORKBOOK_SAPBEXq0012" comment="DP_9">"DP_9"</definedName>
    <definedName name="WORKBOOK_SAPBEXq0015" comment="DP_10">"DP_10"</definedName>
    <definedName name="wrn.4Q._.Report." hidden="1">{"Summary OCF",#N/A,FALSE,"Summary OCF";"Rev &amp; OCF",#N/A,FALSE,"Revenue and OCF";"Exp",#N/A,FALSE,"Expenses";"Subs",#N/A,FALSE,"Subscribers"}</definedName>
    <definedName name="wrn.Budget._.Annual." hidden="1">{"Annual P&amp;L",#N/A,TRUE,"P&amp;L";"Annual Revenue 1",#N/A,TRUE,"DetRev";"Annual Revenue 2",#N/A,TRUE,"DetRev";"Annual Tech",#N/A,TRUE,"DetTech";"Annual Customer Service",#N/A,TRUE,"DetCSR";"Annual Marketing",#N/A,TRUE,"DetMrkt";"Annual Online",#N/A,TRUE,"DetOnline";"Annual Telephony",#N/A,TRUE,"DetTelephony";"Annual Adsales",#N/A,TRUE,"DetAdSales";"Annual LO",#N/A,TRUE,"DETLO";"Annual Administration",#N/A,TRUE,"DetAdmin";"Annual Product",#N/A,TRUE,"DetProd";"Annual Manpower",#N/A,TRUE,"Manpower Summary"}</definedName>
    <definedName name="wrn.Budget._.Trend." hidden="1">{"Trend P&amp;L",#N/A,TRUE,"P&amp;L";"Trend Revenue 1",#N/A,TRUE,"DetRev";"Trend Revenue 2",#N/A,TRUE,"DetRev";"Trend Tech",#N/A,TRUE,"DetTech";"Trend Customer Service",#N/A,TRUE,"DetCSR";"Trend Marketing",#N/A,TRUE,"DetMrkt";"Trend Online",#N/A,TRUE,"DetOnline";"Trend Telephony",#N/A,TRUE,"DetTelephony";"Trend Adsales",#N/A,TRUE,"DetAdSales";"Trend LO",#N/A,TRUE,"DETLO";"Trend Administration",#N/A,TRUE,"DetAdmin";"Trend Product",#N/A,TRUE,"DetProd"}</definedName>
    <definedName name="wrn.Cable._.Headcount._.Reports." hidden="1">{"Headcount Annual",#N/A,FALSE,"Headcount";"Headcount Monthly",#N/A,FALSE,"Headcount"}</definedName>
    <definedName name="wrn.Capital." hidden="1">{"Capital",#N/A,FALSE,"CapSum"}</definedName>
    <definedName name="wrn.Capital._.Report." hidden="1">{"Capital",#N/A,FALSE,"CapSum"}</definedName>
    <definedName name="wrn.Capital._.Reports." hidden="1">{"Capital Summary",#N/A,FALSE,"CapSum";"Other Capital",#N/A,FALSE,"CapDet";"Construction Report",#N/A,FALSE,"ConstRep"}</definedName>
    <definedName name="wrn.Capital._.Summary." hidden="1">{"Capital",#N/A,FALSE,"CapSum"}</definedName>
    <definedName name="wrn.Current._.Month." hidden="1">{"current month",#N/A,FALSE,"Capitalization"}</definedName>
    <definedName name="wrn.Digital._.Sub._.Detail." hidden="1">{"Digital Detail",#N/A,FALSE,"Digital"}</definedName>
    <definedName name="wrn.Financial._.Reports." hidden="1">{#N/A,#N/A,FALSE,"Statement of Ops";#N/A,#N/A,FALSE,"Trend Ops";#N/A,#N/A,FALSE,"Revenue";#N/A,#N/A,FALSE,"Trend Rev";#N/A,#N/A,FALSE,"Tech";#N/A,#N/A,FALSE,"Trend Tech";#N/A,#N/A,FALSE,"Cust Serv";#N/A,#N/A,FALSE,"Trend Cust Serv";#N/A,#N/A,FALSE,"Marketing";#N/A,#N/A,FALSE,"Trend Marketing";#N/A,#N/A,FALSE,"Online";#N/A,#N/A,FALSE,"Trend Online";#N/A,#N/A,FALSE,"Telephony";#N/A,#N/A,FALSE,"Trend Telephony";#N/A,#N/A,FALSE,"Ad Sales";#N/A,#N/A,FALSE,"Trend Ad Sales";#N/A,#N/A,FALSE,"LO";#N/A,#N/A,FALSE,"Trend LO";#N/A,#N/A,FALSE,"Admin";#N/A,#N/A,FALSE,"Trend Admin";#N/A,#N/A,FALSE,"Product";#N/A,#N/A,FALSE,"Trend Product"}</definedName>
    <definedName name="wrn.Monthly._.Financial._.Reports." hidden="1">{"Monthly Rev",#N/A,FALSE,"DetRev";"Monthly Tech",#N/A,FALSE,"DetTech";"Monthly CSR",#N/A,FALSE,"DetCSR";"Monthly Mrkt",#N/A,FALSE,"DetMrkt";"Monthly Online",#N/A,FALSE,"DetOnline";"Monthly AdSales",#N/A,FALSE,"DetAdSales";"Monthly LO",#N/A,FALSE,"DETLO";"Monthly Admin",#N/A,FALSE,"DetAdmin";"Monthly Prod",#N/A,FALSE,"DetProd";"Headcount Monthly",#N/A,FALSE,"Headcount"}</definedName>
    <definedName name="wrn.No._.Ad._.Sales._.Reports." hidden="1">{"Annual P&amp;L NoAd",#N/A,FALSE,"P&amp;L No Ad Sales";"Annual Rev NoAd",#N/A,FALSE,"DetRev No Ad Sales";"Monthly P&amp;L NoAd",#N/A,FALSE,"P&amp;L No Ad Sales";"Monthly Rev NoAd",#N/A,FALSE,"DetRev No Ad Sales"}</definedName>
    <definedName name="wrn.No._.AdSales._.Annual." hidden="1">{"P&amp;L No Ads Annual",#N/A,TRUE,"P&amp;L No Ad Sales";"Revenue No Ads Annual",#N/A,TRUE,"DetRev No Ad Sales"}</definedName>
    <definedName name="wrn.No._.AdSales._.Financial." hidden="1">{"Annual P&amp;L No Ads",#N/A,TRUE,"Trend No AdSales";"Monthly P&amp;L No Ads",#N/A,TRUE,"Trend No AdSales";"Annual Rev no Ads",#N/A,TRUE,"Trend Rev No AdSales";"Monthly Rev No Ads",#N/A,TRUE,"Trend Rev No AdSales"}</definedName>
    <definedName name="wrn.No._.Adsales._.Reports." hidden="1">{"Trend P&amp;L No Adsales",#N/A,TRUE,"P&amp;L No Ad Sales";"Annual P&amp;L No Adsales",#N/A,TRUE,"P&amp;L No Ad Sales";"Trend Revenue no Adsales",#N/A,TRUE,"DetRev No AdSales";"Annual Revenue No AdSales",#N/A,TRUE,"DetRev No AdSales"}</definedName>
    <definedName name="wrn.No._.AdSales._.Trend." hidden="1">{"P&amp;L No Ads Trend",#N/A,TRUE,"P&amp;L No Ad Sales";"Revenue No Ads Trend",#N/A,TRUE,"DetRev No Ad Sales"}</definedName>
    <definedName name="wrn.Online._.Headcount._.Reports." hidden="1">{"Online Headcount Annual",#N/A,FALSE,"Headcount";"Online Headcount Monthly",#N/A,FALSE,"Headcount"}</definedName>
    <definedName name="wrn.Online._.Sub._.Detail." hidden="1">{"Online Detail",#N/A,FALSE,"OnLine"}</definedName>
    <definedName name="wrn.Pay._.Sub._.Detail." hidden="1">{"Pay Detail",#N/A,FALSE,"Pay"}</definedName>
    <definedName name="wrn.Trend." hidden="1">{"trend",#N/A,TRUE,"Capitalization"}</definedName>
    <definedName name="wrn.Trend._.Reports." hidden="1">{"P&amp;L Trend",#N/A,TRUE,"P&amp;L";"Revenue Trend",#N/A,TRUE,"DetRev";"Tech Trend",#N/A,TRUE,"DetTech";"Customer Service Trend",#N/A,TRUE,"DetCSR";"Marketing Trend",#N/A,TRUE,"DetMrkt";"Online Trend",#N/A,TRUE,"DetOnline";"Telephony Trend",#N/A,TRUE,"DetTelephony";"Adsales Trend",#N/A,TRUE,"DetAdSales";"LO Trend",#N/A,TRUE,"DETLO";"Admin Trend",#N/A,TRUE,"DetAdmin";"Product Trend",#N/A,TRUE,"DetProd"}</definedName>
    <definedName name="wwwwwwwwwwwww" hidden="1">{#N/A,#N/A,FALSE,"Statement of Ops";#N/A,#N/A,FALSE,"Trend Ops"}</definedName>
    <definedName name="xxxx" hidden="1">{"P&amp;L Annual",#N/A,FALSE,"P&amp;L";"Rev Annual",#N/A,FALSE,"DetRev";"Tech Annual",#N/A,FALSE,"DetTech";"CSR Annual",#N/A,FALSE,"DetCSR";"Marketing Annual",#N/A,FALSE,"DetMrkt";"Ad Sales Annual",#N/A,FALSE,"DetAdSales";"LO Annual",#N/A,FALSE,"DETLO";"Admin Annual",#N/A,FALSE,"DetAdmin";"Product Annual",#N/A,FALSE,"DetProd"}</definedName>
    <definedName name="YTDcomrange1">#REF!</definedName>
    <definedName name="YTDcomrange2">#REF!</definedName>
    <definedName name="Z_FB9FEF07_E23D_4093_B787_DA7C6E65880F_.wvu.PrintTitles" hidden="1">'[10]Inputs - Debt Roll'!$A$1:$F$65536,'[10]Inputs - Debt Roll'!$A$1:$IV$9</definedName>
    <definedName name="ｸﾞﾚｰ">'[11]ﾃﾞｰﾀ加工(MTD)'!$EY$4</definedName>
    <definedName name="ｸﾞﾚｰY">'[11]ﾃﾞｰﾀ加工(YTD)'!$EY$4</definedName>
    <definedName name="チケット別日別販売実績_DAT">#REF!</definedName>
    <definedName name="ベニューリスト">#REF!</definedName>
    <definedName name="元DATA">'[3]03FY 2nd Hafl Latest Estimate'!$B$2:$J$1450</definedName>
    <definedName name="利益処分計算">'[3]03FY 2nd Hafl Latest Estimate'!#REF!</definedName>
    <definedName name="勘定科目">#REF!</definedName>
    <definedName name="印刷01">'[3]03FY 2nd Hafl Latest Estimate'!$B$4:$Z$399</definedName>
    <definedName name="印刷02">'[3]03FY 2nd Hafl Latest Estimate'!$B$400:$Z$474</definedName>
    <definedName name="反転">'[11]ﾃﾞｰﾀ加工(MTD)'!$FC$4</definedName>
    <definedName name="反転Y">'[11]ﾃﾞｰﾀ加工(YTD)'!$FC$4</definedName>
    <definedName name="基本項目_FLAG">[8]基礎ﾃﾞｰﾀ!#REF!</definedName>
    <definedName name="消税率">#REF!</definedName>
  </definedNames>
  <calcPr calcId="191029" calcMode="manual" iterate="1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26" i="16" l="1"/>
  <c r="L26" i="16"/>
  <c r="K26" i="16"/>
  <c r="M25" i="16"/>
  <c r="L25" i="16"/>
  <c r="K25" i="16"/>
  <c r="M24" i="16"/>
  <c r="L24" i="16"/>
  <c r="K24" i="16"/>
  <c r="M23" i="16"/>
  <c r="L23" i="16"/>
  <c r="K23" i="16"/>
  <c r="J26" i="16"/>
  <c r="J25" i="16"/>
  <c r="J24" i="16"/>
  <c r="J23" i="16"/>
  <c r="H68" i="6"/>
  <c r="H115" i="6"/>
  <c r="H114" i="6"/>
  <c r="H109" i="6"/>
  <c r="K20" i="16"/>
  <c r="K19" i="16"/>
  <c r="M18" i="16"/>
  <c r="L18" i="16"/>
  <c r="K18" i="16"/>
  <c r="M17" i="16"/>
  <c r="L17" i="16"/>
  <c r="K17" i="16"/>
  <c r="J20" i="16"/>
  <c r="J19" i="16"/>
  <c r="J18" i="16"/>
  <c r="J17" i="16"/>
  <c r="J8" i="16"/>
  <c r="J12" i="16"/>
  <c r="J7" i="16"/>
  <c r="J6" i="16"/>
  <c r="J5" i="16"/>
  <c r="J4" i="16"/>
  <c r="C28" i="16"/>
  <c r="K215" i="11"/>
  <c r="J215" i="11"/>
  <c r="D20" i="16"/>
  <c r="D19" i="16"/>
  <c r="D18" i="16"/>
  <c r="D17" i="16"/>
  <c r="C27" i="16"/>
  <c r="C25" i="16"/>
  <c r="C24" i="16"/>
  <c r="C21" i="16"/>
  <c r="C23" i="16" s="1"/>
  <c r="C19" i="16"/>
  <c r="C18" i="16"/>
  <c r="C17" i="16"/>
  <c r="F6" i="16"/>
  <c r="E6" i="16"/>
  <c r="D6" i="16"/>
  <c r="F5" i="16"/>
  <c r="E5" i="16"/>
  <c r="D5" i="16"/>
  <c r="C8" i="16"/>
  <c r="C6" i="16"/>
  <c r="C5" i="16"/>
  <c r="D945" i="4"/>
  <c r="C945" i="4"/>
  <c r="AD1695" i="4"/>
  <c r="AC1695" i="4" s="1"/>
  <c r="AE1696" i="4" l="1"/>
  <c r="AD1696" i="4" s="1"/>
  <c r="AC1696" i="4" s="1"/>
  <c r="AE1697" i="4"/>
  <c r="AD1697" i="4" s="1"/>
  <c r="AC1697" i="4" s="1"/>
  <c r="AE1692" i="4"/>
  <c r="AD1692" i="4"/>
  <c r="G1518" i="4" l="1"/>
  <c r="D1512" i="4"/>
  <c r="E1512" i="4" s="1"/>
  <c r="E1527" i="4"/>
  <c r="D1527" i="4"/>
  <c r="C1529" i="4"/>
  <c r="C1527" i="4"/>
  <c r="C1509" i="4" s="1"/>
  <c r="C1513" i="4" s="1"/>
  <c r="E1801" i="4"/>
  <c r="E1799" i="4"/>
  <c r="J104" i="11"/>
  <c r="K104" i="11"/>
  <c r="AE67" i="12"/>
  <c r="M115" i="1"/>
  <c r="I1819" i="4"/>
  <c r="H1819" i="4"/>
  <c r="G1819" i="4"/>
  <c r="P167" i="1"/>
  <c r="Q167" i="1" s="1"/>
  <c r="R167" i="1" s="1"/>
  <c r="S167" i="1" s="1"/>
  <c r="I1816" i="4"/>
  <c r="I1814" i="4" s="1"/>
  <c r="H1816" i="4"/>
  <c r="H1814" i="4" s="1"/>
  <c r="G1816" i="4"/>
  <c r="G1814" i="4" s="1"/>
  <c r="C1530" i="4" l="1"/>
  <c r="G1512" i="4"/>
  <c r="C1521" i="4"/>
  <c r="C1515" i="4"/>
  <c r="C1519" i="4" s="1"/>
  <c r="C1525" i="4" s="1"/>
  <c r="C1524" i="4" s="1"/>
  <c r="H1807" i="4"/>
  <c r="I1807" i="4" s="1"/>
  <c r="L155" i="1" l="1"/>
  <c r="E1808" i="4"/>
  <c r="E1824" i="4" s="1"/>
  <c r="D1808" i="4"/>
  <c r="D1824" i="4" s="1"/>
  <c r="C1808" i="4"/>
  <c r="C1824" i="4" s="1"/>
  <c r="D1807" i="4"/>
  <c r="E1807" i="4" s="1"/>
  <c r="BJ163" i="12"/>
  <c r="BI163" i="12"/>
  <c r="BH163" i="12"/>
  <c r="BG163" i="12"/>
  <c r="BF163" i="12"/>
  <c r="BE163" i="12"/>
  <c r="BD163" i="12"/>
  <c r="BC163" i="12"/>
  <c r="BB163" i="12"/>
  <c r="BA163" i="12"/>
  <c r="AZ163" i="12"/>
  <c r="AY163" i="12"/>
  <c r="O114" i="1"/>
  <c r="P114" i="1" s="1"/>
  <c r="N115" i="1"/>
  <c r="O115" i="1" s="1"/>
  <c r="P115" i="1" s="1"/>
  <c r="Q115" i="1" s="1"/>
  <c r="R115" i="1" s="1"/>
  <c r="S115" i="1" s="1"/>
  <c r="O161" i="1"/>
  <c r="E2248" i="3"/>
  <c r="E2239" i="3"/>
  <c r="D2242" i="3"/>
  <c r="D2240" i="3"/>
  <c r="D2243" i="3"/>
  <c r="C2249" i="3"/>
  <c r="D2248" i="3"/>
  <c r="C2245" i="3"/>
  <c r="C2246" i="3" s="1"/>
  <c r="C2243" i="3"/>
  <c r="C2240" i="3"/>
  <c r="AD73" i="12"/>
  <c r="AC73" i="12"/>
  <c r="BE73" i="12" s="1"/>
  <c r="AB73" i="12"/>
  <c r="BD73" i="12" s="1"/>
  <c r="AA73" i="12"/>
  <c r="Z73" i="12"/>
  <c r="BF73" i="12" s="1"/>
  <c r="AH70" i="12"/>
  <c r="D2249" i="3" l="1"/>
  <c r="D2245" i="3"/>
  <c r="C2251" i="3"/>
  <c r="C2252" i="3" s="1"/>
  <c r="BC73" i="12"/>
  <c r="D2246" i="3" l="1"/>
  <c r="E2245" i="3"/>
  <c r="D2251" i="3"/>
  <c r="D2252" i="3" s="1"/>
  <c r="J83" i="11"/>
  <c r="K83" i="11"/>
  <c r="X71" i="12"/>
  <c r="Y71" i="12"/>
  <c r="Z71" i="12"/>
  <c r="AA71" i="12"/>
  <c r="AB71" i="12"/>
  <c r="AC71" i="12"/>
  <c r="AD71" i="12"/>
  <c r="W31" i="12"/>
  <c r="X31" i="12"/>
  <c r="Y31" i="12"/>
  <c r="Z31" i="12"/>
  <c r="BG7" i="12"/>
  <c r="AG31" i="12"/>
  <c r="AF31" i="12"/>
  <c r="AE31" i="12"/>
  <c r="AC31" i="12"/>
  <c r="AB31" i="12"/>
  <c r="AA31" i="12"/>
  <c r="AD31" i="12"/>
  <c r="L29" i="1"/>
  <c r="L28" i="1"/>
  <c r="L27" i="1"/>
  <c r="K28" i="1"/>
  <c r="J28" i="1"/>
  <c r="L10" i="1"/>
  <c r="L91" i="1" l="1"/>
  <c r="L127" i="1"/>
  <c r="L99" i="1"/>
  <c r="L100" i="1" s="1"/>
  <c r="L98" i="1"/>
  <c r="L101" i="1" s="1"/>
  <c r="L103" i="1" s="1"/>
  <c r="L83" i="1"/>
  <c r="K212" i="11"/>
  <c r="K211" i="11"/>
  <c r="K213" i="11" s="1"/>
  <c r="K176" i="11"/>
  <c r="K170" i="11"/>
  <c r="K203" i="11"/>
  <c r="AE203" i="12"/>
  <c r="AE194" i="12"/>
  <c r="AE189" i="12"/>
  <c r="AE179" i="12"/>
  <c r="AE160" i="12"/>
  <c r="AE161" i="12" s="1"/>
  <c r="AE157" i="12"/>
  <c r="AE93" i="12"/>
  <c r="K78" i="11"/>
  <c r="K138" i="11"/>
  <c r="J138" i="11"/>
  <c r="J141" i="11" s="1"/>
  <c r="K141" i="11" l="1"/>
  <c r="L159" i="1"/>
  <c r="L158" i="1" s="1"/>
  <c r="K22" i="11"/>
  <c r="AD10" i="12"/>
  <c r="AC10" i="12"/>
  <c r="AB10" i="12"/>
  <c r="AA10" i="12"/>
  <c r="L140" i="1" l="1"/>
  <c r="J243" i="19"/>
  <c r="J244" i="19"/>
  <c r="J245" i="19"/>
  <c r="J247" i="19"/>
  <c r="N179" i="19"/>
  <c r="N178" i="19"/>
  <c r="M179" i="19"/>
  <c r="M178" i="19"/>
  <c r="AD21" i="12" l="1"/>
  <c r="AD29" i="12" s="1"/>
  <c r="F1801" i="4"/>
  <c r="F1799" i="4"/>
  <c r="R135" i="19"/>
  <c r="R134" i="19"/>
  <c r="R133" i="19"/>
  <c r="F1723" i="4"/>
  <c r="J26" i="19" l="1"/>
  <c r="J24" i="19"/>
  <c r="J20" i="19"/>
  <c r="J19" i="19"/>
  <c r="J15" i="19"/>
  <c r="J14" i="19"/>
  <c r="J11" i="19"/>
  <c r="J10" i="19"/>
  <c r="J4" i="19"/>
  <c r="AD294" i="12"/>
  <c r="AD305" i="12" s="1"/>
  <c r="AD341" i="12"/>
  <c r="AD337" i="12"/>
  <c r="AD330" i="12"/>
  <c r="AD331" i="12" s="1"/>
  <c r="J250" i="19" s="1"/>
  <c r="AD334" i="12"/>
  <c r="AD320" i="12"/>
  <c r="AD315" i="12"/>
  <c r="AD299" i="12"/>
  <c r="AD312" i="12"/>
  <c r="AD313" i="12" s="1"/>
  <c r="AD289" i="12" s="1"/>
  <c r="F1724" i="4" s="1"/>
  <c r="AD310" i="12"/>
  <c r="AE310" i="12" s="1"/>
  <c r="AD284" i="12"/>
  <c r="AD269" i="12" s="1"/>
  <c r="AD274" i="12"/>
  <c r="AD273" i="12"/>
  <c r="AD272" i="12"/>
  <c r="AD267" i="12"/>
  <c r="AD266" i="12"/>
  <c r="AD265" i="12"/>
  <c r="AD262" i="12"/>
  <c r="AD261" i="12"/>
  <c r="AD260" i="12"/>
  <c r="AD254" i="12"/>
  <c r="AD238" i="12"/>
  <c r="R132" i="19" s="1"/>
  <c r="AD233" i="12"/>
  <c r="AD222" i="12"/>
  <c r="AD213" i="12"/>
  <c r="AD211" i="12"/>
  <c r="AD209" i="12"/>
  <c r="AD208" i="12"/>
  <c r="AD207" i="12"/>
  <c r="AD201" i="12"/>
  <c r="AD191" i="12"/>
  <c r="AD190" i="12" s="1"/>
  <c r="AD163" i="12"/>
  <c r="AD165" i="12" s="1"/>
  <c r="AD186" i="12" s="1"/>
  <c r="AD161" i="12"/>
  <c r="BF160" i="12"/>
  <c r="BF159" i="12"/>
  <c r="G1785" i="4" s="1"/>
  <c r="BF115" i="12"/>
  <c r="BF10" i="12"/>
  <c r="BF9" i="12"/>
  <c r="BF7" i="12"/>
  <c r="BF5" i="12"/>
  <c r="BF4" i="12"/>
  <c r="AD111" i="12"/>
  <c r="AD114" i="12"/>
  <c r="AD109" i="12"/>
  <c r="AD106" i="12"/>
  <c r="AD89" i="12"/>
  <c r="AD90" i="12" s="1"/>
  <c r="AD87" i="12"/>
  <c r="AD30" i="12" l="1"/>
  <c r="AD32" i="12" s="1"/>
  <c r="AD259" i="12"/>
  <c r="AD243" i="12"/>
  <c r="J9" i="19"/>
  <c r="AD167" i="12"/>
  <c r="J23" i="19" s="1"/>
  <c r="J21" i="19"/>
  <c r="AD176" i="12"/>
  <c r="AD178" i="12" s="1"/>
  <c r="AD250" i="12"/>
  <c r="AD287" i="12"/>
  <c r="F1725" i="4" s="1"/>
  <c r="AD180" i="12"/>
  <c r="AD251" i="12"/>
  <c r="AD327" i="12"/>
  <c r="AD252" i="12"/>
  <c r="J25" i="19"/>
  <c r="AD271" i="12"/>
  <c r="J5" i="19"/>
  <c r="AD92" i="12"/>
  <c r="AD95" i="12" s="1"/>
  <c r="AD33" i="12" l="1"/>
  <c r="AD199" i="12"/>
  <c r="AD200" i="12" s="1"/>
  <c r="AD195" i="12" s="1"/>
  <c r="AE243" i="12"/>
  <c r="AE277" i="12"/>
  <c r="AE281" i="12"/>
  <c r="AD246" i="12"/>
  <c r="AD247" i="12" s="1"/>
  <c r="AD338" i="12"/>
  <c r="AD328" i="12"/>
  <c r="AD183" i="12"/>
  <c r="AD80" i="12"/>
  <c r="AD78" i="12" s="1"/>
  <c r="AD75" i="12"/>
  <c r="AD72" i="12"/>
  <c r="J17" i="19" s="1"/>
  <c r="J16" i="19" s="1"/>
  <c r="AD59" i="12"/>
  <c r="AD62" i="12" s="1"/>
  <c r="AD43" i="12"/>
  <c r="AD38" i="12"/>
  <c r="AD27" i="12"/>
  <c r="AD25" i="12"/>
  <c r="AD16" i="12"/>
  <c r="AD13" i="12"/>
  <c r="J7" i="19" s="1"/>
  <c r="AD8" i="12"/>
  <c r="BF8" i="12" s="1"/>
  <c r="AD24" i="12"/>
  <c r="AD47" i="12" s="1"/>
  <c r="AD48" i="12" s="1"/>
  <c r="AD22" i="12"/>
  <c r="AD158" i="12"/>
  <c r="BF158" i="12" s="1"/>
  <c r="AD157" i="12"/>
  <c r="B14" i="13"/>
  <c r="B20" i="13" s="1"/>
  <c r="B13" i="13"/>
  <c r="B19" i="13" s="1"/>
  <c r="B12" i="13"/>
  <c r="B18" i="13" s="1"/>
  <c r="B11" i="13"/>
  <c r="B17" i="13" s="1"/>
  <c r="E4" i="13"/>
  <c r="F4" i="13" s="1"/>
  <c r="G4" i="13" s="1"/>
  <c r="M235" i="11"/>
  <c r="L236" i="11"/>
  <c r="L237" i="11" s="1"/>
  <c r="K237" i="11"/>
  <c r="I241" i="11"/>
  <c r="J241" i="11" s="1"/>
  <c r="J240" i="11"/>
  <c r="K240" i="11" s="1"/>
  <c r="H242" i="11"/>
  <c r="G242" i="11"/>
  <c r="R233" i="11"/>
  <c r="Q233" i="11"/>
  <c r="P233" i="11"/>
  <c r="O233" i="11"/>
  <c r="N233" i="11"/>
  <c r="M233" i="11"/>
  <c r="L233" i="11"/>
  <c r="K233" i="11"/>
  <c r="K236" i="11" s="1"/>
  <c r="J233" i="11"/>
  <c r="J236" i="11" s="1"/>
  <c r="J237" i="11" s="1"/>
  <c r="I233" i="11"/>
  <c r="H233" i="11"/>
  <c r="G233" i="11"/>
  <c r="B247" i="11"/>
  <c r="B246" i="11"/>
  <c r="B245" i="11"/>
  <c r="J6" i="19" l="1"/>
  <c r="M236" i="11"/>
  <c r="M237" i="11" s="1"/>
  <c r="AD39" i="12"/>
  <c r="AD196" i="12"/>
  <c r="AD79" i="12"/>
  <c r="AD107" i="12"/>
  <c r="AD112" i="12"/>
  <c r="AD98" i="12"/>
  <c r="AD103" i="12" s="1"/>
  <c r="AD60" i="12"/>
  <c r="AD44" i="12"/>
  <c r="AD45" i="12" s="1"/>
  <c r="N235" i="11"/>
  <c r="K241" i="11"/>
  <c r="K242" i="11" s="1"/>
  <c r="J246" i="11"/>
  <c r="L240" i="11"/>
  <c r="I242" i="11"/>
  <c r="J242" i="11"/>
  <c r="J245" i="11"/>
  <c r="N236" i="11" l="1"/>
  <c r="N237" i="11" s="1"/>
  <c r="O235" i="11"/>
  <c r="J247" i="11"/>
  <c r="G30" i="14" s="1"/>
  <c r="M240" i="11"/>
  <c r="D1747" i="4"/>
  <c r="E1747" i="4" s="1"/>
  <c r="F1747" i="4" s="1"/>
  <c r="G1747" i="4" s="1"/>
  <c r="H1747" i="4" s="1"/>
  <c r="I1747" i="4" s="1"/>
  <c r="O236" i="11" l="1"/>
  <c r="O237" i="11" s="1"/>
  <c r="P235" i="11"/>
  <c r="N240" i="11"/>
  <c r="N1725" i="4"/>
  <c r="M1725" i="4"/>
  <c r="L1725" i="4"/>
  <c r="J1725" i="4"/>
  <c r="I1725" i="4"/>
  <c r="H1725" i="4"/>
  <c r="O1723" i="4"/>
  <c r="N1723" i="4"/>
  <c r="M1723" i="4"/>
  <c r="L1723" i="4"/>
  <c r="K1723" i="4"/>
  <c r="J1723" i="4"/>
  <c r="I1723" i="4"/>
  <c r="H1723" i="4"/>
  <c r="G1723" i="4"/>
  <c r="E1723" i="4"/>
  <c r="D1723" i="4"/>
  <c r="C1723" i="4"/>
  <c r="P236" i="11" l="1"/>
  <c r="P237" i="11" s="1"/>
  <c r="Q235" i="11"/>
  <c r="O240" i="11"/>
  <c r="AB284" i="12"/>
  <c r="Z284" i="12"/>
  <c r="Y284" i="12"/>
  <c r="X284" i="12"/>
  <c r="W284" i="12"/>
  <c r="AA284" i="12"/>
  <c r="AL93" i="12"/>
  <c r="AK93" i="12"/>
  <c r="AK312" i="12" s="1"/>
  <c r="AJ93" i="12"/>
  <c r="AJ312" i="12" s="1"/>
  <c r="AI93" i="12"/>
  <c r="AI312" i="12" s="1"/>
  <c r="F157" i="6"/>
  <c r="I158" i="6"/>
  <c r="AC310" i="12"/>
  <c r="AB310" i="12"/>
  <c r="AA310" i="12"/>
  <c r="Z310" i="12"/>
  <c r="Y310" i="12"/>
  <c r="X310" i="12"/>
  <c r="W310" i="12"/>
  <c r="AB294" i="12"/>
  <c r="AB305" i="12" s="1"/>
  <c r="AA294" i="12"/>
  <c r="AA305" i="12" s="1"/>
  <c r="Z294" i="12"/>
  <c r="Z305" i="12" s="1"/>
  <c r="AD306" i="12" s="1"/>
  <c r="Y294" i="12"/>
  <c r="Y305" i="12" s="1"/>
  <c r="X294" i="12"/>
  <c r="X305" i="12" s="1"/>
  <c r="W294" i="12"/>
  <c r="W305" i="12" s="1"/>
  <c r="V294" i="12"/>
  <c r="E150" i="6"/>
  <c r="F150" i="6"/>
  <c r="G150" i="6"/>
  <c r="H150" i="6" s="1"/>
  <c r="G157" i="6"/>
  <c r="F153" i="6"/>
  <c r="G153" i="6"/>
  <c r="X315" i="12"/>
  <c r="X312" i="12"/>
  <c r="X313" i="12" s="1"/>
  <c r="X289" i="12" s="1"/>
  <c r="B316" i="12"/>
  <c r="W315" i="12"/>
  <c r="W318" i="12" s="1"/>
  <c r="Z315" i="12"/>
  <c r="G159" i="6" s="1"/>
  <c r="AA315" i="12"/>
  <c r="W312" i="12"/>
  <c r="W313" i="12" s="1"/>
  <c r="W289" i="12" s="1"/>
  <c r="Z312" i="12"/>
  <c r="Z313" i="12" s="1"/>
  <c r="Z289" i="12" s="1"/>
  <c r="AA312" i="12"/>
  <c r="AA313" i="12" s="1"/>
  <c r="AA289" i="12" s="1"/>
  <c r="C1724" i="4" s="1"/>
  <c r="Y312" i="12"/>
  <c r="Y313" i="12" s="1"/>
  <c r="Y289" i="12" s="1"/>
  <c r="AB312" i="12"/>
  <c r="AB313" i="12" s="1"/>
  <c r="AB289" i="12" s="1"/>
  <c r="D1724" i="4" s="1"/>
  <c r="Y315" i="12"/>
  <c r="F159" i="6" s="1"/>
  <c r="AB315" i="12"/>
  <c r="AC315" i="12"/>
  <c r="AD318" i="12" s="1"/>
  <c r="P1692" i="4"/>
  <c r="O1692" i="4"/>
  <c r="N1692" i="4"/>
  <c r="M1692" i="4"/>
  <c r="L1692" i="4"/>
  <c r="K1692" i="4"/>
  <c r="J1692" i="4"/>
  <c r="I1692" i="4"/>
  <c r="H1692" i="4"/>
  <c r="G1692" i="4"/>
  <c r="F1692" i="4"/>
  <c r="E1692" i="4"/>
  <c r="AB1697" i="4"/>
  <c r="AA1697" i="4" s="1"/>
  <c r="Z1697" i="4" s="1"/>
  <c r="Y1697" i="4" s="1"/>
  <c r="X1697" i="4" s="1"/>
  <c r="W1697" i="4" s="1"/>
  <c r="V1697" i="4" s="1"/>
  <c r="U1697" i="4" s="1"/>
  <c r="T1697" i="4" s="1"/>
  <c r="S1697" i="4" s="1"/>
  <c r="R1697" i="4" s="1"/>
  <c r="Q1697" i="4" s="1"/>
  <c r="P1697" i="4" s="1"/>
  <c r="O1697" i="4" s="1"/>
  <c r="N1697" i="4" s="1"/>
  <c r="M1697" i="4" s="1"/>
  <c r="L1697" i="4" s="1"/>
  <c r="K1697" i="4" s="1"/>
  <c r="J1697" i="4" s="1"/>
  <c r="I1697" i="4" s="1"/>
  <c r="H1697" i="4" s="1"/>
  <c r="G1697" i="4" s="1"/>
  <c r="F1697" i="4" s="1"/>
  <c r="E1697" i="4" s="1"/>
  <c r="AB1696" i="4"/>
  <c r="AA1696" i="4" s="1"/>
  <c r="Z1696" i="4" s="1"/>
  <c r="Y1696" i="4" s="1"/>
  <c r="X1696" i="4" s="1"/>
  <c r="W1696" i="4" s="1"/>
  <c r="V1696" i="4" s="1"/>
  <c r="U1696" i="4" s="1"/>
  <c r="T1696" i="4" s="1"/>
  <c r="S1696" i="4" s="1"/>
  <c r="R1696" i="4" s="1"/>
  <c r="Q1696" i="4" s="1"/>
  <c r="P1696" i="4" s="1"/>
  <c r="O1696" i="4" s="1"/>
  <c r="N1696" i="4" s="1"/>
  <c r="M1696" i="4" s="1"/>
  <c r="L1696" i="4" s="1"/>
  <c r="K1696" i="4" s="1"/>
  <c r="J1696" i="4" s="1"/>
  <c r="I1696" i="4" s="1"/>
  <c r="H1696" i="4" s="1"/>
  <c r="G1696" i="4" s="1"/>
  <c r="F1696" i="4" s="1"/>
  <c r="E1696" i="4" s="1"/>
  <c r="AB1695" i="4"/>
  <c r="AA1695" i="4" s="1"/>
  <c r="Z1695" i="4" s="1"/>
  <c r="Y1695" i="4" s="1"/>
  <c r="X1695" i="4" s="1"/>
  <c r="W1695" i="4" s="1"/>
  <c r="V1695" i="4" s="1"/>
  <c r="U1695" i="4" s="1"/>
  <c r="T1695" i="4" s="1"/>
  <c r="S1695" i="4" s="1"/>
  <c r="R1695" i="4" s="1"/>
  <c r="Q1695" i="4" s="1"/>
  <c r="P1695" i="4" s="1"/>
  <c r="O1695" i="4" s="1"/>
  <c r="N1695" i="4" s="1"/>
  <c r="M1695" i="4" s="1"/>
  <c r="L1695" i="4" s="1"/>
  <c r="K1695" i="4" s="1"/>
  <c r="J1695" i="4" s="1"/>
  <c r="I1695" i="4" s="1"/>
  <c r="H1695" i="4" s="1"/>
  <c r="G1695" i="4" s="1"/>
  <c r="F1695" i="4" s="1"/>
  <c r="E1695" i="4" s="1"/>
  <c r="I150" i="6" l="1"/>
  <c r="J150" i="6" s="1"/>
  <c r="K150" i="6" s="1"/>
  <c r="L150" i="6" s="1"/>
  <c r="M150" i="6" s="1"/>
  <c r="N150" i="6" s="1"/>
  <c r="O150" i="6" s="1"/>
  <c r="AC318" i="12"/>
  <c r="R235" i="11"/>
  <c r="R236" i="11" s="1"/>
  <c r="R237" i="11" s="1"/>
  <c r="Q236" i="11"/>
  <c r="Q237" i="11" s="1"/>
  <c r="P240" i="11"/>
  <c r="F158" i="6"/>
  <c r="J158" i="6"/>
  <c r="Z318" i="12"/>
  <c r="Y318" i="12"/>
  <c r="AB318" i="12"/>
  <c r="AH203" i="12"/>
  <c r="G158" i="6"/>
  <c r="AA318" i="12"/>
  <c r="K26" i="19"/>
  <c r="G151" i="6"/>
  <c r="G154" i="6"/>
  <c r="H154" i="6" s="1"/>
  <c r="I154" i="6" s="1"/>
  <c r="J154" i="6" s="1"/>
  <c r="K154" i="6" s="1"/>
  <c r="L154" i="6" s="1"/>
  <c r="M154" i="6" s="1"/>
  <c r="N154" i="6" s="1"/>
  <c r="O154" i="6" s="1"/>
  <c r="O153" i="6" s="1"/>
  <c r="F154" i="6"/>
  <c r="X318" i="12"/>
  <c r="AL203" i="12" l="1"/>
  <c r="Q240" i="11"/>
  <c r="K158" i="6"/>
  <c r="L153" i="6"/>
  <c r="M153" i="6"/>
  <c r="K153" i="6"/>
  <c r="AL217" i="12"/>
  <c r="AL294" i="12"/>
  <c r="AH294" i="12"/>
  <c r="AI203" i="12"/>
  <c r="J153" i="6"/>
  <c r="I153" i="6"/>
  <c r="N153" i="6"/>
  <c r="H153" i="6"/>
  <c r="G155" i="6"/>
  <c r="R240" i="11" l="1"/>
  <c r="H157" i="6"/>
  <c r="AH298" i="12"/>
  <c r="AH305" i="12" s="1"/>
  <c r="AH306" i="12" s="1"/>
  <c r="I157" i="6"/>
  <c r="AL298" i="12"/>
  <c r="AL305" i="12" s="1"/>
  <c r="J157" i="6"/>
  <c r="K157" i="6"/>
  <c r="K159" i="6" s="1"/>
  <c r="L158" i="6"/>
  <c r="AI294" i="12"/>
  <c r="AI217" i="12"/>
  <c r="AJ203" i="12"/>
  <c r="J159" i="6" l="1"/>
  <c r="AL309" i="12"/>
  <c r="AL310" i="12" s="1"/>
  <c r="I159" i="6"/>
  <c r="AH309" i="12"/>
  <c r="H159" i="6"/>
  <c r="L157" i="6"/>
  <c r="L159" i="6" s="1"/>
  <c r="M158" i="6"/>
  <c r="AK203" i="12"/>
  <c r="AJ294" i="12"/>
  <c r="AJ217" i="12"/>
  <c r="AL306" i="12"/>
  <c r="AF310" i="12" l="1"/>
  <c r="AH310" i="12"/>
  <c r="AI310" i="12" s="1"/>
  <c r="M157" i="6"/>
  <c r="M159" i="6" s="1"/>
  <c r="N158" i="6"/>
  <c r="AL216" i="12"/>
  <c r="AK294" i="12"/>
  <c r="AK217" i="12"/>
  <c r="AJ310" i="12" l="1"/>
  <c r="AG310" i="12"/>
  <c r="O158" i="6"/>
  <c r="O157" i="6" s="1"/>
  <c r="O159" i="6" s="1"/>
  <c r="N157" i="6"/>
  <c r="N159" i="6" s="1"/>
  <c r="AK310" i="12" l="1"/>
  <c r="B1695" i="4"/>
  <c r="B1694" i="4"/>
  <c r="AC1692" i="4"/>
  <c r="AB1692" i="4"/>
  <c r="AA1692" i="4"/>
  <c r="Z1692" i="4"/>
  <c r="Y1692" i="4"/>
  <c r="X1692" i="4"/>
  <c r="W1692" i="4"/>
  <c r="V1692" i="4"/>
  <c r="U1692" i="4"/>
  <c r="T1692" i="4"/>
  <c r="S1692" i="4"/>
  <c r="R1692" i="4"/>
  <c r="Q1692" i="4"/>
  <c r="AH280" i="12" l="1"/>
  <c r="AA244" i="12"/>
  <c r="AB244" i="12"/>
  <c r="AC244" i="12"/>
  <c r="I134" i="6"/>
  <c r="J134" i="6" s="1"/>
  <c r="K134" i="6" s="1"/>
  <c r="L134" i="6" s="1"/>
  <c r="M134" i="6" s="1"/>
  <c r="N134" i="6" s="1"/>
  <c r="O134" i="6" s="1"/>
  <c r="G134" i="6"/>
  <c r="G140" i="6" s="1"/>
  <c r="Z243" i="12"/>
  <c r="Z246" i="12" s="1"/>
  <c r="Z247" i="12" s="1"/>
  <c r="Y243" i="12"/>
  <c r="X243" i="12"/>
  <c r="W243" i="12"/>
  <c r="W246" i="12" s="1"/>
  <c r="W247" i="12" s="1"/>
  <c r="O163" i="6"/>
  <c r="O162" i="6" s="1"/>
  <c r="O161" i="6" s="1"/>
  <c r="O94" i="6" s="1"/>
  <c r="N163" i="6"/>
  <c r="N162" i="6" s="1"/>
  <c r="N161" i="6" s="1"/>
  <c r="N94" i="6" s="1"/>
  <c r="M163" i="6"/>
  <c r="M162" i="6" s="1"/>
  <c r="M161" i="6" s="1"/>
  <c r="M94" i="6" s="1"/>
  <c r="L163" i="6"/>
  <c r="L162" i="6" s="1"/>
  <c r="L161" i="6" s="1"/>
  <c r="L94" i="6" s="1"/>
  <c r="K163" i="6"/>
  <c r="K162" i="6" s="1"/>
  <c r="K161" i="6" s="1"/>
  <c r="K94" i="6" s="1"/>
  <c r="J163" i="6"/>
  <c r="J162" i="6" s="1"/>
  <c r="J161" i="6" s="1"/>
  <c r="F163" i="6"/>
  <c r="G94" i="6"/>
  <c r="Z287" i="12"/>
  <c r="Y287" i="12"/>
  <c r="X287" i="12"/>
  <c r="W287" i="12"/>
  <c r="AA287" i="12"/>
  <c r="C1725" i="4" s="1"/>
  <c r="J94" i="6" l="1"/>
  <c r="G161" i="6"/>
  <c r="G162" i="6" s="1"/>
  <c r="X246" i="12"/>
  <c r="X247" i="12" s="1"/>
  <c r="Y246" i="12"/>
  <c r="Y247" i="12" s="1"/>
  <c r="G93" i="6"/>
  <c r="G92" i="6" s="1"/>
  <c r="G147" i="6" s="1"/>
  <c r="AB278" i="12"/>
  <c r="AA278" i="12" l="1"/>
  <c r="AB287" i="12"/>
  <c r="D1725" i="4" s="1"/>
  <c r="AC284" i="12"/>
  <c r="I140" i="14"/>
  <c r="Z278" i="12" l="1"/>
  <c r="T6" i="1"/>
  <c r="Y278" i="12" l="1"/>
  <c r="Z277" i="12"/>
  <c r="Z280" i="12" s="1"/>
  <c r="Z281" i="12" s="1"/>
  <c r="X278" i="12" l="1"/>
  <c r="Y277" i="12"/>
  <c r="Y280" i="12" s="1"/>
  <c r="Y281" i="12" s="1"/>
  <c r="J13" i="17"/>
  <c r="H25" i="17"/>
  <c r="H23" i="17"/>
  <c r="G25" i="17"/>
  <c r="G23" i="17"/>
  <c r="F25" i="17"/>
  <c r="F23" i="17"/>
  <c r="H20" i="17"/>
  <c r="G20" i="17"/>
  <c r="H16" i="17"/>
  <c r="G16" i="17"/>
  <c r="G15" i="17"/>
  <c r="H14" i="17"/>
  <c r="G14" i="17"/>
  <c r="H13" i="17"/>
  <c r="G13" i="17"/>
  <c r="H12" i="17"/>
  <c r="G12" i="17"/>
  <c r="F20" i="17"/>
  <c r="F16" i="17"/>
  <c r="F15" i="17"/>
  <c r="F13" i="17"/>
  <c r="F12" i="17"/>
  <c r="D1662" i="4"/>
  <c r="C1638" i="4"/>
  <c r="B1667" i="4"/>
  <c r="B1665" i="4"/>
  <c r="E1662" i="4"/>
  <c r="B1642" i="4"/>
  <c r="D1638" i="4"/>
  <c r="E1638" i="4"/>
  <c r="C1673" i="4"/>
  <c r="C1672" i="4"/>
  <c r="C1671" i="4"/>
  <c r="C1634" i="4"/>
  <c r="C1646" i="4" s="1"/>
  <c r="C1633" i="4"/>
  <c r="C1642" i="4" s="1"/>
  <c r="C1632" i="4"/>
  <c r="E1673" i="4"/>
  <c r="D1673" i="4"/>
  <c r="E1672" i="4"/>
  <c r="D1672" i="4"/>
  <c r="E1671" i="4"/>
  <c r="D1671" i="4"/>
  <c r="D1634" i="4"/>
  <c r="D1646" i="4" s="1"/>
  <c r="E1634" i="4"/>
  <c r="E1646" i="4" s="1"/>
  <c r="D1633" i="4"/>
  <c r="D1642" i="4" s="1"/>
  <c r="E1633" i="4"/>
  <c r="D1632" i="4"/>
  <c r="E1632" i="4"/>
  <c r="W278" i="12" l="1"/>
  <c r="W277" i="12" s="1"/>
  <c r="W280" i="12" s="1"/>
  <c r="W281" i="12" s="1"/>
  <c r="X277" i="12"/>
  <c r="X280" i="12" s="1"/>
  <c r="X281" i="12" s="1"/>
  <c r="E1678" i="4"/>
  <c r="D1674" i="4"/>
  <c r="C1679" i="4"/>
  <c r="E1642" i="4"/>
  <c r="C1678" i="4"/>
  <c r="C1674" i="4"/>
  <c r="E1635" i="4"/>
  <c r="E1657" i="4" s="1"/>
  <c r="C1635" i="4"/>
  <c r="C1677" i="4"/>
  <c r="E1674" i="4"/>
  <c r="D1635" i="4"/>
  <c r="D1657" i="4" s="1"/>
  <c r="D1678" i="4"/>
  <c r="E1679" i="4"/>
  <c r="D1677" i="4"/>
  <c r="D1679" i="4"/>
  <c r="E1677" i="4"/>
  <c r="C1643" i="4" l="1"/>
  <c r="C1657" i="4"/>
  <c r="E1668" i="4"/>
  <c r="D1643" i="4"/>
  <c r="C1680" i="4"/>
  <c r="E1643" i="4"/>
  <c r="E1655" i="4" s="1"/>
  <c r="E1656" i="4" s="1"/>
  <c r="E1680" i="4"/>
  <c r="D1680" i="4"/>
  <c r="D1668" i="4" l="1"/>
  <c r="C1641" i="4"/>
  <c r="C1645" i="4" s="1"/>
  <c r="C1647" i="4" s="1"/>
  <c r="C1655" i="4"/>
  <c r="C1656" i="4" s="1"/>
  <c r="D1641" i="4"/>
  <c r="D1645" i="4" s="1"/>
  <c r="D1647" i="4" s="1"/>
  <c r="D1655" i="4"/>
  <c r="E1641" i="4"/>
  <c r="E1645" i="4" s="1"/>
  <c r="E1647" i="4" s="1"/>
  <c r="C1651" i="4" l="1"/>
  <c r="D1660" i="4"/>
  <c r="D1661" i="4" s="1"/>
  <c r="E1651" i="4"/>
  <c r="D1656" i="4"/>
  <c r="D1651" i="4" s="1"/>
  <c r="E1660" i="4"/>
  <c r="E1661" i="4" s="1"/>
  <c r="D1667" i="4" l="1"/>
  <c r="E1667" i="4"/>
  <c r="D2137" i="3" l="1"/>
  <c r="E2122" i="3"/>
  <c r="D2116" i="3"/>
  <c r="E2116" i="3"/>
  <c r="E2117" i="3" s="1"/>
  <c r="D2101" i="3"/>
  <c r="I1546" i="4" l="1"/>
  <c r="I1542" i="4"/>
  <c r="I1541" i="4"/>
  <c r="I1540" i="4"/>
  <c r="I1539" i="4"/>
  <c r="I1538" i="4"/>
  <c r="I1550" i="4" s="1"/>
  <c r="AG157" i="12"/>
  <c r="AC140" i="12"/>
  <c r="AB140" i="12"/>
  <c r="AA140" i="12"/>
  <c r="Z140" i="12"/>
  <c r="Y140" i="12"/>
  <c r="X140" i="12"/>
  <c r="W140" i="12"/>
  <c r="V140" i="12"/>
  <c r="T140" i="12"/>
  <c r="S140" i="12"/>
  <c r="BE115" i="12"/>
  <c r="BD115" i="12"/>
  <c r="BC115" i="12"/>
  <c r="BB115" i="12"/>
  <c r="BA115" i="12"/>
  <c r="AZ115" i="12"/>
  <c r="AY115" i="12"/>
  <c r="AC80" i="12"/>
  <c r="AC78" i="12" s="1"/>
  <c r="AB80" i="12"/>
  <c r="AB78" i="12" s="1"/>
  <c r="BI159" i="12"/>
  <c r="BI8" i="12"/>
  <c r="BI7" i="12"/>
  <c r="AC337" i="12"/>
  <c r="AC334" i="12"/>
  <c r="I1543" i="4" l="1"/>
  <c r="I1544" i="4" s="1"/>
  <c r="I1547" i="4" l="1"/>
  <c r="I1548" i="4" s="1"/>
  <c r="I1551" i="4" s="1"/>
  <c r="AB117" i="12"/>
  <c r="AC117" i="12"/>
  <c r="AC119" i="12" s="1"/>
  <c r="AA299" i="12" l="1"/>
  <c r="AB299" i="12"/>
  <c r="AC299" i="12"/>
  <c r="Q135" i="19" l="1"/>
  <c r="Q134" i="19"/>
  <c r="Q133" i="19"/>
  <c r="AC330" i="12"/>
  <c r="AC341" i="12"/>
  <c r="I247" i="19"/>
  <c r="I245" i="19"/>
  <c r="I244" i="19"/>
  <c r="I243" i="19"/>
  <c r="H248" i="19"/>
  <c r="H247" i="19"/>
  <c r="H245" i="19"/>
  <c r="H244" i="19"/>
  <c r="H243" i="19"/>
  <c r="AC111" i="12"/>
  <c r="AF305" i="12"/>
  <c r="AJ305" i="12" s="1"/>
  <c r="AJ298" i="12" s="1"/>
  <c r="AJ309" i="12" s="1"/>
  <c r="AC302" i="12"/>
  <c r="AC303" i="12" s="1"/>
  <c r="AC233" i="12"/>
  <c r="AC274" i="12"/>
  <c r="AC273" i="12"/>
  <c r="AC272" i="12"/>
  <c r="AC267" i="12"/>
  <c r="AC266" i="12"/>
  <c r="AC265" i="12"/>
  <c r="AC262" i="12"/>
  <c r="AC261" i="12"/>
  <c r="AC260" i="12"/>
  <c r="AC254" i="12"/>
  <c r="AC238" i="12"/>
  <c r="AC222" i="12"/>
  <c r="AC213" i="12"/>
  <c r="AC211" i="12"/>
  <c r="AC209" i="12"/>
  <c r="AC191" i="12"/>
  <c r="AC190" i="12" s="1"/>
  <c r="AD184" i="12" s="1"/>
  <c r="AE184" i="12" s="1"/>
  <c r="BE160" i="12"/>
  <c r="BE159" i="12"/>
  <c r="F1785" i="4" s="1"/>
  <c r="BE9" i="12"/>
  <c r="BE7" i="12"/>
  <c r="BE5" i="12"/>
  <c r="BE4" i="12"/>
  <c r="AC158" i="12"/>
  <c r="BE158" i="12" s="1"/>
  <c r="AC157" i="12"/>
  <c r="AC163" i="12"/>
  <c r="AC165" i="12" s="1"/>
  <c r="AC186" i="12" s="1"/>
  <c r="AC161" i="12"/>
  <c r="AC114" i="12"/>
  <c r="AC93" i="12"/>
  <c r="AD97" i="12" s="1"/>
  <c r="H168" i="6" s="1"/>
  <c r="AC89" i="12"/>
  <c r="AC87" i="12"/>
  <c r="AC75" i="12"/>
  <c r="AC72" i="12"/>
  <c r="I17" i="19" s="1"/>
  <c r="AC59" i="12"/>
  <c r="AC60" i="12" s="1"/>
  <c r="AC21" i="12"/>
  <c r="AC29" i="12" s="1"/>
  <c r="AC13" i="12"/>
  <c r="I24" i="19"/>
  <c r="I23" i="19"/>
  <c r="I20" i="19"/>
  <c r="I15" i="19"/>
  <c r="I14" i="19"/>
  <c r="I11" i="19"/>
  <c r="I4" i="19"/>
  <c r="D1608" i="4"/>
  <c r="D1605" i="4"/>
  <c r="C1598" i="4"/>
  <c r="D1597" i="4"/>
  <c r="E1597" i="4" s="1"/>
  <c r="AC86" i="12" l="1"/>
  <c r="AC30" i="12"/>
  <c r="AD185" i="12"/>
  <c r="AC312" i="12"/>
  <c r="AC313" i="12" s="1"/>
  <c r="AC289" i="12" s="1"/>
  <c r="AC287" i="12" s="1"/>
  <c r="AC27" i="12"/>
  <c r="AC79" i="12" s="1"/>
  <c r="AC32" i="12"/>
  <c r="AC33" i="12" s="1"/>
  <c r="AD324" i="12"/>
  <c r="AD321" i="12"/>
  <c r="AD285" i="12"/>
  <c r="AC112" i="12"/>
  <c r="AD14" i="12"/>
  <c r="AA306" i="12"/>
  <c r="AE305" i="12"/>
  <c r="AI305" i="12" s="1"/>
  <c r="AI298" i="12" s="1"/>
  <c r="AB306" i="12"/>
  <c r="AC320" i="12"/>
  <c r="D1609" i="4"/>
  <c r="D1598" i="4"/>
  <c r="AC331" i="12"/>
  <c r="I250" i="19" s="1"/>
  <c r="AC327" i="12"/>
  <c r="AC271" i="12"/>
  <c r="AC62" i="12"/>
  <c r="AC201" i="12"/>
  <c r="Q132" i="19"/>
  <c r="AC259" i="12"/>
  <c r="I7" i="19"/>
  <c r="I6" i="19" s="1"/>
  <c r="AC16" i="12"/>
  <c r="AC250" i="12"/>
  <c r="AC25" i="12"/>
  <c r="AC92" i="12"/>
  <c r="AC95" i="12" s="1"/>
  <c r="AC251" i="12"/>
  <c r="I25" i="19"/>
  <c r="AC180" i="12"/>
  <c r="AC252" i="12"/>
  <c r="AC176" i="12"/>
  <c r="AC38" i="12"/>
  <c r="AC43" i="12"/>
  <c r="I5" i="19"/>
  <c r="AC22" i="12"/>
  <c r="I9" i="19"/>
  <c r="AC24" i="12"/>
  <c r="AC47" i="12" s="1"/>
  <c r="AC48" i="12" s="1"/>
  <c r="AC162" i="12"/>
  <c r="I10" i="19" s="1"/>
  <c r="AC98" i="12"/>
  <c r="H17" i="17" s="1"/>
  <c r="AC90" i="12"/>
  <c r="I16" i="19"/>
  <c r="I21" i="19"/>
  <c r="D1585" i="4"/>
  <c r="C1585" i="4"/>
  <c r="D1583" i="4"/>
  <c r="C1583" i="4"/>
  <c r="D1582" i="4"/>
  <c r="E1582" i="4" s="1"/>
  <c r="F1582" i="4" s="1"/>
  <c r="G1582" i="4" s="1"/>
  <c r="D1480" i="4"/>
  <c r="D1492" i="4"/>
  <c r="C1489" i="4"/>
  <c r="D1489" i="4" s="1"/>
  <c r="D1486" i="4"/>
  <c r="C1483" i="4"/>
  <c r="C1487" i="4" s="1"/>
  <c r="C1477" i="4"/>
  <c r="C1481" i="4" s="1"/>
  <c r="AG23" i="12" l="1"/>
  <c r="E1724" i="4"/>
  <c r="AI299" i="12"/>
  <c r="AI309" i="12"/>
  <c r="AC338" i="12"/>
  <c r="E1725" i="4"/>
  <c r="AJ299" i="12"/>
  <c r="AC183" i="12"/>
  <c r="AC199" i="12"/>
  <c r="AC200" i="12" s="1"/>
  <c r="AC178" i="12"/>
  <c r="AC39" i="12"/>
  <c r="AC196" i="12"/>
  <c r="AC44" i="12"/>
  <c r="AC45" i="12" s="1"/>
  <c r="AC105" i="12"/>
  <c r="H19" i="17" s="1"/>
  <c r="AC103" i="12"/>
  <c r="C1493" i="4"/>
  <c r="C1497" i="4" s="1"/>
  <c r="D1493" i="4"/>
  <c r="D1483" i="4"/>
  <c r="D1477" i="4"/>
  <c r="D1481" i="4" s="1"/>
  <c r="D1515" i="4"/>
  <c r="D1509" i="4"/>
  <c r="D1508" i="4"/>
  <c r="E1508" i="4" s="1"/>
  <c r="E1560" i="4"/>
  <c r="D1558" i="4" s="1"/>
  <c r="C1558" i="4"/>
  <c r="C1559" i="4"/>
  <c r="C1557" i="4"/>
  <c r="N1538" i="4"/>
  <c r="N1550" i="4" s="1"/>
  <c r="M1539" i="4"/>
  <c r="M1538" i="4"/>
  <c r="M1550" i="4" s="1"/>
  <c r="L1539" i="4"/>
  <c r="L1538" i="4"/>
  <c r="L1550" i="4" s="1"/>
  <c r="K1539" i="4"/>
  <c r="K1538" i="4"/>
  <c r="K1550" i="4" s="1"/>
  <c r="M114" i="1"/>
  <c r="N114" i="1" s="1"/>
  <c r="Q114" i="1" s="1"/>
  <c r="D1521" i="4" l="1"/>
  <c r="D1519" i="4"/>
  <c r="D1513" i="4"/>
  <c r="AJ313" i="12"/>
  <c r="AJ289" i="12" s="1"/>
  <c r="M1724" i="4" s="1"/>
  <c r="AI313" i="12"/>
  <c r="AC195" i="12"/>
  <c r="I19" i="19"/>
  <c r="AC109" i="12"/>
  <c r="AC107" i="12"/>
  <c r="AC106" i="12"/>
  <c r="D1487" i="4"/>
  <c r="D1497" i="4" s="1"/>
  <c r="D1498" i="4" s="1"/>
  <c r="D1495" i="4"/>
  <c r="D1479" i="4" s="1"/>
  <c r="E1509" i="4"/>
  <c r="D1528" i="4"/>
  <c r="E1515" i="4"/>
  <c r="D1559" i="4"/>
  <c r="D1557" i="4"/>
  <c r="H1546" i="4"/>
  <c r="G1546" i="4"/>
  <c r="F1546" i="4"/>
  <c r="E1546" i="4"/>
  <c r="D1546" i="4"/>
  <c r="C1546" i="4"/>
  <c r="G1540" i="4"/>
  <c r="F1540" i="4"/>
  <c r="H1539" i="4"/>
  <c r="G1539" i="4"/>
  <c r="F1539" i="4"/>
  <c r="E1539" i="4"/>
  <c r="D1539" i="4"/>
  <c r="C1539" i="4"/>
  <c r="H1542" i="4"/>
  <c r="G1542" i="4"/>
  <c r="F1542" i="4"/>
  <c r="H1541" i="4"/>
  <c r="G1541" i="4"/>
  <c r="F1541" i="4"/>
  <c r="J1538" i="4"/>
  <c r="J1550" i="4" s="1"/>
  <c r="H1538" i="4"/>
  <c r="H1550" i="4" s="1"/>
  <c r="G1538" i="4"/>
  <c r="G1550" i="4" s="1"/>
  <c r="F1538" i="4"/>
  <c r="F1550" i="4" s="1"/>
  <c r="E1538" i="4"/>
  <c r="E1550" i="4" s="1"/>
  <c r="D1538" i="4"/>
  <c r="D1550" i="4" s="1"/>
  <c r="C1538" i="4"/>
  <c r="C1550" i="4" s="1"/>
  <c r="D1476" i="4"/>
  <c r="AA303" i="12"/>
  <c r="AA301" i="12"/>
  <c r="X302" i="12"/>
  <c r="X303" i="12" s="1"/>
  <c r="AB302" i="12"/>
  <c r="AB303" i="12" s="1"/>
  <c r="E1513" i="4" l="1"/>
  <c r="E1521" i="4"/>
  <c r="E1519" i="4"/>
  <c r="AI289" i="12"/>
  <c r="L1724" i="4" s="1"/>
  <c r="D1517" i="4"/>
  <c r="G1517" i="4" s="1"/>
  <c r="D1496" i="4"/>
  <c r="D1491" i="4"/>
  <c r="D1485" i="4"/>
  <c r="F1476" i="4"/>
  <c r="E1528" i="4"/>
  <c r="D1511" i="4"/>
  <c r="G1511" i="4" s="1"/>
  <c r="F1543" i="4"/>
  <c r="F1547" i="4" s="1"/>
  <c r="F1548" i="4" s="1"/>
  <c r="F1551" i="4" s="1"/>
  <c r="C1499" i="4"/>
  <c r="C1501" i="4"/>
  <c r="G1543" i="4"/>
  <c r="F1544" i="4" l="1"/>
  <c r="E1511" i="4"/>
  <c r="E1517" i="4"/>
  <c r="D1501" i="4"/>
  <c r="D1502" i="4" s="1"/>
  <c r="G1544" i="4"/>
  <c r="G1547" i="4"/>
  <c r="G1548" i="4" s="1"/>
  <c r="G1551" i="4" s="1"/>
  <c r="E1501" i="4" l="1"/>
  <c r="E1502" i="4" s="1"/>
  <c r="D1499" i="4" l="1"/>
  <c r="AB233" i="12" l="1"/>
  <c r="AA233" i="12"/>
  <c r="Z233" i="12"/>
  <c r="Y233" i="12"/>
  <c r="X233" i="12"/>
  <c r="W233" i="12"/>
  <c r="F1459" i="4"/>
  <c r="G1459" i="4"/>
  <c r="D1454" i="4"/>
  <c r="E1454" i="4" s="1"/>
  <c r="F1454" i="4" s="1"/>
  <c r="G1454" i="4" s="1"/>
  <c r="H1454" i="4" s="1"/>
  <c r="G1455" i="4"/>
  <c r="G1457" i="4" s="1"/>
  <c r="G1467" i="4" s="1"/>
  <c r="F1455" i="4"/>
  <c r="F1457" i="4" s="1"/>
  <c r="F1467" i="4" s="1"/>
  <c r="E1455" i="4"/>
  <c r="E1460" i="4" s="1"/>
  <c r="E1466" i="4" s="1"/>
  <c r="D1455" i="4"/>
  <c r="C1455" i="4"/>
  <c r="D1434" i="4"/>
  <c r="D1426" i="4"/>
  <c r="G1460" i="4" l="1"/>
  <c r="G1466" i="4" s="1"/>
  <c r="F1460" i="4"/>
  <c r="F1466" i="4" s="1"/>
  <c r="C1457" i="4"/>
  <c r="C1467" i="4" s="1"/>
  <c r="E1457" i="4"/>
  <c r="E1467" i="4" s="1"/>
  <c r="C1460" i="4"/>
  <c r="C1466" i="4" s="1"/>
  <c r="D1460" i="4"/>
  <c r="D1466" i="4" s="1"/>
  <c r="D1457" i="4"/>
  <c r="D1467" i="4" s="1"/>
  <c r="G1462" i="4" l="1"/>
  <c r="G1465" i="4" s="1"/>
  <c r="G1468" i="4" s="1"/>
  <c r="F1462" i="4"/>
  <c r="F1465" i="4" s="1"/>
  <c r="F1468" i="4" s="1"/>
  <c r="E1462" i="4"/>
  <c r="E1465" i="4" s="1"/>
  <c r="E1468" i="4" s="1"/>
  <c r="C1462" i="4"/>
  <c r="C1465" i="4" s="1"/>
  <c r="C1468" i="4" s="1"/>
  <c r="D1462" i="4"/>
  <c r="D1465" i="4" s="1"/>
  <c r="D1468" i="4" s="1"/>
  <c r="AK121" i="12"/>
  <c r="K73" i="11" l="1"/>
  <c r="K74" i="11" s="1"/>
  <c r="AB89" i="12"/>
  <c r="L11" i="11" l="1"/>
  <c r="M11" i="11" s="1"/>
  <c r="N11" i="11" s="1"/>
  <c r="O11" i="11" s="1"/>
  <c r="P11" i="11" s="1"/>
  <c r="Q11" i="11" s="1"/>
  <c r="R11" i="11" s="1"/>
  <c r="Y89" i="12"/>
  <c r="Y90" i="12" s="1"/>
  <c r="X89" i="12"/>
  <c r="X90" i="12" s="1"/>
  <c r="AB90" i="12"/>
  <c r="W85" i="12"/>
  <c r="Z85" i="12" s="1"/>
  <c r="Z89" i="12" s="1"/>
  <c r="Z90" i="12" s="1"/>
  <c r="AA85" i="12"/>
  <c r="W89" i="12" l="1"/>
  <c r="W90" i="12" s="1"/>
  <c r="AA89" i="12"/>
  <c r="AA90" i="12" s="1"/>
  <c r="F1896" i="3"/>
  <c r="BD160" i="12"/>
  <c r="BD159" i="12"/>
  <c r="E1785" i="4" s="1"/>
  <c r="BH159" i="12"/>
  <c r="BH7" i="12"/>
  <c r="E1801" i="3"/>
  <c r="AB75" i="12" l="1"/>
  <c r="AB191" i="12" l="1"/>
  <c r="AB190" i="12" s="1"/>
  <c r="AC184" i="12" s="1"/>
  <c r="AB217" i="12"/>
  <c r="AB216" i="12"/>
  <c r="AB213" i="12"/>
  <c r="AB211" i="12"/>
  <c r="AB209" i="12"/>
  <c r="AB208" i="12"/>
  <c r="AB205" i="12"/>
  <c r="AB207" i="12" s="1"/>
  <c r="AB254" i="12"/>
  <c r="AB114" i="12"/>
  <c r="AB111" i="12"/>
  <c r="AB87" i="12"/>
  <c r="AB30" i="12" s="1"/>
  <c r="AB72" i="12"/>
  <c r="AB98" i="12" s="1"/>
  <c r="G17" i="17" s="1"/>
  <c r="AB59" i="12"/>
  <c r="AB60" i="12" s="1"/>
  <c r="AB21" i="12"/>
  <c r="AB161" i="12"/>
  <c r="AB163" i="12"/>
  <c r="AB8" i="12"/>
  <c r="AB13" i="12"/>
  <c r="AB341" i="12"/>
  <c r="AB337" i="12"/>
  <c r="AB338" i="12" s="1"/>
  <c r="AB334" i="12"/>
  <c r="AB320" i="12"/>
  <c r="AB296" i="12"/>
  <c r="AB274" i="12"/>
  <c r="AB273" i="12"/>
  <c r="AB272" i="12"/>
  <c r="AB267" i="12"/>
  <c r="AB266" i="12"/>
  <c r="AB265" i="12"/>
  <c r="AB330" i="12"/>
  <c r="AB262" i="12"/>
  <c r="AB261" i="12"/>
  <c r="AB260" i="12"/>
  <c r="AB238" i="12"/>
  <c r="AB222" i="12"/>
  <c r="L202" i="19"/>
  <c r="L179" i="19"/>
  <c r="L178" i="19"/>
  <c r="P135" i="19"/>
  <c r="P134" i="19"/>
  <c r="P133" i="19"/>
  <c r="AB157" i="12"/>
  <c r="AB158" i="12"/>
  <c r="BD158" i="12" s="1"/>
  <c r="BD9" i="12"/>
  <c r="BD7" i="12"/>
  <c r="BD5" i="12"/>
  <c r="BD4" i="12"/>
  <c r="AB32" i="12" l="1"/>
  <c r="AB33" i="12" s="1"/>
  <c r="AB29" i="12"/>
  <c r="AC324" i="12"/>
  <c r="AC285" i="12"/>
  <c r="AB331" i="12"/>
  <c r="H250" i="19" s="1"/>
  <c r="AB327" i="12"/>
  <c r="H1540" i="4"/>
  <c r="H1543" i="4" s="1"/>
  <c r="H1547" i="4" s="1"/>
  <c r="H1548" i="4" s="1"/>
  <c r="H1551" i="4" s="1"/>
  <c r="AC185" i="12"/>
  <c r="AC14" i="12"/>
  <c r="AB252" i="12"/>
  <c r="AC321" i="12"/>
  <c r="AC269" i="12" s="1"/>
  <c r="AB201" i="12"/>
  <c r="AB38" i="12"/>
  <c r="AB43" i="12"/>
  <c r="AB86" i="12"/>
  <c r="AB16" i="12"/>
  <c r="AB165" i="12"/>
  <c r="AB186" i="12" s="1"/>
  <c r="AB24" i="12"/>
  <c r="AB47" i="12" s="1"/>
  <c r="AB48" i="12" s="1"/>
  <c r="AB25" i="12"/>
  <c r="AB27" i="12"/>
  <c r="AB79" i="12" s="1"/>
  <c r="BH8" i="12"/>
  <c r="AB22" i="12"/>
  <c r="AB62" i="12"/>
  <c r="AB92" i="12"/>
  <c r="AB95" i="12" s="1"/>
  <c r="AB180" i="12"/>
  <c r="AB259" i="12"/>
  <c r="AB162" i="12"/>
  <c r="H10" i="19" s="1"/>
  <c r="AB176" i="12"/>
  <c r="AB178" i="12" s="1"/>
  <c r="AB103" i="12"/>
  <c r="AB105" i="12"/>
  <c r="P132" i="19"/>
  <c r="AB271" i="12"/>
  <c r="AB250" i="12"/>
  <c r="AB251" i="12"/>
  <c r="H26" i="19"/>
  <c r="H25" i="19"/>
  <c r="H24" i="19"/>
  <c r="H23" i="19"/>
  <c r="H20" i="19"/>
  <c r="H17" i="19"/>
  <c r="H15" i="19"/>
  <c r="H14" i="19"/>
  <c r="H11" i="19"/>
  <c r="H9" i="19"/>
  <c r="H7" i="19"/>
  <c r="H4" i="19"/>
  <c r="AF23" i="12" l="1"/>
  <c r="H19" i="19"/>
  <c r="G19" i="17"/>
  <c r="H1544" i="4"/>
  <c r="AC328" i="12"/>
  <c r="AB44" i="12"/>
  <c r="AB45" i="12" s="1"/>
  <c r="AB39" i="12"/>
  <c r="AB196" i="12"/>
  <c r="AB183" i="12"/>
  <c r="AB199" i="12"/>
  <c r="AB200" i="12" s="1"/>
  <c r="AB195" i="12" s="1"/>
  <c r="AB107" i="12"/>
  <c r="AB106" i="12"/>
  <c r="AB109" i="12"/>
  <c r="L203" i="19"/>
  <c r="H6" i="19"/>
  <c r="H16" i="19"/>
  <c r="H21" i="19"/>
  <c r="H5" i="19"/>
  <c r="B1415" i="4"/>
  <c r="B1420" i="4" s="1"/>
  <c r="B1414" i="4"/>
  <c r="B1419" i="4" s="1"/>
  <c r="B1413" i="4"/>
  <c r="B1418" i="4" s="1"/>
  <c r="I1374" i="4" l="1"/>
  <c r="H1374" i="4"/>
  <c r="F1374" i="4"/>
  <c r="E1374" i="4"/>
  <c r="D1374" i="4"/>
  <c r="C1374" i="4"/>
  <c r="B1391" i="4"/>
  <c r="B1398" i="4" s="1"/>
  <c r="B1390" i="4"/>
  <c r="B1397" i="4" s="1"/>
  <c r="B1389" i="4"/>
  <c r="B1396" i="4" s="1"/>
  <c r="B1388" i="4"/>
  <c r="B1395" i="4" s="1"/>
  <c r="D1380" i="4"/>
  <c r="E1380" i="4" s="1"/>
  <c r="F1380" i="4" s="1"/>
  <c r="G1380" i="4" s="1"/>
  <c r="H1380" i="4" s="1"/>
  <c r="I1380" i="4" s="1"/>
  <c r="J1380" i="4" s="1"/>
  <c r="K10" i="1"/>
  <c r="K27" i="1"/>
  <c r="M27" i="1" s="1"/>
  <c r="N27" i="1" s="1"/>
  <c r="O27" i="1" s="1"/>
  <c r="P27" i="1" s="1"/>
  <c r="Q27" i="1" s="1"/>
  <c r="R27" i="1" s="1"/>
  <c r="S27" i="1" s="1"/>
  <c r="N1366" i="4" l="1"/>
  <c r="N1373" i="4" s="1"/>
  <c r="M1368" i="4"/>
  <c r="M1366" i="4"/>
  <c r="M1373" i="4" s="1"/>
  <c r="L1368" i="4"/>
  <c r="L1366" i="4"/>
  <c r="L1373" i="4" s="1"/>
  <c r="K1368" i="4"/>
  <c r="K1366" i="4"/>
  <c r="K1373" i="4" s="1"/>
  <c r="G1370" i="4"/>
  <c r="F1370" i="4"/>
  <c r="E1370" i="4"/>
  <c r="D1370" i="4"/>
  <c r="C1370" i="4"/>
  <c r="I1368" i="4"/>
  <c r="H1368" i="4"/>
  <c r="G1368" i="4"/>
  <c r="E1368" i="4"/>
  <c r="D1368" i="4"/>
  <c r="C1368" i="4"/>
  <c r="J1366" i="4"/>
  <c r="J1373" i="4" s="1"/>
  <c r="I1366" i="4"/>
  <c r="I1373" i="4" s="1"/>
  <c r="H1366" i="4"/>
  <c r="H1373" i="4" s="1"/>
  <c r="G1366" i="4"/>
  <c r="G1373" i="4" s="1"/>
  <c r="F1366" i="4"/>
  <c r="F1373" i="4" s="1"/>
  <c r="E1366" i="4"/>
  <c r="E1373" i="4" s="1"/>
  <c r="D1366" i="4"/>
  <c r="D1373" i="4" s="1"/>
  <c r="C1366" i="4"/>
  <c r="C1373" i="4" s="1"/>
  <c r="BC179" i="12"/>
  <c r="BB179" i="12"/>
  <c r="BA179" i="12"/>
  <c r="AZ179" i="12"/>
  <c r="AY179" i="12"/>
  <c r="AF179" i="12"/>
  <c r="AG179" i="12" s="1"/>
  <c r="AH179" i="12" s="1"/>
  <c r="H163" i="6" l="1"/>
  <c r="H162" i="6" s="1"/>
  <c r="H161" i="6" s="1"/>
  <c r="H94" i="6" l="1"/>
  <c r="AE312" i="12"/>
  <c r="AF93" i="12"/>
  <c r="AF312" i="12" s="1"/>
  <c r="AG93" i="12"/>
  <c r="AG312" i="12" s="1"/>
  <c r="G1724" i="4" l="1"/>
  <c r="AH93" i="12"/>
  <c r="BG8" i="12" l="1"/>
  <c r="AA157" i="12" l="1"/>
  <c r="BG159" i="12"/>
  <c r="G248" i="19"/>
  <c r="F248" i="19"/>
  <c r="E248" i="19"/>
  <c r="D248" i="19"/>
  <c r="C248" i="19"/>
  <c r="G247" i="19"/>
  <c r="F247" i="19"/>
  <c r="E247" i="19"/>
  <c r="D247" i="19"/>
  <c r="C247" i="19"/>
  <c r="G245" i="19"/>
  <c r="F245" i="19"/>
  <c r="E245" i="19"/>
  <c r="D245" i="19"/>
  <c r="C245" i="19"/>
  <c r="G243" i="19"/>
  <c r="F243" i="19"/>
  <c r="E243" i="19"/>
  <c r="D243" i="19"/>
  <c r="C243" i="19"/>
  <c r="G244" i="19"/>
  <c r="F244" i="19"/>
  <c r="E244" i="19"/>
  <c r="D244" i="19"/>
  <c r="C244" i="19"/>
  <c r="AA320" i="12" l="1"/>
  <c r="AA274" i="12"/>
  <c r="AA272" i="12"/>
  <c r="AA296" i="12"/>
  <c r="AA337" i="12"/>
  <c r="AA334" i="12"/>
  <c r="AA341" i="12"/>
  <c r="G1371" i="4" s="1"/>
  <c r="AA273" i="12"/>
  <c r="AA267" i="12"/>
  <c r="AA266" i="12"/>
  <c r="AA265" i="12"/>
  <c r="AA262" i="12"/>
  <c r="AA261" i="12"/>
  <c r="AA260" i="12"/>
  <c r="AA238" i="12"/>
  <c r="AA222" i="12"/>
  <c r="AA216" i="12"/>
  <c r="AA213" i="12"/>
  <c r="AA211" i="12"/>
  <c r="AA209" i="12"/>
  <c r="AA208" i="12"/>
  <c r="AA207" i="12"/>
  <c r="AA191" i="12"/>
  <c r="AA190" i="12" s="1"/>
  <c r="AB184" i="12" s="1"/>
  <c r="AA161" i="12"/>
  <c r="AA167" i="12"/>
  <c r="AA114" i="12"/>
  <c r="AA111" i="12"/>
  <c r="AA72" i="12"/>
  <c r="AA98" i="12" s="1"/>
  <c r="AA87" i="12"/>
  <c r="AA30" i="12" s="1"/>
  <c r="AA75" i="12"/>
  <c r="AA59" i="12"/>
  <c r="AA62" i="12" s="1"/>
  <c r="AA163" i="12"/>
  <c r="AA92" i="12" s="1"/>
  <c r="AA95" i="12" s="1"/>
  <c r="F14" i="17" l="1"/>
  <c r="AA105" i="12"/>
  <c r="F19" i="17" s="1"/>
  <c r="F17" i="17"/>
  <c r="AB185" i="12"/>
  <c r="AB324" i="12"/>
  <c r="AB321" i="12"/>
  <c r="AA324" i="12"/>
  <c r="G1374" i="4"/>
  <c r="AA217" i="12"/>
  <c r="AA165" i="12"/>
  <c r="AA186" i="12" s="1"/>
  <c r="AA86" i="12"/>
  <c r="AA176" i="12"/>
  <c r="AA180" i="12"/>
  <c r="AA251" i="12"/>
  <c r="AA252" i="12"/>
  <c r="AA16" i="12"/>
  <c r="AA250" i="12"/>
  <c r="AA259" i="12"/>
  <c r="AA271" i="12"/>
  <c r="AA60" i="12"/>
  <c r="AA321" i="12"/>
  <c r="AA338" i="12"/>
  <c r="AA103" i="12"/>
  <c r="AA109" i="12" l="1"/>
  <c r="AA106" i="12"/>
  <c r="AB285" i="12"/>
  <c r="AB328" i="12"/>
  <c r="AB269" i="12"/>
  <c r="AA183" i="12"/>
  <c r="AA178" i="12"/>
  <c r="AA199" i="12"/>
  <c r="G1367" i="4" l="1"/>
  <c r="G1369" i="4" s="1"/>
  <c r="AA285" i="12"/>
  <c r="G1375" i="4" s="1"/>
  <c r="AA21" i="12"/>
  <c r="L1255" i="4"/>
  <c r="L1254" i="4"/>
  <c r="L1253" i="4"/>
  <c r="L1250" i="4"/>
  <c r="L1249" i="4"/>
  <c r="K203" i="19"/>
  <c r="K202" i="19"/>
  <c r="K179" i="19"/>
  <c r="K178" i="19"/>
  <c r="J179" i="19"/>
  <c r="I179" i="19"/>
  <c r="H179" i="19"/>
  <c r="G179" i="19"/>
  <c r="F179" i="19"/>
  <c r="E179" i="19"/>
  <c r="D179" i="19"/>
  <c r="C179" i="19"/>
  <c r="O135" i="19"/>
  <c r="O134" i="19"/>
  <c r="O133" i="19"/>
  <c r="O132" i="19"/>
  <c r="AA158" i="12"/>
  <c r="BC158" i="12" s="1"/>
  <c r="BC159" i="12"/>
  <c r="D1785" i="4" s="1"/>
  <c r="BC9" i="12"/>
  <c r="BC7" i="12"/>
  <c r="BC5" i="12"/>
  <c r="BC4" i="12"/>
  <c r="AA32" i="12" l="1"/>
  <c r="AA29" i="12"/>
  <c r="AA201" i="12"/>
  <c r="AA200" i="12" s="1"/>
  <c r="AA195" i="12" s="1"/>
  <c r="L1256" i="4"/>
  <c r="L1257" i="4" s="1"/>
  <c r="AA25" i="12"/>
  <c r="AA24" i="12"/>
  <c r="AA47" i="12" s="1"/>
  <c r="AA27" i="12"/>
  <c r="AA38" i="12"/>
  <c r="AA43" i="12"/>
  <c r="AA22" i="12"/>
  <c r="G26" i="19"/>
  <c r="G25" i="19"/>
  <c r="G24" i="19"/>
  <c r="G23" i="19"/>
  <c r="G20" i="19"/>
  <c r="G19" i="19"/>
  <c r="G17" i="19"/>
  <c r="G15" i="19"/>
  <c r="G14" i="19"/>
  <c r="G11" i="19"/>
  <c r="G10" i="19"/>
  <c r="G9" i="19"/>
  <c r="G4" i="19"/>
  <c r="AA13" i="12"/>
  <c r="AA33" i="12" l="1"/>
  <c r="AE23" i="12"/>
  <c r="G5" i="19"/>
  <c r="AB14" i="12"/>
  <c r="G7" i="19"/>
  <c r="G6" i="19" s="1"/>
  <c r="AA107" i="12"/>
  <c r="AA39" i="12"/>
  <c r="AA196" i="12"/>
  <c r="AA48" i="12"/>
  <c r="AA44" i="12"/>
  <c r="AA45" i="12" s="1"/>
  <c r="G16" i="19"/>
  <c r="G21" i="19"/>
  <c r="D1635" i="3"/>
  <c r="C26" i="19" l="1"/>
  <c r="C25" i="19"/>
  <c r="C24" i="19"/>
  <c r="C20" i="19"/>
  <c r="C15" i="19"/>
  <c r="C14" i="19"/>
  <c r="C10" i="19"/>
  <c r="C4" i="19"/>
  <c r="D26" i="19"/>
  <c r="D25" i="19"/>
  <c r="D24" i="19"/>
  <c r="D20" i="19"/>
  <c r="D15" i="19"/>
  <c r="D14" i="19"/>
  <c r="D11" i="19"/>
  <c r="D4" i="19"/>
  <c r="E26" i="19"/>
  <c r="E25" i="19"/>
  <c r="E24" i="19"/>
  <c r="E20" i="19"/>
  <c r="E15" i="19"/>
  <c r="E14" i="19"/>
  <c r="E11" i="19"/>
  <c r="E4" i="19"/>
  <c r="F26" i="19"/>
  <c r="F25" i="19"/>
  <c r="F24" i="19"/>
  <c r="F20" i="19"/>
  <c r="F15" i="19"/>
  <c r="F14" i="19"/>
  <c r="F11" i="19"/>
  <c r="F10" i="19"/>
  <c r="F4" i="19"/>
  <c r="G32" i="14"/>
  <c r="F32" i="14"/>
  <c r="J211" i="11"/>
  <c r="E5" i="19" l="1"/>
  <c r="F5" i="19"/>
  <c r="C5" i="19"/>
  <c r="C21" i="19"/>
  <c r="D21" i="19"/>
  <c r="E21" i="19"/>
  <c r="D5" i="19"/>
  <c r="F21" i="19"/>
  <c r="N1343" i="4" l="1"/>
  <c r="M1343" i="4"/>
  <c r="L1343" i="4"/>
  <c r="K1343" i="4"/>
  <c r="J1343" i="4"/>
  <c r="I1343" i="4"/>
  <c r="H1343" i="4"/>
  <c r="G1343" i="4"/>
  <c r="F1343" i="4"/>
  <c r="E1343" i="4"/>
  <c r="D1343" i="4"/>
  <c r="B1346" i="4"/>
  <c r="B1345" i="4"/>
  <c r="B1344" i="4"/>
  <c r="C1343" i="4"/>
  <c r="F1346" i="4"/>
  <c r="E1346" i="4"/>
  <c r="D1346" i="4"/>
  <c r="C1346" i="4"/>
  <c r="F1345" i="4"/>
  <c r="E1345" i="4"/>
  <c r="D1345" i="4"/>
  <c r="C1345" i="4"/>
  <c r="F1344" i="4"/>
  <c r="E1344" i="4"/>
  <c r="D1344" i="4"/>
  <c r="C1344" i="4"/>
  <c r="S1304" i="4"/>
  <c r="S1305" i="4" s="1"/>
  <c r="S1306" i="4" s="1"/>
  <c r="S1307" i="4" s="1"/>
  <c r="S1308" i="4" s="1"/>
  <c r="S1309" i="4" s="1"/>
  <c r="S1310" i="4" s="1"/>
  <c r="I5" i="11"/>
  <c r="H5" i="11"/>
  <c r="G5" i="11"/>
  <c r="F5" i="11"/>
  <c r="J5" i="11"/>
  <c r="S1311" i="4" l="1"/>
  <c r="S1312" i="4" s="1"/>
  <c r="S1313" i="4" s="1"/>
  <c r="S1314" i="4" s="1"/>
  <c r="S1315" i="4" s="1"/>
  <c r="W157" i="12"/>
  <c r="M155" i="1"/>
  <c r="J268" i="11"/>
  <c r="I268" i="11"/>
  <c r="J264" i="11"/>
  <c r="I264" i="11"/>
  <c r="J203" i="11"/>
  <c r="J181" i="11"/>
  <c r="J78" i="11"/>
  <c r="K127" i="1"/>
  <c r="K107" i="1"/>
  <c r="F140" i="1"/>
  <c r="G140" i="1"/>
  <c r="H140" i="1"/>
  <c r="I140" i="1"/>
  <c r="I22" i="11"/>
  <c r="J22" i="11"/>
  <c r="K140" i="1" l="1"/>
  <c r="H18" i="11"/>
  <c r="G18" i="11" s="1"/>
  <c r="F18" i="11" s="1"/>
  <c r="E18" i="11" s="1"/>
  <c r="E20" i="11" s="1"/>
  <c r="J140" i="1"/>
  <c r="J269" i="11"/>
  <c r="J265" i="11"/>
  <c r="H20" i="11"/>
  <c r="S1316" i="4"/>
  <c r="T1315" i="4"/>
  <c r="G20" i="11" l="1"/>
  <c r="F20" i="11"/>
  <c r="S1317" i="4"/>
  <c r="T1316" i="4"/>
  <c r="G102" i="6"/>
  <c r="F102" i="6"/>
  <c r="E102" i="6"/>
  <c r="F185" i="6"/>
  <c r="G185" i="6"/>
  <c r="E172" i="6"/>
  <c r="F172" i="6"/>
  <c r="G172" i="6"/>
  <c r="G183" i="6"/>
  <c r="F183" i="6"/>
  <c r="Z341" i="12"/>
  <c r="F1371" i="4" s="1"/>
  <c r="Y341" i="12"/>
  <c r="E1371" i="4" s="1"/>
  <c r="X341" i="12"/>
  <c r="D1371" i="4" s="1"/>
  <c r="W341" i="12"/>
  <c r="C1371" i="4" s="1"/>
  <c r="V341" i="12"/>
  <c r="U341" i="12"/>
  <c r="Z334" i="12"/>
  <c r="Y334" i="12"/>
  <c r="X334" i="12"/>
  <c r="W334" i="12"/>
  <c r="V334" i="12"/>
  <c r="U334" i="12"/>
  <c r="Y324" i="12"/>
  <c r="X324" i="12"/>
  <c r="W324" i="12"/>
  <c r="V324" i="12"/>
  <c r="U324" i="12"/>
  <c r="Z324" i="12"/>
  <c r="Y320" i="12"/>
  <c r="Y321" i="12" s="1"/>
  <c r="E1367" i="4" s="1"/>
  <c r="E1369" i="4" s="1"/>
  <c r="X320" i="12"/>
  <c r="X321" i="12" s="1"/>
  <c r="D1367" i="4" s="1"/>
  <c r="D1369" i="4" s="1"/>
  <c r="W320" i="12"/>
  <c r="W321" i="12" s="1"/>
  <c r="V320" i="12"/>
  <c r="V321" i="12" s="1"/>
  <c r="U320" i="12"/>
  <c r="U321" i="12" s="1"/>
  <c r="AG320" i="12"/>
  <c r="AF320" i="12"/>
  <c r="AE320" i="12"/>
  <c r="Z320" i="12"/>
  <c r="Z321" i="12" s="1"/>
  <c r="F1367" i="4" s="1"/>
  <c r="C1367" i="4" l="1"/>
  <c r="C1369" i="4" s="1"/>
  <c r="G169" i="6"/>
  <c r="G168" i="6" s="1"/>
  <c r="G163" i="6" s="1"/>
  <c r="S1318" i="4"/>
  <c r="T1317" i="4"/>
  <c r="R274" i="12"/>
  <c r="R273" i="12"/>
  <c r="R272" i="12"/>
  <c r="R262" i="12"/>
  <c r="R261" i="12"/>
  <c r="R260" i="12"/>
  <c r="S257" i="12"/>
  <c r="T257" i="12" s="1"/>
  <c r="U257" i="12" s="1"/>
  <c r="U274" i="12" s="1"/>
  <c r="S256" i="12"/>
  <c r="T256" i="12" s="1"/>
  <c r="U256" i="12" s="1"/>
  <c r="U261" i="12" s="1"/>
  <c r="S255" i="12"/>
  <c r="T255" i="12" s="1"/>
  <c r="U255" i="12" s="1"/>
  <c r="U260" i="12" s="1"/>
  <c r="Z267" i="12"/>
  <c r="Y267" i="12"/>
  <c r="X267" i="12"/>
  <c r="W267" i="12"/>
  <c r="Z266" i="12"/>
  <c r="Y266" i="12"/>
  <c r="X266" i="12"/>
  <c r="W266" i="12"/>
  <c r="Z265" i="12"/>
  <c r="Y265" i="12"/>
  <c r="X265" i="12"/>
  <c r="W265" i="12"/>
  <c r="B267" i="12"/>
  <c r="B266" i="12"/>
  <c r="B265" i="12"/>
  <c r="G68" i="6"/>
  <c r="G164" i="6" l="1"/>
  <c r="G165" i="6" s="1"/>
  <c r="S1319" i="4"/>
  <c r="T1318" i="4"/>
  <c r="U1318" i="4" s="1"/>
  <c r="T272" i="12"/>
  <c r="S272" i="12"/>
  <c r="S254" i="12"/>
  <c r="S259" i="12" s="1"/>
  <c r="U272" i="12"/>
  <c r="U262" i="12"/>
  <c r="T262" i="12"/>
  <c r="S262" i="12"/>
  <c r="T254" i="12"/>
  <c r="U273" i="12"/>
  <c r="T273" i="12"/>
  <c r="S273" i="12"/>
  <c r="U254" i="12"/>
  <c r="T274" i="12"/>
  <c r="S274" i="12"/>
  <c r="T260" i="12"/>
  <c r="S260" i="12"/>
  <c r="T261" i="12"/>
  <c r="S261" i="12"/>
  <c r="S1320" i="4" l="1"/>
  <c r="T1319" i="4"/>
  <c r="S271" i="12"/>
  <c r="T259" i="12"/>
  <c r="T271" i="12"/>
  <c r="U259" i="12"/>
  <c r="U271" i="12"/>
  <c r="S1321" i="4" l="1"/>
  <c r="T1320" i="4"/>
  <c r="S1322" i="4" l="1"/>
  <c r="T1321" i="4"/>
  <c r="U1321" i="4" s="1"/>
  <c r="G128" i="6"/>
  <c r="G114" i="6"/>
  <c r="F108" i="6"/>
  <c r="F109" i="6" s="1"/>
  <c r="F111" i="6"/>
  <c r="E108" i="6"/>
  <c r="E109" i="6" s="1"/>
  <c r="J54" i="11"/>
  <c r="J137" i="11"/>
  <c r="I138" i="11"/>
  <c r="J159" i="1" s="1"/>
  <c r="J166" i="1" s="1"/>
  <c r="K154" i="1"/>
  <c r="K155" i="1" s="1"/>
  <c r="Z126" i="12"/>
  <c r="Z127" i="12"/>
  <c r="G34" i="19"/>
  <c r="G37" i="19"/>
  <c r="G32" i="19"/>
  <c r="B240" i="19"/>
  <c r="G221" i="19"/>
  <c r="F221" i="19"/>
  <c r="G220" i="19"/>
  <c r="F220" i="19"/>
  <c r="G219" i="19"/>
  <c r="F219" i="19"/>
  <c r="B239" i="19"/>
  <c r="B238" i="19"/>
  <c r="B237" i="19"/>
  <c r="B235" i="19"/>
  <c r="B234" i="19"/>
  <c r="B233" i="19"/>
  <c r="B232" i="19"/>
  <c r="B230" i="19"/>
  <c r="B229" i="19"/>
  <c r="B225" i="19"/>
  <c r="B223" i="19"/>
  <c r="B222" i="19"/>
  <c r="B221" i="19"/>
  <c r="B220" i="19"/>
  <c r="B219" i="19"/>
  <c r="B217" i="19"/>
  <c r="B216" i="19"/>
  <c r="B215" i="19"/>
  <c r="I202" i="19"/>
  <c r="H202" i="19"/>
  <c r="G202" i="19"/>
  <c r="F202" i="19"/>
  <c r="E202" i="19"/>
  <c r="D202" i="19"/>
  <c r="C202" i="19"/>
  <c r="J202" i="19"/>
  <c r="J178" i="19"/>
  <c r="N135" i="19"/>
  <c r="N134" i="19"/>
  <c r="N133" i="19"/>
  <c r="N132" i="19"/>
  <c r="R136" i="19" s="1"/>
  <c r="BB160" i="12"/>
  <c r="BB159" i="12"/>
  <c r="BB9" i="12"/>
  <c r="BB7" i="12"/>
  <c r="BB5" i="12"/>
  <c r="BB4" i="12"/>
  <c r="Z157" i="12"/>
  <c r="Z216" i="12"/>
  <c r="Z213" i="12"/>
  <c r="I1255" i="4"/>
  <c r="H221" i="19" s="1"/>
  <c r="I1254" i="4"/>
  <c r="H220" i="19" s="1"/>
  <c r="I1253" i="4"/>
  <c r="H219" i="19" s="1"/>
  <c r="J1255" i="4"/>
  <c r="I221" i="19" s="1"/>
  <c r="J1254" i="4"/>
  <c r="I220" i="19" s="1"/>
  <c r="J1253" i="4"/>
  <c r="K1269" i="4"/>
  <c r="J235" i="19" s="1"/>
  <c r="K1266" i="4"/>
  <c r="J232" i="19" s="1"/>
  <c r="K1255" i="4"/>
  <c r="K1254" i="4"/>
  <c r="J220" i="19" s="1"/>
  <c r="K1253" i="4"/>
  <c r="J219" i="19" s="1"/>
  <c r="K1250" i="4"/>
  <c r="J216" i="19" s="1"/>
  <c r="K1249" i="4"/>
  <c r="G1244" i="4"/>
  <c r="K1248" i="4"/>
  <c r="J214" i="19" s="1"/>
  <c r="Z337" i="12"/>
  <c r="K1273" i="4"/>
  <c r="Z296" i="12"/>
  <c r="Z87" i="12"/>
  <c r="Z30" i="12" s="1"/>
  <c r="H1562" i="3"/>
  <c r="I1562" i="3" s="1"/>
  <c r="I1561" i="3"/>
  <c r="Z211" i="12"/>
  <c r="Z191" i="12"/>
  <c r="Z190" i="12" s="1"/>
  <c r="AA184" i="12" s="1"/>
  <c r="Z209" i="12"/>
  <c r="Z207" i="12"/>
  <c r="Z204" i="12"/>
  <c r="Z208" i="12" s="1"/>
  <c r="Z167" i="12"/>
  <c r="F23" i="19" s="1"/>
  <c r="Z161" i="12"/>
  <c r="Z163" i="12"/>
  <c r="Z16" i="12" s="1"/>
  <c r="Z136" i="12"/>
  <c r="Z114" i="12"/>
  <c r="Z111" i="12"/>
  <c r="Z75" i="12"/>
  <c r="Z72" i="12"/>
  <c r="Z59" i="12"/>
  <c r="Z60" i="12" s="1"/>
  <c r="Z12" i="12"/>
  <c r="Z13" i="12"/>
  <c r="BF13" i="12" s="1"/>
  <c r="F114" i="6" l="1"/>
  <c r="AA14" i="12"/>
  <c r="J1346" i="4"/>
  <c r="AA185" i="12"/>
  <c r="I1563" i="3"/>
  <c r="J1563" i="3" s="1"/>
  <c r="J215" i="19"/>
  <c r="L1251" i="4"/>
  <c r="N1345" i="4"/>
  <c r="Z134" i="12"/>
  <c r="F7" i="19"/>
  <c r="F6" i="19" s="1"/>
  <c r="F9" i="19"/>
  <c r="N1344" i="4"/>
  <c r="F17" i="19"/>
  <c r="F16" i="19" s="1"/>
  <c r="N1346" i="4"/>
  <c r="S1323" i="4"/>
  <c r="T1322" i="4"/>
  <c r="J60" i="11"/>
  <c r="G132" i="6"/>
  <c r="G131" i="6" s="1"/>
  <c r="J139" i="11"/>
  <c r="K159" i="1"/>
  <c r="K158" i="1" s="1"/>
  <c r="G115" i="6"/>
  <c r="J239" i="19"/>
  <c r="K1274" i="4"/>
  <c r="W285" i="12"/>
  <c r="C1375" i="4" s="1"/>
  <c r="Z171" i="12"/>
  <c r="E114" i="6"/>
  <c r="J1344" i="4"/>
  <c r="Y285" i="12"/>
  <c r="E1375" i="4" s="1"/>
  <c r="X285" i="12"/>
  <c r="D1375" i="4" s="1"/>
  <c r="J1256" i="4"/>
  <c r="I222" i="19" s="1"/>
  <c r="K1262" i="4"/>
  <c r="J228" i="19" s="1"/>
  <c r="Z180" i="12"/>
  <c r="I219" i="19"/>
  <c r="I1256" i="4"/>
  <c r="H222" i="19" s="1"/>
  <c r="Z62" i="12"/>
  <c r="K1261" i="4"/>
  <c r="J227" i="19" s="1"/>
  <c r="J221" i="19"/>
  <c r="K1256" i="4"/>
  <c r="Z92" i="12"/>
  <c r="Z95" i="12" s="1"/>
  <c r="Z165" i="12"/>
  <c r="BF165" i="12" s="1"/>
  <c r="K1260" i="4"/>
  <c r="J226" i="19" s="1"/>
  <c r="Z217" i="12"/>
  <c r="Z98" i="12"/>
  <c r="Z137" i="12"/>
  <c r="Z176" i="12"/>
  <c r="Z86" i="12"/>
  <c r="J1345" i="4" l="1"/>
  <c r="Z178" i="12"/>
  <c r="N1347" i="4"/>
  <c r="S1324" i="4"/>
  <c r="T1323" i="4"/>
  <c r="Z186" i="12"/>
  <c r="J203" i="19"/>
  <c r="K1257" i="4"/>
  <c r="J223" i="19" s="1"/>
  <c r="J222" i="19"/>
  <c r="Z183" i="12"/>
  <c r="Z199" i="12"/>
  <c r="K1263" i="4"/>
  <c r="J229" i="19" s="1"/>
  <c r="Z105" i="12"/>
  <c r="Z103" i="12"/>
  <c r="Z222" i="12"/>
  <c r="Z274" i="12"/>
  <c r="Z273" i="12"/>
  <c r="Z272" i="12"/>
  <c r="Z262" i="12"/>
  <c r="Z261" i="12"/>
  <c r="Z260" i="12"/>
  <c r="Z254" i="12"/>
  <c r="Z252" i="12"/>
  <c r="Z251" i="12"/>
  <c r="Z250" i="12"/>
  <c r="Z158" i="12"/>
  <c r="BB158" i="12" s="1"/>
  <c r="Z21" i="12"/>
  <c r="E38" i="19"/>
  <c r="AM58" i="12"/>
  <c r="AM60" i="12" s="1"/>
  <c r="AN59" i="12"/>
  <c r="AL60" i="12"/>
  <c r="BF21" i="12" l="1"/>
  <c r="Z29" i="12"/>
  <c r="Z32" i="12"/>
  <c r="AA264" i="12"/>
  <c r="AA80" i="12" s="1"/>
  <c r="AA78" i="12" s="1"/>
  <c r="AA79" i="12" s="1"/>
  <c r="G117" i="6"/>
  <c r="H138" i="6"/>
  <c r="H145" i="6" s="1"/>
  <c r="H93" i="6" s="1"/>
  <c r="I138" i="6"/>
  <c r="I145" i="6" s="1"/>
  <c r="I93" i="6" s="1"/>
  <c r="AH243" i="12"/>
  <c r="F19" i="19"/>
  <c r="Z107" i="12"/>
  <c r="T1324" i="4"/>
  <c r="U1324" i="4" s="1"/>
  <c r="S1325" i="4"/>
  <c r="Z43" i="12"/>
  <c r="Z27" i="12"/>
  <c r="Z259" i="12"/>
  <c r="Z125" i="12"/>
  <c r="Z129" i="12" s="1"/>
  <c r="Z131" i="12" s="1"/>
  <c r="K1268" i="4"/>
  <c r="K1264" i="4"/>
  <c r="J230" i="19" s="1"/>
  <c r="Z106" i="12"/>
  <c r="Z109" i="12"/>
  <c r="AN60" i="12"/>
  <c r="Z201" i="12"/>
  <c r="Z200" i="12" s="1"/>
  <c r="Z195" i="12" s="1"/>
  <c r="Z38" i="12"/>
  <c r="Z25" i="12"/>
  <c r="Z271" i="12"/>
  <c r="Z24" i="12"/>
  <c r="Z47" i="12" s="1"/>
  <c r="Z22" i="12"/>
  <c r="AD23" i="12" s="1"/>
  <c r="G1260" i="4"/>
  <c r="F226" i="19" s="1"/>
  <c r="G1261" i="4"/>
  <c r="G1262" i="4"/>
  <c r="C1256" i="4"/>
  <c r="H1262" i="4"/>
  <c r="G228" i="19" s="1"/>
  <c r="H1261" i="4"/>
  <c r="G227" i="19" s="1"/>
  <c r="H1260" i="4"/>
  <c r="G226" i="19" s="1"/>
  <c r="I1262" i="4"/>
  <c r="H228" i="19" s="1"/>
  <c r="I1261" i="4"/>
  <c r="H227" i="19" s="1"/>
  <c r="I1260" i="4"/>
  <c r="H226" i="19" s="1"/>
  <c r="H1256" i="4"/>
  <c r="G222" i="19" s="1"/>
  <c r="G1256" i="4"/>
  <c r="F222" i="19" s="1"/>
  <c r="J1262" i="4"/>
  <c r="I228" i="19" s="1"/>
  <c r="J1261" i="4"/>
  <c r="I227" i="19" s="1"/>
  <c r="J1260" i="4"/>
  <c r="I226" i="19" s="1"/>
  <c r="B1261" i="4"/>
  <c r="B227" i="19" s="1"/>
  <c r="B1262" i="4"/>
  <c r="B228" i="19" s="1"/>
  <c r="B1260" i="4"/>
  <c r="B226" i="19" s="1"/>
  <c r="AA269" i="12" l="1"/>
  <c r="Z33" i="12"/>
  <c r="BF32" i="12"/>
  <c r="AA330" i="12"/>
  <c r="AA327" i="12" s="1"/>
  <c r="AA328" i="12" s="1"/>
  <c r="AE284" i="12"/>
  <c r="AI243" i="12"/>
  <c r="AJ243" i="12" s="1"/>
  <c r="G118" i="6"/>
  <c r="G120" i="6"/>
  <c r="AE238" i="12"/>
  <c r="AE321" i="12" s="1"/>
  <c r="S1326" i="4"/>
  <c r="T1325" i="4"/>
  <c r="F1261" i="4"/>
  <c r="E1261" i="4" s="1"/>
  <c r="D1261" i="4" s="1"/>
  <c r="F227" i="19"/>
  <c r="F1262" i="4"/>
  <c r="E1262" i="4" s="1"/>
  <c r="D1262" i="4" s="1"/>
  <c r="F228" i="19"/>
  <c r="K1267" i="4"/>
  <c r="J233" i="19" s="1"/>
  <c r="J234" i="19"/>
  <c r="Z144" i="12"/>
  <c r="G1245" i="4" s="1"/>
  <c r="Z132" i="12"/>
  <c r="Z39" i="12"/>
  <c r="AD41" i="12" s="1"/>
  <c r="Z196" i="12"/>
  <c r="Z48" i="12"/>
  <c r="Z44" i="12"/>
  <c r="Z45" i="12" s="1"/>
  <c r="G1263" i="4"/>
  <c r="F229" i="19" s="1"/>
  <c r="J1263" i="4"/>
  <c r="F1260" i="4"/>
  <c r="E1260" i="4" s="1"/>
  <c r="D1260" i="4" s="1"/>
  <c r="I1263" i="4"/>
  <c r="H1263" i="4"/>
  <c r="G229" i="19" s="1"/>
  <c r="AA331" i="12" l="1"/>
  <c r="G250" i="19" s="1"/>
  <c r="AE264" i="12"/>
  <c r="AE244" i="12"/>
  <c r="AF243" i="12"/>
  <c r="AG243" i="12" s="1"/>
  <c r="AI277" i="12"/>
  <c r="AI284" i="12" s="1"/>
  <c r="AI264" i="12" s="1"/>
  <c r="AI281" i="12"/>
  <c r="AJ238" i="12"/>
  <c r="AJ244" i="12" s="1"/>
  <c r="AJ277" i="12"/>
  <c r="AI238" i="12"/>
  <c r="AJ281" i="12"/>
  <c r="AK243" i="12"/>
  <c r="AK238" i="12" s="1"/>
  <c r="K1374" i="4"/>
  <c r="AL243" i="12"/>
  <c r="K138" i="6"/>
  <c r="J138" i="6"/>
  <c r="L138" i="6"/>
  <c r="T1326" i="4"/>
  <c r="S1327" i="4"/>
  <c r="G180" i="6"/>
  <c r="G1268" i="4"/>
  <c r="F234" i="19" s="1"/>
  <c r="I1268" i="4"/>
  <c r="H234" i="19" s="1"/>
  <c r="H229" i="19"/>
  <c r="J1268" i="4"/>
  <c r="I234" i="19" s="1"/>
  <c r="I229" i="19"/>
  <c r="F1263" i="4"/>
  <c r="F1268" i="4" s="1"/>
  <c r="E1263" i="4"/>
  <c r="H1268" i="4"/>
  <c r="G234" i="19" s="1"/>
  <c r="D1263" i="4"/>
  <c r="AF281" i="12" l="1"/>
  <c r="AF277" i="12"/>
  <c r="AF284" i="12" s="1"/>
  <c r="AF264" i="12" s="1"/>
  <c r="AF238" i="12"/>
  <c r="AF244" i="12" s="1"/>
  <c r="AI232" i="12"/>
  <c r="AG238" i="12"/>
  <c r="AG244" i="12" s="1"/>
  <c r="AH281" i="12"/>
  <c r="AK277" i="12"/>
  <c r="AL277" i="12" s="1"/>
  <c r="AJ321" i="12"/>
  <c r="AI244" i="12"/>
  <c r="AG281" i="12"/>
  <c r="AK281" i="12"/>
  <c r="AJ284" i="12"/>
  <c r="AJ264" i="12" s="1"/>
  <c r="AG277" i="12"/>
  <c r="AG284" i="12" s="1"/>
  <c r="AG264" i="12" s="1"/>
  <c r="AK321" i="12"/>
  <c r="AJ247" i="12"/>
  <c r="L1374" i="4"/>
  <c r="AK244" i="12"/>
  <c r="AK247" i="12"/>
  <c r="T1327" i="4"/>
  <c r="U1327" i="4" s="1"/>
  <c r="S1328" i="4"/>
  <c r="J66" i="11"/>
  <c r="J67" i="11" s="1"/>
  <c r="D1268" i="4"/>
  <c r="E1268" i="4"/>
  <c r="AF247" i="12" l="1"/>
  <c r="AF321" i="12"/>
  <c r="AG247" i="12"/>
  <c r="AG321" i="12"/>
  <c r="M1374" i="4"/>
  <c r="AI337" i="12"/>
  <c r="AJ323" i="12"/>
  <c r="AJ232" i="12"/>
  <c r="AL278" i="12"/>
  <c r="AK284" i="12"/>
  <c r="AK264" i="12" s="1"/>
  <c r="M138" i="6"/>
  <c r="T1328" i="4"/>
  <c r="S1329" i="4"/>
  <c r="Y161" i="12"/>
  <c r="V161" i="12"/>
  <c r="U161" i="12"/>
  <c r="AJ337" i="12" l="1"/>
  <c r="N138" i="6"/>
  <c r="T1329" i="4"/>
  <c r="S1330" i="4"/>
  <c r="O138" i="6" l="1"/>
  <c r="T1330" i="4"/>
  <c r="U1330" i="4" s="1"/>
  <c r="S1331" i="4"/>
  <c r="T1331" i="4" l="1"/>
  <c r="S1332" i="4"/>
  <c r="T1332" i="4" l="1"/>
  <c r="S1333" i="4"/>
  <c r="T1333" i="4" l="1"/>
  <c r="U1333" i="4" s="1"/>
  <c r="S1334" i="4"/>
  <c r="C1279" i="4"/>
  <c r="D1277" i="4"/>
  <c r="E1277" i="4" s="1"/>
  <c r="F1277" i="4" s="1"/>
  <c r="G1277" i="4" s="1"/>
  <c r="C1278" i="4"/>
  <c r="B1278" i="4"/>
  <c r="S1249" i="4"/>
  <c r="R1249" i="4"/>
  <c r="J1249" i="4"/>
  <c r="I215" i="19" s="1"/>
  <c r="I1249" i="4"/>
  <c r="H1249" i="4"/>
  <c r="G1249" i="4"/>
  <c r="F1249" i="4"/>
  <c r="E215" i="19" s="1"/>
  <c r="E1249" i="4"/>
  <c r="D215" i="19" s="1"/>
  <c r="D1249" i="4"/>
  <c r="C215" i="19" s="1"/>
  <c r="J1269" i="4"/>
  <c r="I235" i="19" s="1"/>
  <c r="I1269" i="4"/>
  <c r="H235" i="19" s="1"/>
  <c r="H1269" i="4"/>
  <c r="G235" i="19" s="1"/>
  <c r="G1269" i="4"/>
  <c r="F235" i="19" s="1"/>
  <c r="F1269" i="4"/>
  <c r="E1269" i="4"/>
  <c r="D1269" i="4"/>
  <c r="J1266" i="4"/>
  <c r="I232" i="19" s="1"/>
  <c r="I1266" i="4"/>
  <c r="H1266" i="4"/>
  <c r="G232" i="19" s="1"/>
  <c r="G1266" i="4"/>
  <c r="F1266" i="4"/>
  <c r="E1266" i="4"/>
  <c r="D1266" i="4"/>
  <c r="S1273" i="4"/>
  <c r="R1273" i="4"/>
  <c r="Q1273" i="4"/>
  <c r="P1273" i="4"/>
  <c r="O1273" i="4"/>
  <c r="N1273" i="4"/>
  <c r="M1273" i="4"/>
  <c r="L1273" i="4"/>
  <c r="J1273" i="4"/>
  <c r="I1273" i="4"/>
  <c r="H1273" i="4"/>
  <c r="G1273" i="4"/>
  <c r="F1273" i="4"/>
  <c r="E1273" i="4"/>
  <c r="D1273" i="4"/>
  <c r="J1250" i="4"/>
  <c r="I1250" i="4"/>
  <c r="H1250" i="4"/>
  <c r="G216" i="19" s="1"/>
  <c r="G1250" i="4"/>
  <c r="F1250" i="4"/>
  <c r="E1250" i="4"/>
  <c r="D1250" i="4"/>
  <c r="D1248" i="4"/>
  <c r="E1248" i="4"/>
  <c r="F1248" i="4"/>
  <c r="G1248" i="4"/>
  <c r="T1334" i="4" l="1"/>
  <c r="S1335" i="4"/>
  <c r="F1267" i="4"/>
  <c r="E1267" i="4"/>
  <c r="D1264" i="4"/>
  <c r="C216" i="19"/>
  <c r="I1257" i="4"/>
  <c r="H223" i="19" s="1"/>
  <c r="H215" i="19"/>
  <c r="H1275" i="4"/>
  <c r="G239" i="19"/>
  <c r="E1264" i="4"/>
  <c r="D216" i="19"/>
  <c r="C1282" i="4"/>
  <c r="C214" i="19"/>
  <c r="G1267" i="4"/>
  <c r="F233" i="19" s="1"/>
  <c r="F232" i="19"/>
  <c r="G1275" i="4"/>
  <c r="F239" i="19"/>
  <c r="I1267" i="4"/>
  <c r="H233" i="19" s="1"/>
  <c r="H232" i="19"/>
  <c r="F1264" i="4"/>
  <c r="E216" i="19"/>
  <c r="I1275" i="4"/>
  <c r="H239" i="19"/>
  <c r="G1264" i="4"/>
  <c r="F230" i="19" s="1"/>
  <c r="F216" i="19"/>
  <c r="J1275" i="4"/>
  <c r="I239" i="19"/>
  <c r="F1282" i="4"/>
  <c r="F214" i="19"/>
  <c r="E1282" i="4"/>
  <c r="E214" i="19"/>
  <c r="I1264" i="4"/>
  <c r="H230" i="19" s="1"/>
  <c r="H216" i="19"/>
  <c r="G1257" i="4"/>
  <c r="F223" i="19" s="1"/>
  <c r="F215" i="19"/>
  <c r="D1282" i="4"/>
  <c r="D214" i="19"/>
  <c r="J1264" i="4"/>
  <c r="I230" i="19" s="1"/>
  <c r="I216" i="19"/>
  <c r="H1257" i="4"/>
  <c r="G223" i="19" s="1"/>
  <c r="G215" i="19"/>
  <c r="H1267" i="4"/>
  <c r="G233" i="19" s="1"/>
  <c r="J1257" i="4"/>
  <c r="I223" i="19" s="1"/>
  <c r="K1251" i="4"/>
  <c r="J217" i="19" s="1"/>
  <c r="J1267" i="4"/>
  <c r="I233" i="19" s="1"/>
  <c r="D1267" i="4"/>
  <c r="H1251" i="4"/>
  <c r="G217" i="19" s="1"/>
  <c r="H1264" i="4"/>
  <c r="G230" i="19" s="1"/>
  <c r="I1251" i="4"/>
  <c r="H217" i="19" s="1"/>
  <c r="J1251" i="4"/>
  <c r="I217" i="19" s="1"/>
  <c r="E1251" i="4"/>
  <c r="D217" i="19" s="1"/>
  <c r="F1251" i="4"/>
  <c r="E217" i="19" s="1"/>
  <c r="G1251" i="4"/>
  <c r="F217" i="19" s="1"/>
  <c r="G1271" i="4"/>
  <c r="H1271" i="4"/>
  <c r="I1271" i="4"/>
  <c r="F1271" i="4"/>
  <c r="F1272" i="4" s="1"/>
  <c r="J1271" i="4"/>
  <c r="K1271" i="4"/>
  <c r="D1271" i="4"/>
  <c r="D1272" i="4" s="1"/>
  <c r="E1271" i="4"/>
  <c r="E1272" i="4" s="1"/>
  <c r="D1274" i="4"/>
  <c r="C1283" i="4"/>
  <c r="E1283" i="4"/>
  <c r="F1283" i="4"/>
  <c r="D1283" i="4"/>
  <c r="G1283" i="4"/>
  <c r="H1283" i="4"/>
  <c r="I1283" i="4"/>
  <c r="J1274" i="4"/>
  <c r="I240" i="19" s="1"/>
  <c r="E1274" i="4"/>
  <c r="F1274" i="4"/>
  <c r="G1274" i="4"/>
  <c r="F240" i="19" s="1"/>
  <c r="H1274" i="4"/>
  <c r="G240" i="19" s="1"/>
  <c r="I1274" i="4"/>
  <c r="H240" i="19" s="1"/>
  <c r="T1335" i="4" l="1"/>
  <c r="S1336" i="4"/>
  <c r="J1276" i="4"/>
  <c r="J1272" i="4"/>
  <c r="I238" i="19" s="1"/>
  <c r="I237" i="19"/>
  <c r="I1272" i="4"/>
  <c r="H238" i="19" s="1"/>
  <c r="H237" i="19"/>
  <c r="H1272" i="4"/>
  <c r="G238" i="19" s="1"/>
  <c r="G237" i="19"/>
  <c r="K1272" i="4"/>
  <c r="J238" i="19" s="1"/>
  <c r="J237" i="19"/>
  <c r="G1272" i="4"/>
  <c r="F238" i="19" s="1"/>
  <c r="F237" i="19"/>
  <c r="P1243" i="4"/>
  <c r="T1248" i="4" s="1"/>
  <c r="O1243" i="4"/>
  <c r="S1248" i="4" s="1"/>
  <c r="N1243" i="4"/>
  <c r="R1248" i="4" s="1"/>
  <c r="M1243" i="4"/>
  <c r="Q1248" i="4" s="1"/>
  <c r="K1243" i="4"/>
  <c r="P1248" i="4" s="1"/>
  <c r="J1243" i="4"/>
  <c r="O1248" i="4" s="1"/>
  <c r="I1243" i="4"/>
  <c r="N1248" i="4" s="1"/>
  <c r="H1243" i="4"/>
  <c r="F1243" i="4"/>
  <c r="J1248" i="4" s="1"/>
  <c r="E1243" i="4"/>
  <c r="I1248" i="4" s="1"/>
  <c r="D1243" i="4"/>
  <c r="H1248" i="4" s="1"/>
  <c r="F1244" i="4"/>
  <c r="E1244" i="4"/>
  <c r="D1244" i="4"/>
  <c r="M1248" i="4" l="1"/>
  <c r="L1248" i="4"/>
  <c r="T1336" i="4"/>
  <c r="U1336" i="4" s="1"/>
  <c r="S1337" i="4"/>
  <c r="I1282" i="4"/>
  <c r="I214" i="19"/>
  <c r="H1282" i="4"/>
  <c r="H214" i="19"/>
  <c r="G1282" i="4"/>
  <c r="G214" i="19"/>
  <c r="F188" i="6"/>
  <c r="J123" i="6"/>
  <c r="K123" i="6" s="1"/>
  <c r="L123" i="6" s="1"/>
  <c r="M123" i="6" s="1"/>
  <c r="N123" i="6" s="1"/>
  <c r="O123" i="6" s="1"/>
  <c r="M1240" i="4"/>
  <c r="M1236" i="4"/>
  <c r="M1235" i="4"/>
  <c r="N1240" i="4"/>
  <c r="N1236" i="4"/>
  <c r="N1235" i="4"/>
  <c r="T1337" i="4" l="1"/>
  <c r="S1338" i="4"/>
  <c r="O1240" i="4"/>
  <c r="O1236" i="4"/>
  <c r="O1235" i="4"/>
  <c r="D1241" i="4"/>
  <c r="K1241" i="4"/>
  <c r="J1241" i="4"/>
  <c r="I1241" i="4"/>
  <c r="H1241" i="4"/>
  <c r="G1241" i="4"/>
  <c r="F1241" i="4"/>
  <c r="E1241" i="4"/>
  <c r="C1241" i="4"/>
  <c r="K1237" i="4"/>
  <c r="J1237" i="4"/>
  <c r="J1238" i="4" s="1"/>
  <c r="I1237" i="4"/>
  <c r="I1238" i="4" s="1"/>
  <c r="H1237" i="4"/>
  <c r="H1238" i="4" s="1"/>
  <c r="G1237" i="4"/>
  <c r="G1238" i="4" s="1"/>
  <c r="F1237" i="4"/>
  <c r="F1238" i="4" s="1"/>
  <c r="E1237" i="4"/>
  <c r="E1238" i="4" s="1"/>
  <c r="D1237" i="4"/>
  <c r="D1238" i="4" s="1"/>
  <c r="C1237" i="4"/>
  <c r="C1238" i="4" s="1"/>
  <c r="D1234" i="4"/>
  <c r="E1234" i="4" s="1"/>
  <c r="F1234" i="4" s="1"/>
  <c r="G1234" i="4" s="1"/>
  <c r="H1234" i="4" s="1"/>
  <c r="I1234" i="4" s="1"/>
  <c r="J1234" i="4" s="1"/>
  <c r="K1234" i="4" s="1"/>
  <c r="D1223" i="4"/>
  <c r="E1223" i="4" s="1"/>
  <c r="F1223" i="4" s="1"/>
  <c r="G1223" i="4" s="1"/>
  <c r="H1223" i="4" s="1"/>
  <c r="I1223" i="4" s="1"/>
  <c r="J1223" i="4" s="1"/>
  <c r="K1223" i="4" s="1"/>
  <c r="T1338" i="4" l="1"/>
  <c r="S1339" i="4"/>
  <c r="O1237" i="4"/>
  <c r="M1237" i="4"/>
  <c r="N1237" i="4"/>
  <c r="K1238" i="4"/>
  <c r="T1339" i="4" l="1"/>
  <c r="U1339" i="4" s="1"/>
  <c r="S1340" i="4"/>
  <c r="N1238" i="4"/>
  <c r="M1238" i="4"/>
  <c r="O1238" i="4"/>
  <c r="C126" i="15"/>
  <c r="S1341" i="4" l="1"/>
  <c r="T1341" i="4" s="1"/>
  <c r="T1340" i="4"/>
  <c r="I1220" i="4"/>
  <c r="I1218" i="4" s="1"/>
  <c r="N1217" i="4"/>
  <c r="M1217" i="4"/>
  <c r="L1217" i="4"/>
  <c r="K1217" i="4"/>
  <c r="J1217" i="4"/>
  <c r="I1217" i="4"/>
  <c r="H1217" i="4"/>
  <c r="G1217" i="4"/>
  <c r="F1217" i="4"/>
  <c r="E1217" i="4"/>
  <c r="D1217" i="4"/>
  <c r="C1217" i="4"/>
  <c r="N1220" i="4"/>
  <c r="N1219" i="4" s="1"/>
  <c r="M1220" i="4"/>
  <c r="M1219" i="4" s="1"/>
  <c r="L1220" i="4"/>
  <c r="L1219" i="4" s="1"/>
  <c r="K1220" i="4"/>
  <c r="K1219" i="4" s="1"/>
  <c r="J1220" i="4"/>
  <c r="J1218" i="4" s="1"/>
  <c r="H1220" i="4"/>
  <c r="H1218" i="4" s="1"/>
  <c r="G1220" i="4"/>
  <c r="F1218" i="4"/>
  <c r="E1218" i="4"/>
  <c r="D1218" i="4"/>
  <c r="C1218" i="4"/>
  <c r="X274" i="12" l="1"/>
  <c r="X273" i="12"/>
  <c r="X272" i="12"/>
  <c r="W274" i="12"/>
  <c r="W273" i="12"/>
  <c r="W272" i="12"/>
  <c r="Y262" i="12"/>
  <c r="X262" i="12"/>
  <c r="W262" i="12"/>
  <c r="V262" i="12"/>
  <c r="Y261" i="12"/>
  <c r="X261" i="12"/>
  <c r="W261" i="12"/>
  <c r="V261" i="12"/>
  <c r="Y260" i="12"/>
  <c r="X260" i="12"/>
  <c r="W260" i="12"/>
  <c r="V260" i="12"/>
  <c r="B262" i="12"/>
  <c r="B261" i="12"/>
  <c r="B260" i="12"/>
  <c r="V274" i="12"/>
  <c r="V273" i="12"/>
  <c r="V272" i="12"/>
  <c r="Y274" i="12"/>
  <c r="Y273" i="12"/>
  <c r="Y272" i="12"/>
  <c r="V254" i="12"/>
  <c r="F117" i="6" s="1"/>
  <c r="F118" i="6" s="1"/>
  <c r="W254" i="12"/>
  <c r="X254" i="12"/>
  <c r="Y254" i="12"/>
  <c r="X337" i="12"/>
  <c r="X338" i="12" s="1"/>
  <c r="W337" i="12"/>
  <c r="W338" i="12" s="1"/>
  <c r="V337" i="12"/>
  <c r="V338" i="12" s="1"/>
  <c r="U337" i="12"/>
  <c r="U338" i="12" s="1"/>
  <c r="T337" i="12"/>
  <c r="S337" i="12"/>
  <c r="Y337" i="12"/>
  <c r="Y338" i="12" s="1"/>
  <c r="Y271" i="12" l="1"/>
  <c r="Y264" i="12"/>
  <c r="Y80" i="12" s="1"/>
  <c r="Y78" i="12" s="1"/>
  <c r="Z264" i="12"/>
  <c r="Z80" i="12" s="1"/>
  <c r="Z78" i="12" s="1"/>
  <c r="Z79" i="12" s="1"/>
  <c r="X259" i="12"/>
  <c r="X264" i="12"/>
  <c r="X80" i="12" s="1"/>
  <c r="X78" i="12" s="1"/>
  <c r="W259" i="12"/>
  <c r="W264" i="12"/>
  <c r="W80" i="12" s="1"/>
  <c r="W78" i="12" s="1"/>
  <c r="V259" i="12"/>
  <c r="F180" i="6"/>
  <c r="W271" i="12"/>
  <c r="Y259" i="12"/>
  <c r="X271" i="12"/>
  <c r="E1151" i="4"/>
  <c r="E1152" i="4"/>
  <c r="I66" i="11" l="1"/>
  <c r="I67" i="11" s="1"/>
  <c r="W269" i="12"/>
  <c r="W330" i="12"/>
  <c r="X269" i="12"/>
  <c r="X330" i="12"/>
  <c r="Z330" i="12"/>
  <c r="Y269" i="12"/>
  <c r="Y330" i="12"/>
  <c r="V84" i="12"/>
  <c r="W87" i="12"/>
  <c r="W30" i="12" s="1"/>
  <c r="V85" i="12"/>
  <c r="T87" i="12"/>
  <c r="X87" i="12"/>
  <c r="X30" i="12" s="1"/>
  <c r="V87" i="12"/>
  <c r="Z331" i="12" l="1"/>
  <c r="F250" i="19" s="1"/>
  <c r="Z327" i="12"/>
  <c r="X331" i="12"/>
  <c r="D250" i="19" s="1"/>
  <c r="X327" i="12"/>
  <c r="X328" i="12" s="1"/>
  <c r="W331" i="12"/>
  <c r="C250" i="19" s="1"/>
  <c r="W327" i="12"/>
  <c r="W328" i="12" s="1"/>
  <c r="Y331" i="12"/>
  <c r="E250" i="19" s="1"/>
  <c r="Y327" i="12"/>
  <c r="Y328" i="12" s="1"/>
  <c r="X86" i="12"/>
  <c r="V86" i="12"/>
  <c r="W86" i="12"/>
  <c r="U87" i="12"/>
  <c r="Y87" i="12"/>
  <c r="Y30" i="12" s="1"/>
  <c r="U85" i="12"/>
  <c r="Y207" i="12"/>
  <c r="X207" i="12"/>
  <c r="V207" i="12"/>
  <c r="U207" i="12"/>
  <c r="T207" i="12"/>
  <c r="Y86" i="12" l="1"/>
  <c r="U86" i="12"/>
  <c r="H10" i="6"/>
  <c r="I10" i="6" s="1"/>
  <c r="J10" i="6" s="1"/>
  <c r="K10" i="6" s="1"/>
  <c r="L10" i="6" s="1"/>
  <c r="M10" i="6" s="1"/>
  <c r="N10" i="6" s="1"/>
  <c r="O10" i="6" s="1"/>
  <c r="W224" i="12"/>
  <c r="X224" i="12" l="1"/>
  <c r="AF157" i="12"/>
  <c r="Y224" i="12" l="1"/>
  <c r="E1528" i="3"/>
  <c r="Z224" i="12" l="1"/>
  <c r="Y157" i="12"/>
  <c r="X157" i="12"/>
  <c r="Y191" i="12" l="1"/>
  <c r="X191" i="12"/>
  <c r="M1196" i="4" l="1"/>
  <c r="L1196" i="4"/>
  <c r="K1196" i="4"/>
  <c r="J1196" i="4"/>
  <c r="I1196" i="4"/>
  <c r="H1196" i="4"/>
  <c r="G1196" i="4"/>
  <c r="F1196" i="4"/>
  <c r="E1196" i="4"/>
  <c r="D1196" i="4"/>
  <c r="C1196" i="4"/>
  <c r="J1197" i="4"/>
  <c r="I1197" i="4"/>
  <c r="T341" i="12"/>
  <c r="H1197" i="4" s="1"/>
  <c r="S341" i="12"/>
  <c r="G1197" i="4" s="1"/>
  <c r="R341" i="12"/>
  <c r="F1197" i="4" s="1"/>
  <c r="Q341" i="12"/>
  <c r="E1197" i="4" s="1"/>
  <c r="P341" i="12"/>
  <c r="D1197" i="4" s="1"/>
  <c r="O341" i="12"/>
  <c r="C1197" i="4" s="1"/>
  <c r="I178" i="19"/>
  <c r="H178" i="19"/>
  <c r="G178" i="19"/>
  <c r="F178" i="19"/>
  <c r="E178" i="19"/>
  <c r="D178" i="19"/>
  <c r="C178" i="19"/>
  <c r="L132" i="19"/>
  <c r="P136" i="19" s="1"/>
  <c r="Y296" i="12"/>
  <c r="M132" i="19"/>
  <c r="Q136" i="19" s="1"/>
  <c r="Y162" i="12"/>
  <c r="Y167" i="12" l="1"/>
  <c r="E23" i="19" s="1"/>
  <c r="E10" i="19"/>
  <c r="M134" i="19"/>
  <c r="M133" i="19"/>
  <c r="Y251" i="12"/>
  <c r="Y222" i="12"/>
  <c r="Y216" i="12"/>
  <c r="Y213" i="12"/>
  <c r="Y211" i="12"/>
  <c r="Y209" i="12"/>
  <c r="Y204" i="12"/>
  <c r="Y208" i="12" s="1"/>
  <c r="Y190" i="12"/>
  <c r="Z184" i="12" s="1"/>
  <c r="Y163" i="12"/>
  <c r="Y158" i="12"/>
  <c r="BA158" i="12" s="1"/>
  <c r="Y153" i="12"/>
  <c r="Y154" i="12" s="1"/>
  <c r="Y136" i="12"/>
  <c r="Y127" i="12"/>
  <c r="Y126" i="12"/>
  <c r="Y114" i="12"/>
  <c r="Y111" i="12"/>
  <c r="E1153" i="4" s="1"/>
  <c r="Y75" i="12"/>
  <c r="Y72" i="12"/>
  <c r="Y10" i="12"/>
  <c r="Y8" i="12"/>
  <c r="BA160" i="12"/>
  <c r="BA159" i="12"/>
  <c r="BA7" i="12"/>
  <c r="BA5" i="12"/>
  <c r="BA4" i="12"/>
  <c r="BJ4" i="12"/>
  <c r="BI4" i="12"/>
  <c r="BH4" i="12"/>
  <c r="BG4" i="12"/>
  <c r="AE163" i="12"/>
  <c r="AE165" i="12" s="1"/>
  <c r="AE162" i="12" l="1"/>
  <c r="E1540" i="4"/>
  <c r="BE8" i="12"/>
  <c r="E1541" i="4"/>
  <c r="BE10" i="12"/>
  <c r="Y73" i="12"/>
  <c r="E17" i="19"/>
  <c r="E16" i="19" s="1"/>
  <c r="Y92" i="12"/>
  <c r="Y95" i="12" s="1"/>
  <c r="E9" i="19"/>
  <c r="Z185" i="12"/>
  <c r="BA8" i="12"/>
  <c r="Y59" i="12"/>
  <c r="Y60" i="12" s="1"/>
  <c r="Y19" i="12" s="1"/>
  <c r="Y16" i="12"/>
  <c r="M1197" i="4"/>
  <c r="Y250" i="12"/>
  <c r="Y180" i="12"/>
  <c r="Y176" i="12"/>
  <c r="Y98" i="12"/>
  <c r="Y105" i="12" s="1"/>
  <c r="Y171" i="12"/>
  <c r="Y217" i="12"/>
  <c r="Y165" i="12"/>
  <c r="BE165" i="12" s="1"/>
  <c r="Y13" i="12"/>
  <c r="Q1249" i="4"/>
  <c r="AH222" i="12"/>
  <c r="AH158" i="12"/>
  <c r="BJ158" i="12" s="1"/>
  <c r="AH97" i="12"/>
  <c r="I168" i="6" s="1"/>
  <c r="I163" i="6" s="1"/>
  <c r="I162" i="6" s="1"/>
  <c r="I161" i="6" s="1"/>
  <c r="AG222" i="12"/>
  <c r="AF222" i="12"/>
  <c r="AE222" i="12"/>
  <c r="AG163" i="12"/>
  <c r="AF163" i="12"/>
  <c r="AF10" i="12" s="1"/>
  <c r="AE180" i="12"/>
  <c r="AG158" i="12"/>
  <c r="BI158" i="12" s="1"/>
  <c r="AF158" i="12"/>
  <c r="BH158" i="12" s="1"/>
  <c r="AE158" i="12"/>
  <c r="BG158" i="12" s="1"/>
  <c r="AG130" i="12"/>
  <c r="AF130" i="12"/>
  <c r="AE130" i="12"/>
  <c r="AG127" i="12"/>
  <c r="AF127" i="12"/>
  <c r="AE127" i="12"/>
  <c r="AG21" i="12"/>
  <c r="AF21" i="12"/>
  <c r="AE21" i="12"/>
  <c r="AG19" i="12"/>
  <c r="M1542" i="4" s="1"/>
  <c r="AF19" i="12"/>
  <c r="L1542" i="4" s="1"/>
  <c r="AE19" i="12"/>
  <c r="K1542" i="4" s="1"/>
  <c r="K54" i="11"/>
  <c r="L54" i="11" s="1"/>
  <c r="K17" i="1"/>
  <c r="L17" i="1"/>
  <c r="M17" i="1"/>
  <c r="N17" i="1"/>
  <c r="K65" i="1"/>
  <c r="K66" i="1"/>
  <c r="L66" i="1"/>
  <c r="M66" i="1"/>
  <c r="N66" i="1"/>
  <c r="O66" i="1"/>
  <c r="P66" i="1"/>
  <c r="Q66" i="1"/>
  <c r="R66" i="1"/>
  <c r="S66" i="1"/>
  <c r="K75" i="1"/>
  <c r="L75" i="1" s="1"/>
  <c r="M106" i="1"/>
  <c r="N106" i="1" s="1"/>
  <c r="O106" i="1" s="1"/>
  <c r="K108" i="1"/>
  <c r="K109" i="1"/>
  <c r="L144" i="1"/>
  <c r="M144" i="1"/>
  <c r="N144" i="1"/>
  <c r="O144" i="1"/>
  <c r="O146" i="1" s="1"/>
  <c r="P144" i="1"/>
  <c r="P146" i="1" s="1"/>
  <c r="Q144" i="1"/>
  <c r="Q146" i="1" s="1"/>
  <c r="R144" i="1"/>
  <c r="R146" i="1" s="1"/>
  <c r="S144" i="1"/>
  <c r="S146" i="1"/>
  <c r="L152" i="1"/>
  <c r="M152" i="1" s="1"/>
  <c r="L161" i="1"/>
  <c r="BH21" i="12" l="1"/>
  <c r="AF29" i="12"/>
  <c r="BI21" i="12"/>
  <c r="AG29" i="12"/>
  <c r="BG21" i="12"/>
  <c r="AE29" i="12"/>
  <c r="I94" i="6"/>
  <c r="Z14" i="12"/>
  <c r="AF180" i="12"/>
  <c r="AF162" i="12"/>
  <c r="AG10" i="12"/>
  <c r="AG59" i="12" s="1"/>
  <c r="AG162" i="12"/>
  <c r="E7" i="19"/>
  <c r="E6" i="19" s="1"/>
  <c r="BE13" i="12"/>
  <c r="Y21" i="12"/>
  <c r="E1542" i="4"/>
  <c r="E1543" i="4" s="1"/>
  <c r="I203" i="19"/>
  <c r="E1848" i="3"/>
  <c r="L108" i="1"/>
  <c r="M108" i="1" s="1"/>
  <c r="N108" i="1" s="1"/>
  <c r="O108" i="1" s="1"/>
  <c r="P108" i="1" s="1"/>
  <c r="Q108" i="1" s="1"/>
  <c r="R108" i="1" s="1"/>
  <c r="S108" i="1" s="1"/>
  <c r="K99" i="1"/>
  <c r="R114" i="1"/>
  <c r="S114" i="1" s="1"/>
  <c r="Y178" i="12"/>
  <c r="E19" i="19"/>
  <c r="Y107" i="12"/>
  <c r="AG38" i="12"/>
  <c r="AG39" i="12" s="1"/>
  <c r="AG41" i="12" s="1"/>
  <c r="Y62" i="12"/>
  <c r="E1154" i="4"/>
  <c r="K30" i="1"/>
  <c r="L111" i="1"/>
  <c r="K111" i="1"/>
  <c r="M135" i="19"/>
  <c r="Y252" i="12"/>
  <c r="Y183" i="12"/>
  <c r="Y199" i="12"/>
  <c r="Y50" i="12"/>
  <c r="Y52" i="12" s="1"/>
  <c r="Y125" i="12"/>
  <c r="Y129" i="12" s="1"/>
  <c r="Y131" i="12" s="1"/>
  <c r="Y137" i="12"/>
  <c r="Y103" i="12"/>
  <c r="Y106" i="12"/>
  <c r="Y109" i="12"/>
  <c r="Y186" i="12"/>
  <c r="Y134" i="12"/>
  <c r="AG201" i="12"/>
  <c r="AE10" i="12"/>
  <c r="AE201" i="12"/>
  <c r="AF201" i="12"/>
  <c r="AE38" i="12"/>
  <c r="AF38" i="12"/>
  <c r="AG180" i="12"/>
  <c r="K1346" i="4"/>
  <c r="M75" i="1"/>
  <c r="P106" i="1"/>
  <c r="N152" i="1"/>
  <c r="M154" i="1"/>
  <c r="L30" i="1"/>
  <c r="L42" i="1"/>
  <c r="M9" i="1"/>
  <c r="M24" i="1" s="1"/>
  <c r="M161" i="1"/>
  <c r="N161" i="1" s="1"/>
  <c r="P161" i="1" s="1"/>
  <c r="Q161" i="1" s="1"/>
  <c r="R161" i="1" s="1"/>
  <c r="S161" i="1" s="1"/>
  <c r="L109" i="1"/>
  <c r="K29" i="1"/>
  <c r="K15" i="1"/>
  <c r="L154" i="1"/>
  <c r="K42" i="1"/>
  <c r="BE21" i="12" l="1"/>
  <c r="Y32" i="12"/>
  <c r="Y29" i="12"/>
  <c r="Y25" i="12"/>
  <c r="Y53" i="12"/>
  <c r="Y201" i="12"/>
  <c r="Y200" i="12" s="1"/>
  <c r="Y195" i="12" s="1"/>
  <c r="Y38" i="12"/>
  <c r="Y39" i="12" s="1"/>
  <c r="AC41" i="12" s="1"/>
  <c r="M1541" i="4"/>
  <c r="BI10" i="12"/>
  <c r="AG5" i="12"/>
  <c r="BI5" i="12" s="1"/>
  <c r="Y22" i="12"/>
  <c r="AC23" i="12" s="1"/>
  <c r="Y24" i="12"/>
  <c r="Y27" i="12"/>
  <c r="Y79" i="12" s="1"/>
  <c r="Y43" i="12"/>
  <c r="BG10" i="12"/>
  <c r="K1541" i="4"/>
  <c r="BH10" i="12"/>
  <c r="L1541" i="4"/>
  <c r="E1544" i="4"/>
  <c r="E1547" i="4"/>
  <c r="E1548" i="4" s="1"/>
  <c r="E1551" i="4" s="1"/>
  <c r="L65" i="1"/>
  <c r="M29" i="1"/>
  <c r="N29" i="1" s="1"/>
  <c r="O29" i="1" s="1"/>
  <c r="P29" i="1" s="1"/>
  <c r="Q29" i="1" s="1"/>
  <c r="R29" i="1" s="1"/>
  <c r="S29" i="1" s="1"/>
  <c r="AG196" i="12"/>
  <c r="Y132" i="12"/>
  <c r="Y144" i="12"/>
  <c r="F1245" i="4" s="1"/>
  <c r="Y47" i="12"/>
  <c r="AE5" i="12"/>
  <c r="AF59" i="12"/>
  <c r="AF61" i="12" s="1"/>
  <c r="AF5" i="12"/>
  <c r="BH5" i="12" s="1"/>
  <c r="AE59" i="12"/>
  <c r="AE61" i="12" s="1"/>
  <c r="AE39" i="12"/>
  <c r="AE41" i="12" s="1"/>
  <c r="AE196" i="12"/>
  <c r="L1346" i="4"/>
  <c r="AG61" i="12"/>
  <c r="AF39" i="12"/>
  <c r="AF41" i="12" s="1"/>
  <c r="AF196" i="12"/>
  <c r="Q106" i="1"/>
  <c r="N75" i="1"/>
  <c r="O152" i="1"/>
  <c r="N154" i="1"/>
  <c r="M109" i="1"/>
  <c r="M111" i="1"/>
  <c r="N9" i="1"/>
  <c r="M30" i="1"/>
  <c r="M42" i="1"/>
  <c r="F1172" i="4"/>
  <c r="W153" i="12"/>
  <c r="W154" i="12" s="1"/>
  <c r="X153" i="12"/>
  <c r="X154" i="12" s="1"/>
  <c r="F1176" i="4"/>
  <c r="F1174" i="4"/>
  <c r="G1174" i="4" s="1"/>
  <c r="H1174" i="4" s="1"/>
  <c r="I1174" i="4" s="1"/>
  <c r="G1184" i="4"/>
  <c r="H1184" i="4" s="1"/>
  <c r="I1184" i="4" s="1"/>
  <c r="G1173" i="4"/>
  <c r="H1173" i="4" s="1"/>
  <c r="I1173" i="4" s="1"/>
  <c r="E1173" i="4"/>
  <c r="D1173" i="4" s="1"/>
  <c r="C1173" i="4" s="1"/>
  <c r="BE32" i="12" l="1"/>
  <c r="Y33" i="12"/>
  <c r="N5" i="1"/>
  <c r="N65" i="1" s="1"/>
  <c r="Y196" i="12"/>
  <c r="AG62" i="12"/>
  <c r="AG9" i="12"/>
  <c r="H27" i="17" s="1"/>
  <c r="M5" i="1"/>
  <c r="M65" i="1" s="1"/>
  <c r="AE9" i="12"/>
  <c r="BG5" i="12"/>
  <c r="Y44" i="12"/>
  <c r="Y45" i="12" s="1"/>
  <c r="Y48" i="12"/>
  <c r="AF9" i="12"/>
  <c r="AF62" i="12"/>
  <c r="E1174" i="4"/>
  <c r="D1174" i="4" s="1"/>
  <c r="D1172" i="4" s="1"/>
  <c r="AE62" i="12"/>
  <c r="R106" i="1"/>
  <c r="P152" i="1"/>
  <c r="O154" i="1"/>
  <c r="O75" i="1"/>
  <c r="N109" i="1"/>
  <c r="N111" i="1"/>
  <c r="O111" i="1"/>
  <c r="O9" i="1"/>
  <c r="O5" i="1" s="1"/>
  <c r="O65" i="1" s="1"/>
  <c r="N30" i="1"/>
  <c r="N42" i="1"/>
  <c r="E1184" i="4"/>
  <c r="D1184" i="4" s="1"/>
  <c r="C1184" i="4" s="1"/>
  <c r="H1172" i="4"/>
  <c r="H1176" i="4" s="1"/>
  <c r="C1172" i="4"/>
  <c r="G1172" i="4"/>
  <c r="G1176" i="4" s="1"/>
  <c r="F1185" i="4"/>
  <c r="F1186" i="4" s="1"/>
  <c r="I1172" i="4"/>
  <c r="I1176" i="4" s="1"/>
  <c r="M1540" i="4" l="1"/>
  <c r="M1543" i="4" s="1"/>
  <c r="M1544" i="4" s="1"/>
  <c r="AE140" i="12"/>
  <c r="F27" i="17"/>
  <c r="AF140" i="12"/>
  <c r="G27" i="17"/>
  <c r="BI9" i="12"/>
  <c r="AG140" i="12"/>
  <c r="AG75" i="12"/>
  <c r="AG13" i="12"/>
  <c r="BG9" i="12"/>
  <c r="K1540" i="4"/>
  <c r="K1543" i="4" s="1"/>
  <c r="BH9" i="12"/>
  <c r="L1540" i="4"/>
  <c r="L1543" i="4" s="1"/>
  <c r="AE75" i="12"/>
  <c r="AE13" i="12"/>
  <c r="AE14" i="12" s="1"/>
  <c r="M1346" i="4"/>
  <c r="E1172" i="4"/>
  <c r="E1176" i="4" s="1"/>
  <c r="E1177" i="4" s="1"/>
  <c r="AF75" i="12"/>
  <c r="AF13" i="12"/>
  <c r="D1176" i="4"/>
  <c r="D1177" i="4" s="1"/>
  <c r="C1176" i="4"/>
  <c r="C1185" i="4" s="1"/>
  <c r="C1186" i="4" s="1"/>
  <c r="C1187" i="4" s="1"/>
  <c r="O109" i="1"/>
  <c r="P9" i="1"/>
  <c r="P5" i="1" s="1"/>
  <c r="P65" i="1" s="1"/>
  <c r="O30" i="1"/>
  <c r="O42" i="1"/>
  <c r="S106" i="1"/>
  <c r="P75" i="1"/>
  <c r="Q152" i="1"/>
  <c r="P154" i="1"/>
  <c r="I1177" i="4"/>
  <c r="I1185" i="4"/>
  <c r="G1177" i="4"/>
  <c r="G1185" i="4"/>
  <c r="H1177" i="4"/>
  <c r="H1185" i="4"/>
  <c r="H1186" i="4" s="1"/>
  <c r="F1187" i="4"/>
  <c r="BI13" i="12" l="1"/>
  <c r="AG14" i="12"/>
  <c r="BH13" i="12"/>
  <c r="AF14" i="12"/>
  <c r="BG13" i="12"/>
  <c r="K1544" i="4"/>
  <c r="L1544" i="4"/>
  <c r="E1185" i="4"/>
  <c r="E1186" i="4" s="1"/>
  <c r="E1187" i="4" s="1"/>
  <c r="C1177" i="4"/>
  <c r="D1185" i="4"/>
  <c r="D1186" i="4" s="1"/>
  <c r="D1187" i="4" s="1"/>
  <c r="R152" i="1"/>
  <c r="Q154" i="1"/>
  <c r="P109" i="1"/>
  <c r="Q75" i="1"/>
  <c r="Q9" i="1"/>
  <c r="Q5" i="1" s="1"/>
  <c r="Q65" i="1" s="1"/>
  <c r="P30" i="1"/>
  <c r="P42" i="1"/>
  <c r="P111" i="1"/>
  <c r="G1186" i="4"/>
  <c r="I1186" i="4"/>
  <c r="H1187" i="4"/>
  <c r="Q109" i="1" l="1"/>
  <c r="R9" i="1"/>
  <c r="R5" i="1" s="1"/>
  <c r="R65" i="1" s="1"/>
  <c r="Q42" i="1"/>
  <c r="Q30" i="1"/>
  <c r="R75" i="1"/>
  <c r="Q111" i="1"/>
  <c r="S152" i="1"/>
  <c r="S154" i="1" s="1"/>
  <c r="R154" i="1"/>
  <c r="G1187" i="4"/>
  <c r="I1187" i="4"/>
  <c r="S109" i="1" l="1"/>
  <c r="R109" i="1"/>
  <c r="S111" i="1"/>
  <c r="S75" i="1"/>
  <c r="R42" i="1"/>
  <c r="R30" i="1"/>
  <c r="S9" i="1"/>
  <c r="R111" i="1"/>
  <c r="S5" i="1" l="1"/>
  <c r="T9" i="1"/>
  <c r="S42" i="1"/>
  <c r="S30" i="1"/>
  <c r="S65" i="1" l="1"/>
  <c r="T5" i="1"/>
  <c r="D1152" i="4"/>
  <c r="C1152" i="4"/>
  <c r="J1151" i="4"/>
  <c r="J1156" i="4" s="1"/>
  <c r="I1151" i="4"/>
  <c r="I1156" i="4" s="1"/>
  <c r="H1151" i="4"/>
  <c r="H1156" i="4" s="1"/>
  <c r="G1151" i="4"/>
  <c r="G1156" i="4" s="1"/>
  <c r="F1151" i="4"/>
  <c r="F1156" i="4" s="1"/>
  <c r="E1156" i="4"/>
  <c r="D1151" i="4"/>
  <c r="D1156" i="4" s="1"/>
  <c r="C1151" i="4"/>
  <c r="C1156" i="4" s="1"/>
  <c r="X75" i="12" l="1"/>
  <c r="W75" i="12"/>
  <c r="V75" i="12"/>
  <c r="T75" i="12"/>
  <c r="S75" i="12"/>
  <c r="Q75" i="12"/>
  <c r="P75" i="12"/>
  <c r="O75" i="12"/>
  <c r="I76" i="11"/>
  <c r="H76" i="11"/>
  <c r="F76" i="11"/>
  <c r="B89" i="5" l="1"/>
  <c r="B85" i="5"/>
  <c r="B84" i="5"/>
  <c r="B83" i="5"/>
  <c r="B82" i="5"/>
  <c r="B80" i="5"/>
  <c r="B79" i="5"/>
  <c r="B78" i="5"/>
  <c r="B77" i="5"/>
  <c r="B76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B65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2" i="5"/>
  <c r="B11" i="5"/>
  <c r="B10" i="5"/>
  <c r="B7" i="5"/>
  <c r="B6" i="5"/>
  <c r="B5" i="5"/>
  <c r="G1127" i="4"/>
  <c r="F1127" i="4"/>
  <c r="E1127" i="4"/>
  <c r="D1127" i="4"/>
  <c r="C1127" i="4"/>
  <c r="L1123" i="4"/>
  <c r="K1123" i="4"/>
  <c r="J1123" i="4"/>
  <c r="I1123" i="4"/>
  <c r="H1123" i="4"/>
  <c r="G1123" i="4"/>
  <c r="F1123" i="4"/>
  <c r="E1123" i="4"/>
  <c r="D1123" i="4"/>
  <c r="C1123" i="4"/>
  <c r="L1121" i="4"/>
  <c r="K1121" i="4"/>
  <c r="J1121" i="4"/>
  <c r="I1121" i="4"/>
  <c r="H1121" i="4"/>
  <c r="G1121" i="4"/>
  <c r="F1121" i="4"/>
  <c r="E1121" i="4"/>
  <c r="E1122" i="4" s="1"/>
  <c r="D1121" i="4"/>
  <c r="D1122" i="4" s="1"/>
  <c r="C1121" i="4"/>
  <c r="C1122" i="4" s="1"/>
  <c r="L1120" i="4"/>
  <c r="G1126" i="4" s="1"/>
  <c r="K1120" i="4"/>
  <c r="F1126" i="4" s="1"/>
  <c r="J1120" i="4"/>
  <c r="E1126" i="4" s="1"/>
  <c r="I1120" i="4"/>
  <c r="D1126" i="4" s="1"/>
  <c r="H1120" i="4"/>
  <c r="C1126" i="4" s="1"/>
  <c r="G1120" i="4"/>
  <c r="F1120" i="4"/>
  <c r="E1120" i="4"/>
  <c r="D1120" i="4"/>
  <c r="C1120" i="4"/>
  <c r="F1116" i="4"/>
  <c r="E1116" i="4"/>
  <c r="D1116" i="4"/>
  <c r="C1116" i="4"/>
  <c r="B1116" i="4"/>
  <c r="F1115" i="4"/>
  <c r="E1115" i="4"/>
  <c r="D1115" i="4"/>
  <c r="C1115" i="4"/>
  <c r="B1114" i="4"/>
  <c r="B1113" i="4"/>
  <c r="F1105" i="4"/>
  <c r="E1105" i="4"/>
  <c r="D1105" i="4"/>
  <c r="C1105" i="4"/>
  <c r="B1070" i="4"/>
  <c r="B1069" i="4"/>
  <c r="D1063" i="4"/>
  <c r="E1063" i="4" s="1"/>
  <c r="F1063" i="4" s="1"/>
  <c r="D1012" i="4"/>
  <c r="E1012" i="4" s="1"/>
  <c r="F1012" i="4" s="1"/>
  <c r="B1002" i="4"/>
  <c r="B1001" i="4"/>
  <c r="B1000" i="4"/>
  <c r="B999" i="4"/>
  <c r="D966" i="4"/>
  <c r="D965" i="4"/>
  <c r="D963" i="4"/>
  <c r="B946" i="4"/>
  <c r="B945" i="4"/>
  <c r="D944" i="4"/>
  <c r="B917" i="4"/>
  <c r="B916" i="4"/>
  <c r="D911" i="4"/>
  <c r="D917" i="4" s="1"/>
  <c r="D905" i="4"/>
  <c r="D908" i="4" s="1"/>
  <c r="D910" i="4" s="1"/>
  <c r="D927" i="4" s="1"/>
  <c r="D928" i="4" s="1"/>
  <c r="D929" i="4" s="1"/>
  <c r="F900" i="4"/>
  <c r="F892" i="4"/>
  <c r="E892" i="4"/>
  <c r="D892" i="4"/>
  <c r="E883" i="4"/>
  <c r="F883" i="4" s="1"/>
  <c r="E871" i="4"/>
  <c r="D871" i="4"/>
  <c r="C871" i="4"/>
  <c r="B865" i="4"/>
  <c r="B866" i="4" s="1"/>
  <c r="E858" i="4"/>
  <c r="G866" i="4" s="1"/>
  <c r="D858" i="4"/>
  <c r="G865" i="4" s="1"/>
  <c r="C858" i="4"/>
  <c r="F864" i="4" s="1"/>
  <c r="E856" i="4"/>
  <c r="F856" i="4" s="1"/>
  <c r="G856" i="4" s="1"/>
  <c r="H856" i="4" s="1"/>
  <c r="I856" i="4" s="1"/>
  <c r="J856" i="4" s="1"/>
  <c r="N849" i="4"/>
  <c r="M849" i="4"/>
  <c r="L849" i="4"/>
  <c r="K849" i="4"/>
  <c r="J849" i="4"/>
  <c r="I849" i="4"/>
  <c r="H849" i="4"/>
  <c r="G849" i="4"/>
  <c r="F849" i="4"/>
  <c r="E849" i="4"/>
  <c r="D849" i="4"/>
  <c r="C849" i="4"/>
  <c r="D823" i="4"/>
  <c r="E823" i="4" s="1"/>
  <c r="F823" i="4" s="1"/>
  <c r="G823" i="4" s="1"/>
  <c r="H823" i="4" s="1"/>
  <c r="I823" i="4" s="1"/>
  <c r="J823" i="4" s="1"/>
  <c r="K823" i="4" s="1"/>
  <c r="L823" i="4" s="1"/>
  <c r="K792" i="4"/>
  <c r="K791" i="4"/>
  <c r="F791" i="4"/>
  <c r="E791" i="4"/>
  <c r="C791" i="4"/>
  <c r="M790" i="4"/>
  <c r="L790" i="4"/>
  <c r="K790" i="4"/>
  <c r="J790" i="4"/>
  <c r="I790" i="4"/>
  <c r="H790" i="4"/>
  <c r="G790" i="4"/>
  <c r="F790" i="4"/>
  <c r="E790" i="4"/>
  <c r="D790" i="4"/>
  <c r="C790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D766" i="4"/>
  <c r="E766" i="4" s="1"/>
  <c r="F766" i="4" s="1"/>
  <c r="G766" i="4" s="1"/>
  <c r="H766" i="4" s="1"/>
  <c r="I766" i="4" s="1"/>
  <c r="J766" i="4" s="1"/>
  <c r="K766" i="4" s="1"/>
  <c r="L766" i="4" s="1"/>
  <c r="L764" i="4"/>
  <c r="K764" i="4"/>
  <c r="J764" i="4"/>
  <c r="I764" i="4"/>
  <c r="H764" i="4"/>
  <c r="G764" i="4"/>
  <c r="F764" i="4"/>
  <c r="E764" i="4"/>
  <c r="D764" i="4"/>
  <c r="L762" i="4"/>
  <c r="K762" i="4"/>
  <c r="J762" i="4"/>
  <c r="I762" i="4"/>
  <c r="H762" i="4"/>
  <c r="G762" i="4"/>
  <c r="F762" i="4"/>
  <c r="E762" i="4"/>
  <c r="D762" i="4"/>
  <c r="D760" i="4"/>
  <c r="E760" i="4" s="1"/>
  <c r="F760" i="4" s="1"/>
  <c r="G760" i="4" s="1"/>
  <c r="H760" i="4" s="1"/>
  <c r="I760" i="4" s="1"/>
  <c r="J760" i="4" s="1"/>
  <c r="K760" i="4" s="1"/>
  <c r="L760" i="4" s="1"/>
  <c r="C757" i="4"/>
  <c r="C768" i="4" s="1"/>
  <c r="C755" i="4"/>
  <c r="C767" i="4" s="1"/>
  <c r="D754" i="4"/>
  <c r="E754" i="4" s="1"/>
  <c r="F754" i="4" s="1"/>
  <c r="G754" i="4" s="1"/>
  <c r="H754" i="4" s="1"/>
  <c r="I754" i="4" s="1"/>
  <c r="J754" i="4" s="1"/>
  <c r="K754" i="4" s="1"/>
  <c r="L754" i="4" s="1"/>
  <c r="B734" i="4"/>
  <c r="B733" i="4"/>
  <c r="D731" i="4"/>
  <c r="E731" i="4" s="1"/>
  <c r="F731" i="4" s="1"/>
  <c r="G731" i="4" s="1"/>
  <c r="D726" i="4"/>
  <c r="E726" i="4" s="1"/>
  <c r="F726" i="4" s="1"/>
  <c r="G726" i="4" s="1"/>
  <c r="K694" i="4"/>
  <c r="K693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D689" i="4"/>
  <c r="D688" i="4"/>
  <c r="D687" i="4"/>
  <c r="D686" i="4"/>
  <c r="B682" i="4"/>
  <c r="B681" i="4"/>
  <c r="B680" i="4"/>
  <c r="D673" i="4"/>
  <c r="C673" i="4"/>
  <c r="I671" i="4"/>
  <c r="B671" i="4"/>
  <c r="D670" i="4"/>
  <c r="C670" i="4"/>
  <c r="B670" i="4"/>
  <c r="E669" i="4"/>
  <c r="E673" i="4" s="1"/>
  <c r="H645" i="4"/>
  <c r="G645" i="4"/>
  <c r="F645" i="4"/>
  <c r="H641" i="4"/>
  <c r="G641" i="4"/>
  <c r="F641" i="4"/>
  <c r="E641" i="4"/>
  <c r="D641" i="4"/>
  <c r="I640" i="4"/>
  <c r="E636" i="4"/>
  <c r="F636" i="4" s="1"/>
  <c r="G636" i="4" s="1"/>
  <c r="H636" i="4" s="1"/>
  <c r="C630" i="4"/>
  <c r="C619" i="4"/>
  <c r="C621" i="4" s="1"/>
  <c r="D553" i="4"/>
  <c r="E553" i="4" s="1"/>
  <c r="F553" i="4" s="1"/>
  <c r="G553" i="4" s="1"/>
  <c r="H553" i="4" s="1"/>
  <c r="C544" i="4"/>
  <c r="D544" i="4" s="1"/>
  <c r="C538" i="4"/>
  <c r="D524" i="4"/>
  <c r="D523" i="4"/>
  <c r="D511" i="4"/>
  <c r="D504" i="4"/>
  <c r="D471" i="4"/>
  <c r="E471" i="4" s="1"/>
  <c r="F471" i="4" s="1"/>
  <c r="G471" i="4" s="1"/>
  <c r="H471" i="4" s="1"/>
  <c r="E467" i="4"/>
  <c r="E462" i="4"/>
  <c r="D461" i="4"/>
  <c r="E461" i="4" s="1"/>
  <c r="D460" i="4"/>
  <c r="E460" i="4" s="1"/>
  <c r="D457" i="4"/>
  <c r="E457" i="4" s="1"/>
  <c r="E456" i="4"/>
  <c r="I450" i="4"/>
  <c r="B450" i="4"/>
  <c r="I449" i="4"/>
  <c r="B449" i="4"/>
  <c r="I448" i="4"/>
  <c r="B448" i="4"/>
  <c r="B447" i="4"/>
  <c r="J446" i="4"/>
  <c r="I446" i="4"/>
  <c r="H446" i="4"/>
  <c r="G446" i="4"/>
  <c r="F446" i="4"/>
  <c r="E446" i="4"/>
  <c r="D446" i="4"/>
  <c r="C446" i="4"/>
  <c r="I444" i="4"/>
  <c r="H444" i="4"/>
  <c r="G444" i="4"/>
  <c r="F444" i="4"/>
  <c r="E444" i="4"/>
  <c r="D444" i="4"/>
  <c r="C444" i="4"/>
  <c r="I443" i="4"/>
  <c r="H443" i="4"/>
  <c r="G443" i="4"/>
  <c r="F443" i="4"/>
  <c r="E443" i="4"/>
  <c r="D443" i="4"/>
  <c r="C443" i="4"/>
  <c r="N441" i="4"/>
  <c r="M441" i="4"/>
  <c r="L441" i="4"/>
  <c r="J441" i="4"/>
  <c r="N440" i="4"/>
  <c r="H440" i="4"/>
  <c r="C440" i="4"/>
  <c r="L440" i="4" s="1"/>
  <c r="N439" i="4"/>
  <c r="M439" i="4"/>
  <c r="L439" i="4"/>
  <c r="J439" i="4"/>
  <c r="O439" i="4" s="1"/>
  <c r="J438" i="4"/>
  <c r="I438" i="4"/>
  <c r="I447" i="4" s="1"/>
  <c r="H438" i="4"/>
  <c r="G438" i="4"/>
  <c r="F438" i="4"/>
  <c r="E438" i="4"/>
  <c r="D438" i="4"/>
  <c r="C438" i="4"/>
  <c r="H434" i="4"/>
  <c r="T357" i="12" s="1"/>
  <c r="G434" i="4"/>
  <c r="S357" i="12" s="1"/>
  <c r="F434" i="4"/>
  <c r="F450" i="4" s="1"/>
  <c r="E434" i="4"/>
  <c r="E435" i="4" s="1"/>
  <c r="D434" i="4"/>
  <c r="D449" i="4" s="1"/>
  <c r="C434" i="4"/>
  <c r="C448" i="4" s="1"/>
  <c r="M433" i="4"/>
  <c r="L433" i="4"/>
  <c r="M432" i="4"/>
  <c r="L432" i="4"/>
  <c r="M431" i="4"/>
  <c r="L431" i="4"/>
  <c r="O430" i="4"/>
  <c r="O446" i="4" s="1"/>
  <c r="N430" i="4"/>
  <c r="N446" i="4" s="1"/>
  <c r="M430" i="4"/>
  <c r="M446" i="4" s="1"/>
  <c r="L430" i="4"/>
  <c r="L446" i="4" s="1"/>
  <c r="D419" i="4"/>
  <c r="C419" i="4"/>
  <c r="D417" i="4"/>
  <c r="C417" i="4"/>
  <c r="E415" i="4"/>
  <c r="E420" i="4" s="1"/>
  <c r="D414" i="4"/>
  <c r="C414" i="4"/>
  <c r="D413" i="4"/>
  <c r="C413" i="4"/>
  <c r="D412" i="4"/>
  <c r="C412" i="4"/>
  <c r="C401" i="4"/>
  <c r="F396" i="4"/>
  <c r="G399" i="4" s="1"/>
  <c r="F392" i="4"/>
  <c r="G388" i="4"/>
  <c r="G389" i="4" s="1"/>
  <c r="G386" i="4"/>
  <c r="C381" i="4"/>
  <c r="C392" i="4" s="1"/>
  <c r="G380" i="4"/>
  <c r="F379" i="4"/>
  <c r="G379" i="4" s="1"/>
  <c r="C379" i="4"/>
  <c r="G378" i="4"/>
  <c r="D378" i="4"/>
  <c r="D379" i="4" s="1"/>
  <c r="D392" i="4" s="1"/>
  <c r="D381" i="4" s="1"/>
  <c r="B371" i="4"/>
  <c r="B365" i="4"/>
  <c r="B372" i="4" s="1"/>
  <c r="B363" i="4"/>
  <c r="B370" i="4" s="1"/>
  <c r="B362" i="4"/>
  <c r="B369" i="4" s="1"/>
  <c r="B361" i="4"/>
  <c r="B368" i="4" s="1"/>
  <c r="D353" i="4"/>
  <c r="E353" i="4" s="1"/>
  <c r="F353" i="4" s="1"/>
  <c r="D336" i="4"/>
  <c r="D348" i="4" s="1"/>
  <c r="D347" i="4" s="1"/>
  <c r="D335" i="4"/>
  <c r="C286" i="4"/>
  <c r="B286" i="4"/>
  <c r="N285" i="4"/>
  <c r="M285" i="4"/>
  <c r="L285" i="4"/>
  <c r="K285" i="4"/>
  <c r="J285" i="4"/>
  <c r="I285" i="4"/>
  <c r="H285" i="4"/>
  <c r="G285" i="4"/>
  <c r="F285" i="4"/>
  <c r="E285" i="4"/>
  <c r="C285" i="4"/>
  <c r="B285" i="4"/>
  <c r="C251" i="4"/>
  <c r="C277" i="4" s="1"/>
  <c r="C284" i="4" s="1"/>
  <c r="G245" i="4"/>
  <c r="G246" i="4" s="1"/>
  <c r="F245" i="4"/>
  <c r="F246" i="4" s="1"/>
  <c r="E245" i="4"/>
  <c r="E246" i="4" s="1"/>
  <c r="D245" i="4"/>
  <c r="D246" i="4" s="1"/>
  <c r="C245" i="4"/>
  <c r="C246" i="4" s="1"/>
  <c r="G242" i="4"/>
  <c r="F242" i="4"/>
  <c r="E242" i="4"/>
  <c r="C239" i="4"/>
  <c r="C238" i="4"/>
  <c r="B221" i="4"/>
  <c r="E220" i="4"/>
  <c r="E226" i="4" s="1"/>
  <c r="E228" i="4" s="1"/>
  <c r="D220" i="4"/>
  <c r="D221" i="4" s="1"/>
  <c r="C220" i="4"/>
  <c r="C226" i="4" s="1"/>
  <c r="C228" i="4" s="1"/>
  <c r="B220" i="4"/>
  <c r="E213" i="4"/>
  <c r="E216" i="4" s="1"/>
  <c r="F211" i="4"/>
  <c r="F213" i="4" s="1"/>
  <c r="F216" i="4" s="1"/>
  <c r="D210" i="4"/>
  <c r="D211" i="4" s="1"/>
  <c r="E209" i="4"/>
  <c r="E215" i="4" s="1"/>
  <c r="D209" i="4"/>
  <c r="D215" i="4" s="1"/>
  <c r="C209" i="4"/>
  <c r="C215" i="4" s="1"/>
  <c r="I204" i="4"/>
  <c r="G204" i="4"/>
  <c r="E204" i="4"/>
  <c r="D204" i="4"/>
  <c r="I203" i="4"/>
  <c r="H203" i="4"/>
  <c r="G203" i="4"/>
  <c r="E203" i="4"/>
  <c r="D203" i="4"/>
  <c r="C203" i="4"/>
  <c r="I197" i="4"/>
  <c r="I200" i="4" s="1"/>
  <c r="H197" i="4"/>
  <c r="H200" i="4" s="1"/>
  <c r="G197" i="4"/>
  <c r="G200" i="4" s="1"/>
  <c r="F197" i="4"/>
  <c r="F200" i="4" s="1"/>
  <c r="E197" i="4"/>
  <c r="E200" i="4" s="1"/>
  <c r="D197" i="4"/>
  <c r="D200" i="4" s="1"/>
  <c r="C197" i="4"/>
  <c r="C200" i="4" s="1"/>
  <c r="I196" i="4"/>
  <c r="H196" i="4"/>
  <c r="G196" i="4"/>
  <c r="F196" i="4"/>
  <c r="E196" i="4"/>
  <c r="D196" i="4"/>
  <c r="C196" i="4"/>
  <c r="B188" i="4"/>
  <c r="D184" i="4"/>
  <c r="C184" i="4"/>
  <c r="C187" i="4" s="1"/>
  <c r="D181" i="4"/>
  <c r="E181" i="4" s="1"/>
  <c r="F181" i="4" s="1"/>
  <c r="G181" i="4" s="1"/>
  <c r="H181" i="4" s="1"/>
  <c r="I181" i="4" s="1"/>
  <c r="J181" i="4" s="1"/>
  <c r="K181" i="4" s="1"/>
  <c r="L181" i="4" s="1"/>
  <c r="M181" i="4" s="1"/>
  <c r="F150" i="4"/>
  <c r="I150" i="4" s="1"/>
  <c r="E150" i="4"/>
  <c r="H150" i="4" s="1"/>
  <c r="E149" i="4"/>
  <c r="H149" i="4" s="1"/>
  <c r="D44" i="6" s="1"/>
  <c r="E148" i="4"/>
  <c r="H148" i="4" s="1"/>
  <c r="D42" i="6" s="1"/>
  <c r="D140" i="4"/>
  <c r="D139" i="4"/>
  <c r="D138" i="4"/>
  <c r="D137" i="4"/>
  <c r="D136" i="4"/>
  <c r="D134" i="4"/>
  <c r="D133" i="4"/>
  <c r="D131" i="4"/>
  <c r="D130" i="4"/>
  <c r="D128" i="4"/>
  <c r="D129" i="4"/>
  <c r="D127" i="4"/>
  <c r="C94" i="4"/>
  <c r="C105" i="4" s="1"/>
  <c r="C107" i="4" s="1"/>
  <c r="E87" i="4"/>
  <c r="E86" i="4" s="1"/>
  <c r="D87" i="4"/>
  <c r="D86" i="4" s="1"/>
  <c r="D132" i="4" s="1"/>
  <c r="C87" i="4"/>
  <c r="C88" i="4" s="1"/>
  <c r="B80" i="4"/>
  <c r="C78" i="4"/>
  <c r="C76" i="4"/>
  <c r="C75" i="4"/>
  <c r="C74" i="4"/>
  <c r="C72" i="4"/>
  <c r="C71" i="4"/>
  <c r="B71" i="4"/>
  <c r="C70" i="4"/>
  <c r="C69" i="4"/>
  <c r="C68" i="4"/>
  <c r="B68" i="4"/>
  <c r="C67" i="4"/>
  <c r="B67" i="4"/>
  <c r="C66" i="4"/>
  <c r="B66" i="4"/>
  <c r="B60" i="4"/>
  <c r="C59" i="4"/>
  <c r="B59" i="4"/>
  <c r="C58" i="4"/>
  <c r="B58" i="4"/>
  <c r="C57" i="4"/>
  <c r="C56" i="4"/>
  <c r="C53" i="4"/>
  <c r="B53" i="4"/>
  <c r="C52" i="4"/>
  <c r="C51" i="4"/>
  <c r="C50" i="4"/>
  <c r="B50" i="4"/>
  <c r="C49" i="4"/>
  <c r="B41" i="4"/>
  <c r="B40" i="4"/>
  <c r="B39" i="4"/>
  <c r="B35" i="4"/>
  <c r="B34" i="4"/>
  <c r="C32" i="4"/>
  <c r="B32" i="4"/>
  <c r="B31" i="4"/>
  <c r="C30" i="4"/>
  <c r="C36" i="4" s="1"/>
  <c r="C29" i="4"/>
  <c r="C23" i="4"/>
  <c r="C14" i="4"/>
  <c r="C12" i="4"/>
  <c r="C18" i="4" s="1"/>
  <c r="C19" i="4" s="1"/>
  <c r="C5" i="4"/>
  <c r="C3" i="4"/>
  <c r="C9" i="4" s="1"/>
  <c r="C937" i="3"/>
  <c r="C940" i="3" s="1"/>
  <c r="D936" i="3"/>
  <c r="C936" i="3"/>
  <c r="D774" i="3"/>
  <c r="E670" i="3"/>
  <c r="C516" i="3"/>
  <c r="D407" i="3"/>
  <c r="G188" i="3"/>
  <c r="D188" i="3"/>
  <c r="F187" i="3"/>
  <c r="E19" i="3"/>
  <c r="I19" i="3" s="1"/>
  <c r="J19" i="3" s="1"/>
  <c r="E18" i="3"/>
  <c r="I18" i="3" s="1"/>
  <c r="J18" i="3" s="1"/>
  <c r="E17" i="3"/>
  <c r="I17" i="3" s="1"/>
  <c r="J17" i="3" s="1"/>
  <c r="E15" i="3"/>
  <c r="I15" i="3" s="1"/>
  <c r="J15" i="3" s="1"/>
  <c r="I11" i="3"/>
  <c r="J11" i="3" s="1"/>
  <c r="I10" i="3"/>
  <c r="J10" i="3" s="1"/>
  <c r="I9" i="3"/>
  <c r="J9" i="3" s="1"/>
  <c r="E7" i="3"/>
  <c r="I7" i="3" s="1"/>
  <c r="J7" i="3" s="1"/>
  <c r="E6" i="3"/>
  <c r="I6" i="3" s="1"/>
  <c r="J6" i="3" s="1"/>
  <c r="G148" i="14"/>
  <c r="E148" i="14"/>
  <c r="C15" i="17"/>
  <c r="E140" i="14"/>
  <c r="I138" i="14"/>
  <c r="E138" i="14"/>
  <c r="H135" i="14"/>
  <c r="H140" i="14" s="1"/>
  <c r="H148" i="14" s="1"/>
  <c r="F135" i="14"/>
  <c r="F140" i="14" s="1"/>
  <c r="D128" i="14"/>
  <c r="E109" i="14"/>
  <c r="F109" i="14" s="1"/>
  <c r="G109" i="14" s="1"/>
  <c r="H109" i="14" s="1"/>
  <c r="I109" i="14" s="1"/>
  <c r="J109" i="14" s="1"/>
  <c r="K109" i="14" s="1"/>
  <c r="L109" i="14" s="1"/>
  <c r="M109" i="14" s="1"/>
  <c r="N109" i="14" s="1"/>
  <c r="O109" i="14" s="1"/>
  <c r="D104" i="14"/>
  <c r="D105" i="14" s="1"/>
  <c r="F22" i="14" s="1"/>
  <c r="D101" i="14"/>
  <c r="D95" i="14"/>
  <c r="D91" i="14"/>
  <c r="D86" i="14"/>
  <c r="D87" i="14" s="1"/>
  <c r="F18" i="14" s="1"/>
  <c r="D84" i="14"/>
  <c r="D82" i="14"/>
  <c r="D67" i="14"/>
  <c r="E66" i="14"/>
  <c r="F66" i="14" s="1"/>
  <c r="G66" i="14" s="1"/>
  <c r="H66" i="14" s="1"/>
  <c r="I66" i="14" s="1"/>
  <c r="J66" i="14" s="1"/>
  <c r="K66" i="14" s="1"/>
  <c r="L66" i="14" s="1"/>
  <c r="M66" i="14" s="1"/>
  <c r="N66" i="14" s="1"/>
  <c r="O66" i="14" s="1"/>
  <c r="F56" i="14"/>
  <c r="E56" i="14"/>
  <c r="D56" i="14"/>
  <c r="F52" i="14"/>
  <c r="E52" i="14"/>
  <c r="D52" i="14"/>
  <c r="F50" i="14"/>
  <c r="E50" i="14"/>
  <c r="D50" i="14"/>
  <c r="E29" i="14"/>
  <c r="F29" i="14" s="1"/>
  <c r="G29" i="14" s="1"/>
  <c r="H29" i="14" s="1"/>
  <c r="I29" i="14" s="1"/>
  <c r="J29" i="14" s="1"/>
  <c r="K29" i="14" s="1"/>
  <c r="L29" i="14" s="1"/>
  <c r="M29" i="14" s="1"/>
  <c r="N29" i="14" s="1"/>
  <c r="O29" i="14" s="1"/>
  <c r="E22" i="14"/>
  <c r="F21" i="14"/>
  <c r="F20" i="14"/>
  <c r="F19" i="14"/>
  <c r="E18" i="14"/>
  <c r="E19" i="14" s="1"/>
  <c r="G17" i="14"/>
  <c r="F17" i="14"/>
  <c r="E17" i="14"/>
  <c r="D17" i="14"/>
  <c r="G12" i="14"/>
  <c r="B10" i="14"/>
  <c r="B9" i="14"/>
  <c r="C4" i="16"/>
  <c r="M3" i="16"/>
  <c r="L3" i="16"/>
  <c r="K3" i="16"/>
  <c r="J3" i="16"/>
  <c r="I3" i="16"/>
  <c r="D134" i="15"/>
  <c r="C134" i="15"/>
  <c r="E130" i="15"/>
  <c r="D130" i="15"/>
  <c r="C130" i="15"/>
  <c r="E129" i="15"/>
  <c r="D129" i="15"/>
  <c r="C129" i="15"/>
  <c r="E128" i="15"/>
  <c r="D128" i="15"/>
  <c r="C128" i="15"/>
  <c r="E121" i="15"/>
  <c r="D121" i="15"/>
  <c r="C121" i="15"/>
  <c r="B116" i="15"/>
  <c r="B115" i="15"/>
  <c r="G114" i="15"/>
  <c r="B114" i="15"/>
  <c r="B112" i="15"/>
  <c r="Q110" i="15"/>
  <c r="P110" i="15"/>
  <c r="O110" i="15"/>
  <c r="N110" i="15"/>
  <c r="M110" i="15"/>
  <c r="L110" i="15"/>
  <c r="K110" i="15"/>
  <c r="J110" i="15"/>
  <c r="I110" i="15"/>
  <c r="H110" i="15"/>
  <c r="G110" i="15"/>
  <c r="B110" i="15"/>
  <c r="B108" i="15"/>
  <c r="Q106" i="15"/>
  <c r="P106" i="15"/>
  <c r="O106" i="15"/>
  <c r="N106" i="15"/>
  <c r="M106" i="15"/>
  <c r="L106" i="15"/>
  <c r="K106" i="15"/>
  <c r="J106" i="15"/>
  <c r="I106" i="15"/>
  <c r="H106" i="15"/>
  <c r="G106" i="15"/>
  <c r="B106" i="15"/>
  <c r="Q105" i="15"/>
  <c r="P105" i="15"/>
  <c r="O105" i="15"/>
  <c r="N105" i="15"/>
  <c r="M105" i="15"/>
  <c r="L105" i="15"/>
  <c r="K105" i="15"/>
  <c r="J105" i="15"/>
  <c r="I105" i="15"/>
  <c r="H105" i="15"/>
  <c r="G105" i="15"/>
  <c r="B105" i="15"/>
  <c r="B103" i="15"/>
  <c r="B102" i="15"/>
  <c r="B101" i="15"/>
  <c r="B100" i="15"/>
  <c r="B99" i="15"/>
  <c r="B97" i="15"/>
  <c r="H96" i="15"/>
  <c r="G96" i="15"/>
  <c r="F96" i="15"/>
  <c r="B96" i="15"/>
  <c r="B95" i="15"/>
  <c r="B94" i="15"/>
  <c r="B93" i="15"/>
  <c r="B89" i="15"/>
  <c r="E88" i="15"/>
  <c r="B88" i="15"/>
  <c r="H86" i="15"/>
  <c r="G86" i="15"/>
  <c r="F86" i="15"/>
  <c r="E86" i="15"/>
  <c r="D86" i="15"/>
  <c r="B86" i="15"/>
  <c r="B85" i="15"/>
  <c r="B84" i="15"/>
  <c r="H82" i="15"/>
  <c r="G82" i="15"/>
  <c r="B82" i="15"/>
  <c r="Q80" i="15"/>
  <c r="B80" i="15"/>
  <c r="Q79" i="15"/>
  <c r="P79" i="15"/>
  <c r="O79" i="15"/>
  <c r="N79" i="15"/>
  <c r="M79" i="15"/>
  <c r="L79" i="15"/>
  <c r="K79" i="15"/>
  <c r="J79" i="15"/>
  <c r="I79" i="15"/>
  <c r="H79" i="15"/>
  <c r="G79" i="15"/>
  <c r="F79" i="15"/>
  <c r="E79" i="15"/>
  <c r="D79" i="15"/>
  <c r="B79" i="15"/>
  <c r="M78" i="15"/>
  <c r="B78" i="15"/>
  <c r="B77" i="15"/>
  <c r="B75" i="15"/>
  <c r="B72" i="15"/>
  <c r="G70" i="15"/>
  <c r="F70" i="15"/>
  <c r="E70" i="15"/>
  <c r="B70" i="15"/>
  <c r="Q69" i="15"/>
  <c r="P69" i="15"/>
  <c r="O69" i="15"/>
  <c r="N69" i="15"/>
  <c r="M69" i="15"/>
  <c r="L69" i="15"/>
  <c r="J69" i="15"/>
  <c r="I69" i="15"/>
  <c r="H69" i="15"/>
  <c r="G69" i="15"/>
  <c r="B67" i="15"/>
  <c r="B66" i="15"/>
  <c r="B64" i="15"/>
  <c r="B63" i="15"/>
  <c r="B61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D60" i="15"/>
  <c r="C60" i="15"/>
  <c r="B60" i="15"/>
  <c r="B59" i="15"/>
  <c r="B58" i="15"/>
  <c r="B56" i="15"/>
  <c r="I51" i="15"/>
  <c r="H51" i="15"/>
  <c r="G51" i="15"/>
  <c r="F51" i="15"/>
  <c r="B51" i="15"/>
  <c r="I50" i="15"/>
  <c r="H50" i="15"/>
  <c r="G50" i="15"/>
  <c r="B50" i="15"/>
  <c r="B49" i="15"/>
  <c r="C46" i="15"/>
  <c r="B46" i="15"/>
  <c r="H45" i="15"/>
  <c r="C45" i="15"/>
  <c r="B45" i="15"/>
  <c r="Q44" i="15"/>
  <c r="P44" i="15"/>
  <c r="O44" i="15"/>
  <c r="N44" i="15"/>
  <c r="M44" i="15"/>
  <c r="L44" i="15"/>
  <c r="K44" i="15"/>
  <c r="J44" i="15"/>
  <c r="I44" i="15"/>
  <c r="D44" i="15"/>
  <c r="C44" i="15"/>
  <c r="B44" i="15"/>
  <c r="H43" i="15"/>
  <c r="F43" i="15"/>
  <c r="E43" i="15"/>
  <c r="D43" i="15"/>
  <c r="C43" i="15"/>
  <c r="B43" i="15"/>
  <c r="B41" i="15"/>
  <c r="B40" i="15"/>
  <c r="F38" i="15"/>
  <c r="E38" i="15"/>
  <c r="B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B37" i="15"/>
  <c r="C36" i="15"/>
  <c r="B36" i="15"/>
  <c r="Q35" i="15"/>
  <c r="P35" i="15"/>
  <c r="O35" i="15"/>
  <c r="N35" i="15"/>
  <c r="M35" i="15"/>
  <c r="L35" i="15"/>
  <c r="K35" i="15"/>
  <c r="J35" i="15"/>
  <c r="C35" i="15"/>
  <c r="B35" i="15"/>
  <c r="F34" i="15"/>
  <c r="E34" i="15"/>
  <c r="D34" i="15"/>
  <c r="C34" i="15"/>
  <c r="B34" i="15"/>
  <c r="B32" i="15"/>
  <c r="B31" i="15"/>
  <c r="B30" i="15"/>
  <c r="C28" i="15"/>
  <c r="B28" i="15"/>
  <c r="B27" i="15"/>
  <c r="B26" i="15"/>
  <c r="Q24" i="15"/>
  <c r="P24" i="15"/>
  <c r="O24" i="15"/>
  <c r="N24" i="15"/>
  <c r="M24" i="15"/>
  <c r="L24" i="15"/>
  <c r="K24" i="15"/>
  <c r="J24" i="15"/>
  <c r="I24" i="15"/>
  <c r="H24" i="15"/>
  <c r="B17" i="15"/>
  <c r="E15" i="15"/>
  <c r="B15" i="15"/>
  <c r="Q14" i="15"/>
  <c r="P14" i="15"/>
  <c r="O14" i="15"/>
  <c r="N14" i="15"/>
  <c r="M14" i="15"/>
  <c r="L14" i="15"/>
  <c r="K14" i="15"/>
  <c r="J14" i="15"/>
  <c r="I14" i="15"/>
  <c r="H14" i="15"/>
  <c r="G14" i="15"/>
  <c r="B14" i="15"/>
  <c r="F13" i="15"/>
  <c r="E13" i="15"/>
  <c r="D13" i="15"/>
  <c r="C13" i="15"/>
  <c r="B13" i="15"/>
  <c r="Q11" i="15"/>
  <c r="P11" i="15"/>
  <c r="O11" i="15"/>
  <c r="N11" i="15"/>
  <c r="M11" i="15"/>
  <c r="L11" i="15"/>
  <c r="K11" i="15"/>
  <c r="J11" i="15"/>
  <c r="I11" i="15"/>
  <c r="B11" i="15"/>
  <c r="H10" i="15"/>
  <c r="F10" i="15"/>
  <c r="E10" i="15"/>
  <c r="D10" i="15"/>
  <c r="C10" i="15"/>
  <c r="B10" i="15"/>
  <c r="G9" i="15"/>
  <c r="B9" i="15"/>
  <c r="H8" i="15"/>
  <c r="G8" i="15"/>
  <c r="F8" i="15"/>
  <c r="E8" i="15"/>
  <c r="D8" i="15"/>
  <c r="C8" i="15"/>
  <c r="B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B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6" i="15"/>
  <c r="G5" i="15"/>
  <c r="F5" i="15"/>
  <c r="E5" i="15"/>
  <c r="D5" i="15"/>
  <c r="C5" i="15"/>
  <c r="B5" i="15"/>
  <c r="H4" i="15"/>
  <c r="G4" i="15"/>
  <c r="F4" i="15"/>
  <c r="E4" i="15"/>
  <c r="D4" i="15"/>
  <c r="C4" i="15"/>
  <c r="B4" i="15"/>
  <c r="F3" i="15"/>
  <c r="F48" i="15" s="1"/>
  <c r="F66" i="15" s="1"/>
  <c r="F91" i="15" s="1"/>
  <c r="B3" i="15"/>
  <c r="C20" i="17"/>
  <c r="C19" i="17"/>
  <c r="C18" i="17"/>
  <c r="K170" i="19"/>
  <c r="J170" i="19"/>
  <c r="I170" i="19"/>
  <c r="H170" i="19"/>
  <c r="G170" i="19"/>
  <c r="E170" i="19"/>
  <c r="D170" i="19"/>
  <c r="C170" i="19"/>
  <c r="G152" i="19"/>
  <c r="G157" i="19" s="1"/>
  <c r="F152" i="19"/>
  <c r="F157" i="19" s="1"/>
  <c r="E152" i="19"/>
  <c r="E157" i="19" s="1"/>
  <c r="D152" i="19"/>
  <c r="D157" i="19" s="1"/>
  <c r="C152" i="19"/>
  <c r="C157" i="19" s="1"/>
  <c r="K135" i="19"/>
  <c r="J135" i="19"/>
  <c r="I135" i="19"/>
  <c r="H135" i="19"/>
  <c r="G135" i="19"/>
  <c r="F135" i="19"/>
  <c r="E135" i="19"/>
  <c r="D135" i="19"/>
  <c r="C135" i="19"/>
  <c r="K134" i="19"/>
  <c r="J134" i="19"/>
  <c r="I134" i="19"/>
  <c r="H134" i="19"/>
  <c r="G134" i="19"/>
  <c r="F134" i="19"/>
  <c r="E134" i="19"/>
  <c r="D134" i="19"/>
  <c r="C134" i="19"/>
  <c r="K133" i="19"/>
  <c r="J133" i="19"/>
  <c r="I133" i="19"/>
  <c r="H133" i="19"/>
  <c r="G133" i="19"/>
  <c r="F133" i="19"/>
  <c r="E133" i="19"/>
  <c r="D133" i="19"/>
  <c r="C133" i="19"/>
  <c r="L21" i="19"/>
  <c r="J401" i="12"/>
  <c r="I401" i="12"/>
  <c r="H401" i="12"/>
  <c r="G401" i="12"/>
  <c r="F401" i="12"/>
  <c r="E401" i="12"/>
  <c r="D401" i="12"/>
  <c r="C401" i="12"/>
  <c r="Q400" i="12"/>
  <c r="Q401" i="12" s="1"/>
  <c r="P400" i="12"/>
  <c r="P401" i="12" s="1"/>
  <c r="O400" i="12"/>
  <c r="O401" i="12" s="1"/>
  <c r="N400" i="12"/>
  <c r="N401" i="12" s="1"/>
  <c r="M400" i="12"/>
  <c r="M401" i="12" s="1"/>
  <c r="L400" i="12"/>
  <c r="L401" i="12" s="1"/>
  <c r="K400" i="12"/>
  <c r="K401" i="12" s="1"/>
  <c r="Q398" i="12"/>
  <c r="M398" i="12"/>
  <c r="N397" i="12"/>
  <c r="M397" i="12"/>
  <c r="L397" i="12"/>
  <c r="K397" i="12"/>
  <c r="J397" i="12"/>
  <c r="I397" i="12"/>
  <c r="H397" i="12"/>
  <c r="G397" i="12"/>
  <c r="F397" i="12"/>
  <c r="E397" i="12"/>
  <c r="D397" i="12"/>
  <c r="C397" i="12"/>
  <c r="N396" i="12"/>
  <c r="M396" i="12"/>
  <c r="L396" i="12"/>
  <c r="K396" i="12"/>
  <c r="J396" i="12"/>
  <c r="I396" i="12"/>
  <c r="H396" i="12"/>
  <c r="G396" i="12"/>
  <c r="F396" i="12"/>
  <c r="E396" i="12"/>
  <c r="D396" i="12"/>
  <c r="C396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395" i="12"/>
  <c r="N394" i="12"/>
  <c r="M394" i="12"/>
  <c r="L394" i="12"/>
  <c r="K394" i="12"/>
  <c r="J394" i="12"/>
  <c r="I394" i="12"/>
  <c r="H394" i="12"/>
  <c r="G394" i="12"/>
  <c r="F394" i="12"/>
  <c r="E394" i="12"/>
  <c r="D394" i="12"/>
  <c r="C394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393" i="12"/>
  <c r="N392" i="12"/>
  <c r="M392" i="12"/>
  <c r="L392" i="12"/>
  <c r="K392" i="12"/>
  <c r="J392" i="12"/>
  <c r="I392" i="12"/>
  <c r="H392" i="12"/>
  <c r="G392" i="12"/>
  <c r="F392" i="12"/>
  <c r="E392" i="12"/>
  <c r="D392" i="12"/>
  <c r="C392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391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390" i="12"/>
  <c r="J389" i="12"/>
  <c r="I389" i="12"/>
  <c r="H389" i="12"/>
  <c r="G389" i="12"/>
  <c r="F389" i="12"/>
  <c r="E389" i="12"/>
  <c r="D389" i="12"/>
  <c r="C389" i="12"/>
  <c r="S379" i="12"/>
  <c r="S389" i="12" s="1"/>
  <c r="R379" i="12"/>
  <c r="R389" i="12" s="1"/>
  <c r="Q379" i="12"/>
  <c r="Q389" i="12" s="1"/>
  <c r="P379" i="12"/>
  <c r="P389" i="12" s="1"/>
  <c r="O379" i="12"/>
  <c r="O389" i="12" s="1"/>
  <c r="N379" i="12"/>
  <c r="N389" i="12" s="1"/>
  <c r="M379" i="12"/>
  <c r="M389" i="12" s="1"/>
  <c r="L379" i="12"/>
  <c r="L389" i="12" s="1"/>
  <c r="K379" i="12"/>
  <c r="K389" i="12" s="1"/>
  <c r="B373" i="12"/>
  <c r="B372" i="12"/>
  <c r="B371" i="12"/>
  <c r="T370" i="12"/>
  <c r="S370" i="12"/>
  <c r="R370" i="12"/>
  <c r="Q370" i="12"/>
  <c r="P370" i="12"/>
  <c r="O370" i="12"/>
  <c r="T359" i="12"/>
  <c r="S359" i="12"/>
  <c r="R359" i="12"/>
  <c r="Q359" i="12"/>
  <c r="P359" i="12"/>
  <c r="O359" i="12"/>
  <c r="N359" i="12"/>
  <c r="M359" i="12"/>
  <c r="L359" i="12"/>
  <c r="K359" i="12"/>
  <c r="AP357" i="12"/>
  <c r="AO357" i="12"/>
  <c r="R357" i="12"/>
  <c r="AT357" i="12" s="1"/>
  <c r="AP356" i="12"/>
  <c r="AO356" i="12"/>
  <c r="AS355" i="12"/>
  <c r="AR355" i="12"/>
  <c r="AQ355" i="12"/>
  <c r="AP355" i="12"/>
  <c r="AO355" i="12"/>
  <c r="R355" i="12"/>
  <c r="S355" i="12" s="1"/>
  <c r="AP354" i="12"/>
  <c r="AO354" i="12"/>
  <c r="T354" i="12"/>
  <c r="S354" i="12"/>
  <c r="R354" i="12"/>
  <c r="AT354" i="12" s="1"/>
  <c r="Q354" i="12"/>
  <c r="AS354" i="12" s="1"/>
  <c r="P354" i="12"/>
  <c r="AR354" i="12" s="1"/>
  <c r="O354" i="12"/>
  <c r="AS353" i="12"/>
  <c r="AR353" i="12"/>
  <c r="AQ353" i="12"/>
  <c r="AP353" i="12"/>
  <c r="AO353" i="12"/>
  <c r="S353" i="12"/>
  <c r="AP352" i="12"/>
  <c r="AO352" i="12"/>
  <c r="T352" i="12"/>
  <c r="S352" i="12"/>
  <c r="Q352" i="12"/>
  <c r="Q392" i="12" s="1"/>
  <c r="P352" i="12"/>
  <c r="AT351" i="12"/>
  <c r="AS351" i="12"/>
  <c r="AR351" i="12"/>
  <c r="AQ351" i="12"/>
  <c r="AP351" i="12"/>
  <c r="AO351" i="12"/>
  <c r="AT350" i="12"/>
  <c r="AS350" i="12"/>
  <c r="AR350" i="12"/>
  <c r="AQ350" i="12"/>
  <c r="AP350" i="12"/>
  <c r="AO350" i="12"/>
  <c r="T350" i="12"/>
  <c r="S350" i="12"/>
  <c r="AU350" i="12" s="1"/>
  <c r="R337" i="12"/>
  <c r="Q337" i="12"/>
  <c r="P337" i="12"/>
  <c r="O337" i="12"/>
  <c r="W252" i="12"/>
  <c r="I132" i="19"/>
  <c r="T250" i="12"/>
  <c r="S252" i="12"/>
  <c r="R238" i="12"/>
  <c r="Q238" i="12"/>
  <c r="P238" i="12"/>
  <c r="P252" i="12" s="1"/>
  <c r="O238" i="12"/>
  <c r="O252" i="12" s="1"/>
  <c r="X296" i="12"/>
  <c r="W296" i="12"/>
  <c r="V296" i="12"/>
  <c r="U296" i="12"/>
  <c r="T296" i="12"/>
  <c r="S296" i="12"/>
  <c r="R296" i="12"/>
  <c r="Q296" i="12"/>
  <c r="P296" i="12"/>
  <c r="X222" i="12"/>
  <c r="W222" i="12"/>
  <c r="V222" i="12"/>
  <c r="U222" i="12"/>
  <c r="T222" i="12"/>
  <c r="S222" i="12"/>
  <c r="R222" i="12"/>
  <c r="Q222" i="12"/>
  <c r="P222" i="12"/>
  <c r="O222" i="12"/>
  <c r="R219" i="12"/>
  <c r="L219" i="12"/>
  <c r="S217" i="12"/>
  <c r="R217" i="12"/>
  <c r="Q217" i="12"/>
  <c r="P217" i="12"/>
  <c r="O217" i="12"/>
  <c r="L217" i="12"/>
  <c r="X216" i="12"/>
  <c r="W216" i="12"/>
  <c r="V216" i="12"/>
  <c r="U216" i="12"/>
  <c r="T216" i="12"/>
  <c r="S216" i="12"/>
  <c r="R216" i="12"/>
  <c r="Q216" i="12"/>
  <c r="P216" i="12"/>
  <c r="O216" i="12"/>
  <c r="L216" i="12"/>
  <c r="R215" i="12"/>
  <c r="S214" i="12"/>
  <c r="V213" i="12"/>
  <c r="U213" i="12"/>
  <c r="U214" i="12" s="1"/>
  <c r="Q213" i="12"/>
  <c r="Q214" i="12" s="1"/>
  <c r="P213" i="12"/>
  <c r="P214" i="12" s="1"/>
  <c r="O213" i="12"/>
  <c r="O214" i="12" s="1"/>
  <c r="N213" i="12"/>
  <c r="N214" i="12" s="1"/>
  <c r="M213" i="12"/>
  <c r="M214" i="12" s="1"/>
  <c r="L213" i="12"/>
  <c r="K213" i="12"/>
  <c r="J213" i="12"/>
  <c r="I213" i="12"/>
  <c r="H213" i="12"/>
  <c r="G213" i="12"/>
  <c r="F213" i="12"/>
  <c r="E213" i="12"/>
  <c r="D213" i="12"/>
  <c r="X211" i="12"/>
  <c r="W211" i="12"/>
  <c r="V211" i="12"/>
  <c r="U211" i="12"/>
  <c r="X209" i="12"/>
  <c r="W209" i="12"/>
  <c r="V209" i="12"/>
  <c r="U209" i="12"/>
  <c r="S209" i="12"/>
  <c r="U165" i="12"/>
  <c r="E203" i="19" s="1"/>
  <c r="Q165" i="12"/>
  <c r="P165" i="12"/>
  <c r="O165" i="12"/>
  <c r="N165" i="12"/>
  <c r="M165" i="12"/>
  <c r="L165" i="12"/>
  <c r="K165" i="12"/>
  <c r="T208" i="12"/>
  <c r="N208" i="12"/>
  <c r="N205" i="12"/>
  <c r="X204" i="12"/>
  <c r="X208" i="12" s="1"/>
  <c r="W204" i="12"/>
  <c r="W208" i="12" s="1"/>
  <c r="V204" i="12"/>
  <c r="V208" i="12" s="1"/>
  <c r="U204" i="12"/>
  <c r="U208" i="12" s="1"/>
  <c r="S204" i="12"/>
  <c r="S208" i="12" s="1"/>
  <c r="R204" i="12"/>
  <c r="R208" i="12" s="1"/>
  <c r="Q204" i="12"/>
  <c r="Q208" i="12" s="1"/>
  <c r="P204" i="12"/>
  <c r="P208" i="12" s="1"/>
  <c r="O204" i="12"/>
  <c r="O208" i="12" s="1"/>
  <c r="M203" i="12"/>
  <c r="V191" i="12"/>
  <c r="V190" i="12" s="1"/>
  <c r="U191" i="12"/>
  <c r="U190" i="12" s="1"/>
  <c r="T191" i="12"/>
  <c r="T190" i="12" s="1"/>
  <c r="X190" i="12"/>
  <c r="Y184" i="12" s="1"/>
  <c r="AF189" i="12"/>
  <c r="AG189" i="12" s="1"/>
  <c r="AH189" i="12" s="1"/>
  <c r="U180" i="12"/>
  <c r="BA180" i="12" s="1"/>
  <c r="T180" i="12"/>
  <c r="S180" i="12"/>
  <c r="U176" i="12"/>
  <c r="T176" i="12"/>
  <c r="T199" i="12" s="1"/>
  <c r="S176" i="12"/>
  <c r="S171" i="12"/>
  <c r="AU167" i="12"/>
  <c r="W167" i="12"/>
  <c r="C23" i="19" s="1"/>
  <c r="V167" i="12"/>
  <c r="U167" i="12"/>
  <c r="U217" i="12" s="1"/>
  <c r="T167" i="12"/>
  <c r="X163" i="12"/>
  <c r="D9" i="19" s="1"/>
  <c r="W163" i="12"/>
  <c r="C9" i="19" s="1"/>
  <c r="V163" i="12"/>
  <c r="X162" i="12"/>
  <c r="D10" i="19" s="1"/>
  <c r="S162" i="12"/>
  <c r="R162" i="12"/>
  <c r="Q162" i="12"/>
  <c r="P162" i="12"/>
  <c r="O162" i="12"/>
  <c r="N162" i="12"/>
  <c r="M162" i="12"/>
  <c r="L162" i="12"/>
  <c r="K162" i="12"/>
  <c r="AZ160" i="12"/>
  <c r="AW160" i="12"/>
  <c r="AV160" i="12"/>
  <c r="AS160" i="12"/>
  <c r="AR160" i="12"/>
  <c r="AQ160" i="12"/>
  <c r="R160" i="12"/>
  <c r="F209" i="4" s="1"/>
  <c r="F215" i="4" s="1"/>
  <c r="M645" i="4"/>
  <c r="L645" i="4"/>
  <c r="K645" i="4"/>
  <c r="I645" i="4"/>
  <c r="AY159" i="12"/>
  <c r="T159" i="12"/>
  <c r="R159" i="12"/>
  <c r="Q159" i="12"/>
  <c r="P159" i="12"/>
  <c r="O159" i="12"/>
  <c r="O209" i="12" s="1"/>
  <c r="N159" i="12"/>
  <c r="N211" i="12" s="1"/>
  <c r="M159" i="12"/>
  <c r="M209" i="12" s="1"/>
  <c r="L159" i="12"/>
  <c r="L209" i="12" s="1"/>
  <c r="K159" i="12"/>
  <c r="K209" i="12" s="1"/>
  <c r="AT158" i="12"/>
  <c r="AT210" i="12" s="1"/>
  <c r="AT349" i="12" s="1"/>
  <c r="AS158" i="12"/>
  <c r="AS210" i="12" s="1"/>
  <c r="AS349" i="12" s="1"/>
  <c r="AR158" i="12"/>
  <c r="AR210" i="12" s="1"/>
  <c r="AR349" i="12" s="1"/>
  <c r="AQ158" i="12"/>
  <c r="AQ210" i="12" s="1"/>
  <c r="AQ349" i="12" s="1"/>
  <c r="AP158" i="12"/>
  <c r="AP210" i="12" s="1"/>
  <c r="AP349" i="12" s="1"/>
  <c r="AO158" i="12"/>
  <c r="AO210" i="12" s="1"/>
  <c r="AO349" i="12" s="1"/>
  <c r="X158" i="12"/>
  <c r="AZ158" i="12" s="1"/>
  <c r="W158" i="12"/>
  <c r="AY158" i="12" s="1"/>
  <c r="V158" i="12"/>
  <c r="AX158" i="12" s="1"/>
  <c r="U158" i="12"/>
  <c r="AW158" i="12" s="1"/>
  <c r="AW210" i="12" s="1"/>
  <c r="T158" i="12"/>
  <c r="AV158" i="12" s="1"/>
  <c r="AV210" i="12" s="1"/>
  <c r="S158" i="12"/>
  <c r="AU158" i="12" s="1"/>
  <c r="AU210" i="12" s="1"/>
  <c r="AU349" i="12" s="1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C154" i="12"/>
  <c r="Q139" i="12"/>
  <c r="P139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C139" i="12"/>
  <c r="X136" i="12"/>
  <c r="W136" i="12"/>
  <c r="V136" i="12"/>
  <c r="U136" i="12"/>
  <c r="T136" i="12"/>
  <c r="S136" i="12"/>
  <c r="X127" i="12"/>
  <c r="W127" i="12"/>
  <c r="V127" i="12"/>
  <c r="U127" i="12"/>
  <c r="T127" i="12"/>
  <c r="S127" i="12"/>
  <c r="X126" i="12"/>
  <c r="W126" i="12"/>
  <c r="V126" i="12"/>
  <c r="U126" i="12"/>
  <c r="T126" i="12"/>
  <c r="T125" i="12"/>
  <c r="X114" i="12"/>
  <c r="W114" i="12"/>
  <c r="V114" i="12"/>
  <c r="U114" i="12"/>
  <c r="T114" i="12"/>
  <c r="S114" i="12"/>
  <c r="X111" i="12"/>
  <c r="D1153" i="4" s="1"/>
  <c r="W111" i="12"/>
  <c r="V111" i="12"/>
  <c r="J171" i="19" s="1"/>
  <c r="T111" i="12"/>
  <c r="H171" i="19" s="1"/>
  <c r="S111" i="12"/>
  <c r="G171" i="19" s="1"/>
  <c r="Q111" i="12"/>
  <c r="P111" i="12"/>
  <c r="D171" i="19" s="1"/>
  <c r="O111" i="12"/>
  <c r="C171" i="19" s="1"/>
  <c r="N111" i="12"/>
  <c r="M111" i="12"/>
  <c r="L111" i="12"/>
  <c r="K111" i="12"/>
  <c r="J111" i="12"/>
  <c r="I111" i="12"/>
  <c r="H111" i="12"/>
  <c r="G111" i="12"/>
  <c r="F111" i="12"/>
  <c r="E111" i="12"/>
  <c r="D111" i="12"/>
  <c r="C111" i="12"/>
  <c r="R110" i="12"/>
  <c r="T109" i="12"/>
  <c r="Q109" i="12"/>
  <c r="P109" i="12"/>
  <c r="O109" i="12"/>
  <c r="N109" i="12"/>
  <c r="M109" i="12"/>
  <c r="L109" i="12"/>
  <c r="K109" i="12"/>
  <c r="T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C106" i="12"/>
  <c r="S102" i="12"/>
  <c r="R102" i="12"/>
  <c r="U92" i="12"/>
  <c r="U95" i="12" s="1"/>
  <c r="T92" i="12"/>
  <c r="T95" i="12" s="1"/>
  <c r="S92" i="12"/>
  <c r="S95" i="12" s="1"/>
  <c r="R92" i="12"/>
  <c r="Q92" i="12"/>
  <c r="X72" i="12"/>
  <c r="W72" i="12"/>
  <c r="V72" i="12"/>
  <c r="U72" i="12"/>
  <c r="U73" i="12" s="1"/>
  <c r="T72" i="12"/>
  <c r="S72" i="12"/>
  <c r="S98" i="12" s="1"/>
  <c r="G1128" i="4"/>
  <c r="F1128" i="4"/>
  <c r="E1128" i="4"/>
  <c r="Q62" i="12"/>
  <c r="P62" i="12"/>
  <c r="O62" i="12"/>
  <c r="N62" i="12"/>
  <c r="M62" i="12"/>
  <c r="L62" i="12"/>
  <c r="K62" i="12"/>
  <c r="Q61" i="12"/>
  <c r="Q72" i="12" s="1"/>
  <c r="P61" i="12"/>
  <c r="P72" i="12" s="1"/>
  <c r="P98" i="12" s="1"/>
  <c r="P103" i="12" s="1"/>
  <c r="O61" i="12"/>
  <c r="O72" i="12" s="1"/>
  <c r="O98" i="12" s="1"/>
  <c r="O103" i="12" s="1"/>
  <c r="N61" i="12"/>
  <c r="N72" i="12" s="1"/>
  <c r="N98" i="12" s="1"/>
  <c r="M61" i="12"/>
  <c r="M72" i="12" s="1"/>
  <c r="L61" i="12"/>
  <c r="L72" i="12" s="1"/>
  <c r="L98" i="12" s="1"/>
  <c r="K61" i="12"/>
  <c r="K72" i="12" s="1"/>
  <c r="J61" i="12"/>
  <c r="J72" i="12" s="1"/>
  <c r="J98" i="12" s="1"/>
  <c r="I61" i="12"/>
  <c r="I72" i="12" s="1"/>
  <c r="I98" i="12" s="1"/>
  <c r="H61" i="12"/>
  <c r="H72" i="12" s="1"/>
  <c r="H98" i="12" s="1"/>
  <c r="G61" i="12"/>
  <c r="G72" i="12" s="1"/>
  <c r="G98" i="12" s="1"/>
  <c r="F61" i="12"/>
  <c r="F72" i="12" s="1"/>
  <c r="F98" i="12" s="1"/>
  <c r="E61" i="12"/>
  <c r="E72" i="12" s="1"/>
  <c r="E98" i="12" s="1"/>
  <c r="D61" i="12"/>
  <c r="D72" i="12" s="1"/>
  <c r="D98" i="12" s="1"/>
  <c r="C61" i="12"/>
  <c r="C72" i="12" s="1"/>
  <c r="C98" i="12" s="1"/>
  <c r="R59" i="12"/>
  <c r="R62" i="12" s="1"/>
  <c r="L693" i="4"/>
  <c r="R19" i="12"/>
  <c r="R21" i="12" s="1"/>
  <c r="Q19" i="12"/>
  <c r="Q21" i="12" s="1"/>
  <c r="P19" i="12"/>
  <c r="P21" i="12" s="1"/>
  <c r="O19" i="12"/>
  <c r="O21" i="12" s="1"/>
  <c r="N19" i="12"/>
  <c r="N21" i="12" s="1"/>
  <c r="M19" i="12"/>
  <c r="M21" i="12" s="1"/>
  <c r="L19" i="12"/>
  <c r="L21" i="12" s="1"/>
  <c r="K19" i="12"/>
  <c r="K21" i="12" s="1"/>
  <c r="J19" i="12"/>
  <c r="J21" i="12" s="1"/>
  <c r="I19" i="12"/>
  <c r="I21" i="12" s="1"/>
  <c r="H19" i="12"/>
  <c r="H21" i="12" s="1"/>
  <c r="H38" i="12" s="1"/>
  <c r="H39" i="12" s="1"/>
  <c r="G19" i="12"/>
  <c r="G21" i="12" s="1"/>
  <c r="F19" i="12"/>
  <c r="F21" i="12" s="1"/>
  <c r="E19" i="12"/>
  <c r="E21" i="12" s="1"/>
  <c r="E22" i="12" s="1"/>
  <c r="D19" i="12"/>
  <c r="D21" i="12" s="1"/>
  <c r="C19" i="12"/>
  <c r="C21" i="12" s="1"/>
  <c r="C22" i="12" s="1"/>
  <c r="E205" i="4"/>
  <c r="D205" i="4"/>
  <c r="C204" i="4"/>
  <c r="R16" i="12"/>
  <c r="Q16" i="12"/>
  <c r="P16" i="12"/>
  <c r="O16" i="12"/>
  <c r="N16" i="12"/>
  <c r="M16" i="12"/>
  <c r="L16" i="12"/>
  <c r="K16" i="12"/>
  <c r="AS13" i="12"/>
  <c r="AR13" i="12"/>
  <c r="AT10" i="12"/>
  <c r="AS10" i="12"/>
  <c r="AR10" i="12"/>
  <c r="AQ10" i="12"/>
  <c r="X10" i="12"/>
  <c r="W10" i="12"/>
  <c r="V10" i="12"/>
  <c r="BB10" i="12" s="1"/>
  <c r="U10" i="12"/>
  <c r="T10" i="12"/>
  <c r="S10" i="12"/>
  <c r="AZ9" i="12"/>
  <c r="AY9" i="12"/>
  <c r="AV9" i="12"/>
  <c r="AU9" i="12"/>
  <c r="AS9" i="12"/>
  <c r="C313" i="4" s="1"/>
  <c r="AR9" i="12"/>
  <c r="AQ9" i="12"/>
  <c r="U9" i="12"/>
  <c r="U140" i="12" s="1"/>
  <c r="R9" i="12"/>
  <c r="AW8" i="12"/>
  <c r="AV8" i="12"/>
  <c r="AU8" i="12"/>
  <c r="AT8" i="12"/>
  <c r="AS8" i="12"/>
  <c r="AR8" i="12"/>
  <c r="AQ8" i="12"/>
  <c r="X8" i="12"/>
  <c r="W8" i="12"/>
  <c r="V8" i="12"/>
  <c r="AZ7" i="12"/>
  <c r="AY7" i="12"/>
  <c r="AX7" i="12"/>
  <c r="AW7" i="12"/>
  <c r="AV7" i="12"/>
  <c r="AU7" i="12"/>
  <c r="AT7" i="12"/>
  <c r="AS7" i="12"/>
  <c r="AR7" i="12"/>
  <c r="AQ7" i="12"/>
  <c r="AZ5" i="12"/>
  <c r="AY5" i="12"/>
  <c r="AX5" i="12"/>
  <c r="AW5" i="12"/>
  <c r="AV5" i="12"/>
  <c r="AU5" i="12"/>
  <c r="AT5" i="12"/>
  <c r="AS5" i="12"/>
  <c r="AR5" i="12"/>
  <c r="AQ5" i="12"/>
  <c r="AZ4" i="12"/>
  <c r="AY4" i="12"/>
  <c r="AX4" i="12"/>
  <c r="AW4" i="12"/>
  <c r="AV4" i="12"/>
  <c r="AU4" i="12"/>
  <c r="AT4" i="12"/>
  <c r="AS4" i="12"/>
  <c r="AR4" i="12"/>
  <c r="AQ4" i="12"/>
  <c r="E203" i="6"/>
  <c r="E67" i="14" s="1"/>
  <c r="E200" i="6"/>
  <c r="G115" i="15" s="1"/>
  <c r="G191" i="6"/>
  <c r="H191" i="6" s="1"/>
  <c r="I191" i="6" s="1"/>
  <c r="J191" i="6" s="1"/>
  <c r="K191" i="6" s="1"/>
  <c r="L191" i="6" s="1"/>
  <c r="M191" i="6" s="1"/>
  <c r="N191" i="6" s="1"/>
  <c r="O191" i="6" s="1"/>
  <c r="F190" i="6"/>
  <c r="F193" i="6" s="1"/>
  <c r="E190" i="6"/>
  <c r="E193" i="6" s="1"/>
  <c r="F169" i="6"/>
  <c r="E169" i="6"/>
  <c r="D168" i="6"/>
  <c r="D169" i="6" s="1"/>
  <c r="G60" i="11" s="1"/>
  <c r="E180" i="6"/>
  <c r="H66" i="11" s="1"/>
  <c r="D179" i="6"/>
  <c r="D180" i="6" s="1"/>
  <c r="G66" i="11" s="1"/>
  <c r="D132" i="6"/>
  <c r="D93" i="6" s="1"/>
  <c r="F94" i="15" s="1"/>
  <c r="F128" i="6"/>
  <c r="D75" i="14" s="1"/>
  <c r="D118" i="14" s="1"/>
  <c r="E124" i="6"/>
  <c r="D286" i="4" s="1"/>
  <c r="E123" i="6"/>
  <c r="D285" i="4" s="1"/>
  <c r="F122" i="6"/>
  <c r="D185" i="4"/>
  <c r="C557" i="4"/>
  <c r="F106" i="6"/>
  <c r="E106" i="6"/>
  <c r="D104" i="6"/>
  <c r="D91" i="6" s="1"/>
  <c r="G77" i="6"/>
  <c r="H77" i="6" s="1"/>
  <c r="I77" i="6" s="1"/>
  <c r="J77" i="6" s="1"/>
  <c r="K77" i="6" s="1"/>
  <c r="L77" i="6" s="1"/>
  <c r="M77" i="6" s="1"/>
  <c r="N77" i="6" s="1"/>
  <c r="O77" i="6" s="1"/>
  <c r="E75" i="6"/>
  <c r="F75" i="6" s="1"/>
  <c r="G75" i="6" s="1"/>
  <c r="H75" i="6" s="1"/>
  <c r="I75" i="6" s="1"/>
  <c r="J75" i="6" s="1"/>
  <c r="K75" i="6" s="1"/>
  <c r="L75" i="6" s="1"/>
  <c r="M75" i="6" s="1"/>
  <c r="N75" i="6" s="1"/>
  <c r="O75" i="6" s="1"/>
  <c r="E73" i="6"/>
  <c r="F73" i="6" s="1"/>
  <c r="G73" i="6" s="1"/>
  <c r="H73" i="6" s="1"/>
  <c r="I73" i="6" s="1"/>
  <c r="J73" i="6" s="1"/>
  <c r="K73" i="6" s="1"/>
  <c r="L73" i="6" s="1"/>
  <c r="M73" i="6" s="1"/>
  <c r="N73" i="6" s="1"/>
  <c r="O73" i="6" s="1"/>
  <c r="F68" i="6"/>
  <c r="E68" i="6"/>
  <c r="F63" i="6"/>
  <c r="E63" i="6"/>
  <c r="B56" i="6"/>
  <c r="B55" i="6"/>
  <c r="B54" i="6"/>
  <c r="B53" i="6"/>
  <c r="B52" i="6"/>
  <c r="B51" i="6"/>
  <c r="E37" i="6"/>
  <c r="F37" i="6" s="1"/>
  <c r="G37" i="6" s="1"/>
  <c r="H37" i="6" s="1"/>
  <c r="I37" i="6" s="1"/>
  <c r="J37" i="6" s="1"/>
  <c r="K37" i="6" s="1"/>
  <c r="L37" i="6" s="1"/>
  <c r="M37" i="6" s="1"/>
  <c r="N37" i="6" s="1"/>
  <c r="O37" i="6" s="1"/>
  <c r="D34" i="6"/>
  <c r="E34" i="6" s="1"/>
  <c r="D31" i="6"/>
  <c r="C31" i="6"/>
  <c r="E30" i="6"/>
  <c r="F29" i="6"/>
  <c r="D28" i="6"/>
  <c r="E27" i="6"/>
  <c r="F27" i="6" s="1"/>
  <c r="G27" i="6" s="1"/>
  <c r="H27" i="6" s="1"/>
  <c r="I27" i="6" s="1"/>
  <c r="J27" i="6" s="1"/>
  <c r="K27" i="6" s="1"/>
  <c r="L27" i="6" s="1"/>
  <c r="M27" i="6" s="1"/>
  <c r="N27" i="6" s="1"/>
  <c r="O27" i="6" s="1"/>
  <c r="D26" i="6"/>
  <c r="E25" i="6"/>
  <c r="F25" i="6" s="1"/>
  <c r="E20" i="6"/>
  <c r="F17" i="6"/>
  <c r="G17" i="6" s="1"/>
  <c r="D17" i="6"/>
  <c r="D20" i="6" s="1"/>
  <c r="E14" i="6"/>
  <c r="D14" i="6"/>
  <c r="F13" i="6"/>
  <c r="G13" i="6" s="1"/>
  <c r="E9" i="6"/>
  <c r="E4" i="6" s="1"/>
  <c r="D9" i="6"/>
  <c r="C256" i="4" s="1"/>
  <c r="F7" i="6"/>
  <c r="G7" i="6" s="1"/>
  <c r="H7" i="6" s="1"/>
  <c r="I7" i="6" s="1"/>
  <c r="J7" i="6" s="1"/>
  <c r="K7" i="6" s="1"/>
  <c r="L7" i="6" s="1"/>
  <c r="M7" i="6" s="1"/>
  <c r="N7" i="6" s="1"/>
  <c r="O7" i="6" s="1"/>
  <c r="E2" i="6"/>
  <c r="F2" i="6" s="1"/>
  <c r="I168" i="1"/>
  <c r="J168" i="1" s="1"/>
  <c r="K168" i="1" s="1"/>
  <c r="L168" i="1" s="1"/>
  <c r="H167" i="1"/>
  <c r="G73" i="11" s="1"/>
  <c r="H166" i="1"/>
  <c r="H159" i="1" s="1"/>
  <c r="J82" i="15"/>
  <c r="H149" i="1"/>
  <c r="G149" i="1"/>
  <c r="F149" i="1"/>
  <c r="K80" i="15"/>
  <c r="J80" i="15"/>
  <c r="L78" i="15"/>
  <c r="K78" i="15"/>
  <c r="J78" i="15"/>
  <c r="I84" i="15"/>
  <c r="H142" i="1"/>
  <c r="B139" i="1"/>
  <c r="B74" i="15" s="1"/>
  <c r="B138" i="1"/>
  <c r="B73" i="15" s="1"/>
  <c r="J135" i="1"/>
  <c r="K135" i="1" s="1"/>
  <c r="M135" i="1" s="1"/>
  <c r="N135" i="1" s="1"/>
  <c r="O135" i="1" s="1"/>
  <c r="P135" i="1" s="1"/>
  <c r="Q135" i="1" s="1"/>
  <c r="R135" i="1" s="1"/>
  <c r="S135" i="1" s="1"/>
  <c r="G135" i="1"/>
  <c r="F135" i="1" s="1"/>
  <c r="K69" i="15"/>
  <c r="H134" i="1"/>
  <c r="G134" i="1" s="1"/>
  <c r="E69" i="15" s="1"/>
  <c r="B134" i="1"/>
  <c r="B69" i="15" s="1"/>
  <c r="B133" i="1"/>
  <c r="B68" i="15" s="1"/>
  <c r="J127" i="1"/>
  <c r="I127" i="1"/>
  <c r="H127" i="1"/>
  <c r="G127" i="1"/>
  <c r="F127" i="1"/>
  <c r="E127" i="1"/>
  <c r="B119" i="1"/>
  <c r="B55" i="15" s="1"/>
  <c r="B118" i="1"/>
  <c r="B54" i="15" s="1"/>
  <c r="G115" i="1"/>
  <c r="E51" i="15" s="1"/>
  <c r="H114" i="1"/>
  <c r="F50" i="15" s="1"/>
  <c r="H107" i="1"/>
  <c r="F44" i="15" s="1"/>
  <c r="G107" i="1"/>
  <c r="E44" i="15" s="1"/>
  <c r="I106" i="1"/>
  <c r="I107" i="1" s="1"/>
  <c r="G44" i="15" s="1"/>
  <c r="E99" i="1"/>
  <c r="C41" i="15" s="1"/>
  <c r="E98" i="1"/>
  <c r="H95" i="1"/>
  <c r="G95" i="1"/>
  <c r="F95" i="1"/>
  <c r="D38" i="15" s="1"/>
  <c r="E95" i="1"/>
  <c r="C38" i="15" s="1"/>
  <c r="H91" i="1"/>
  <c r="G91" i="1"/>
  <c r="E35" i="15" s="1"/>
  <c r="F91" i="1"/>
  <c r="D35" i="15" s="1"/>
  <c r="J90" i="1"/>
  <c r="K91" i="1" s="1"/>
  <c r="K144" i="1" s="1"/>
  <c r="H87" i="1"/>
  <c r="G87" i="1"/>
  <c r="F87" i="1"/>
  <c r="D31" i="15" s="1"/>
  <c r="E87" i="1"/>
  <c r="C31" i="15" s="1"/>
  <c r="F84" i="1"/>
  <c r="D28" i="15" s="1"/>
  <c r="J83" i="1"/>
  <c r="H27" i="15" s="1"/>
  <c r="I83" i="1"/>
  <c r="H83" i="1"/>
  <c r="I84" i="1" s="1"/>
  <c r="G28" i="15" s="1"/>
  <c r="G83" i="1"/>
  <c r="G88" i="1" s="1"/>
  <c r="E32" i="15" s="1"/>
  <c r="F83" i="1"/>
  <c r="F86" i="1" s="1"/>
  <c r="D30" i="15" s="1"/>
  <c r="E83" i="1"/>
  <c r="C27" i="15" s="1"/>
  <c r="H82" i="1"/>
  <c r="F26" i="15" s="1"/>
  <c r="I80" i="1"/>
  <c r="B80" i="1"/>
  <c r="I77" i="1"/>
  <c r="I76" i="1"/>
  <c r="I75" i="1"/>
  <c r="J66" i="1"/>
  <c r="I66" i="1"/>
  <c r="H66" i="1"/>
  <c r="G66" i="1"/>
  <c r="F66" i="1"/>
  <c r="J65" i="1"/>
  <c r="I65" i="1"/>
  <c r="H65" i="1"/>
  <c r="G65" i="1"/>
  <c r="F65" i="1"/>
  <c r="I64" i="1"/>
  <c r="H64" i="1"/>
  <c r="G64" i="1"/>
  <c r="F64" i="1"/>
  <c r="B59" i="1"/>
  <c r="B68" i="1" s="1"/>
  <c r="B58" i="1"/>
  <c r="B67" i="1" s="1"/>
  <c r="B57" i="1"/>
  <c r="B77" i="1" s="1"/>
  <c r="B56" i="1"/>
  <c r="B65" i="1" s="1"/>
  <c r="B55" i="1"/>
  <c r="B75" i="1" s="1"/>
  <c r="H52" i="1"/>
  <c r="B52" i="1"/>
  <c r="B46" i="1"/>
  <c r="J43" i="1"/>
  <c r="H42" i="1"/>
  <c r="H47" i="1" s="1"/>
  <c r="G42" i="1"/>
  <c r="G52" i="1" s="1"/>
  <c r="F42" i="1"/>
  <c r="F52" i="1" s="1"/>
  <c r="E42" i="1"/>
  <c r="E52" i="1" s="1"/>
  <c r="D42" i="1"/>
  <c r="D52" i="1" s="1"/>
  <c r="B41" i="1"/>
  <c r="B51" i="1" s="1"/>
  <c r="B40" i="1"/>
  <c r="B50" i="1" s="1"/>
  <c r="B39" i="1"/>
  <c r="B49" i="1" s="1"/>
  <c r="B38" i="1"/>
  <c r="B48" i="1" s="1"/>
  <c r="B37" i="1"/>
  <c r="B47" i="1" s="1"/>
  <c r="B36" i="1"/>
  <c r="H33" i="1"/>
  <c r="F24" i="15" s="1"/>
  <c r="G33" i="1"/>
  <c r="E24" i="15" s="1"/>
  <c r="F33" i="1"/>
  <c r="D24" i="15" s="1"/>
  <c r="E33" i="1"/>
  <c r="C24" i="15" s="1"/>
  <c r="B33" i="1"/>
  <c r="B24" i="15" s="1"/>
  <c r="B32" i="1"/>
  <c r="B23" i="15" s="1"/>
  <c r="J31" i="1"/>
  <c r="H22" i="15" s="1"/>
  <c r="I31" i="1"/>
  <c r="G22" i="15" s="1"/>
  <c r="H31" i="1"/>
  <c r="F22" i="15" s="1"/>
  <c r="G31" i="1"/>
  <c r="E22" i="15" s="1"/>
  <c r="F31" i="1"/>
  <c r="D22" i="15" s="1"/>
  <c r="E31" i="1"/>
  <c r="C22" i="15" s="1"/>
  <c r="B31" i="1"/>
  <c r="B22" i="15" s="1"/>
  <c r="J30" i="1"/>
  <c r="H21" i="15" s="1"/>
  <c r="H30" i="1"/>
  <c r="F21" i="15" s="1"/>
  <c r="G30" i="1"/>
  <c r="E21" i="15" s="1"/>
  <c r="F30" i="1"/>
  <c r="D21" i="15" s="1"/>
  <c r="E30" i="1"/>
  <c r="C21" i="15" s="1"/>
  <c r="B30" i="1"/>
  <c r="B21" i="15" s="1"/>
  <c r="J29" i="1"/>
  <c r="H20" i="15" s="1"/>
  <c r="H29" i="1"/>
  <c r="F20" i="15" s="1"/>
  <c r="G29" i="1"/>
  <c r="E20" i="15" s="1"/>
  <c r="F29" i="1"/>
  <c r="D20" i="15" s="1"/>
  <c r="E29" i="1"/>
  <c r="C20" i="15" s="1"/>
  <c r="B29" i="1"/>
  <c r="B20" i="15" s="1"/>
  <c r="H28" i="1"/>
  <c r="F19" i="15" s="1"/>
  <c r="G28" i="1"/>
  <c r="E19" i="15" s="1"/>
  <c r="F28" i="1"/>
  <c r="D19" i="15" s="1"/>
  <c r="E28" i="1"/>
  <c r="C19" i="15" s="1"/>
  <c r="B28" i="1"/>
  <c r="B19" i="15" s="1"/>
  <c r="J27" i="1"/>
  <c r="H27" i="1"/>
  <c r="F18" i="15" s="1"/>
  <c r="G27" i="1"/>
  <c r="E18" i="15" s="1"/>
  <c r="F27" i="1"/>
  <c r="D18" i="15" s="1"/>
  <c r="E27" i="1"/>
  <c r="C18" i="15" s="1"/>
  <c r="B27" i="1"/>
  <c r="B18" i="15" s="1"/>
  <c r="H24" i="1"/>
  <c r="G24" i="1"/>
  <c r="F24" i="1"/>
  <c r="D15" i="15" s="1"/>
  <c r="E24" i="1"/>
  <c r="C15" i="15" s="1"/>
  <c r="H23" i="1"/>
  <c r="F14" i="15" s="1"/>
  <c r="G23" i="1"/>
  <c r="E14" i="15" s="1"/>
  <c r="F23" i="1"/>
  <c r="D14" i="15" s="1"/>
  <c r="I22" i="1"/>
  <c r="G13" i="15" s="1"/>
  <c r="J19" i="1"/>
  <c r="I19" i="1"/>
  <c r="J17" i="1"/>
  <c r="I17" i="1"/>
  <c r="J15" i="1"/>
  <c r="I15" i="1"/>
  <c r="I10" i="1"/>
  <c r="G11" i="15" s="1"/>
  <c r="H10" i="1"/>
  <c r="F11" i="15" s="1"/>
  <c r="G10" i="1"/>
  <c r="E11" i="15" s="1"/>
  <c r="F10" i="1"/>
  <c r="D11" i="15" s="1"/>
  <c r="I9" i="1"/>
  <c r="G10" i="15" s="1"/>
  <c r="D9" i="1"/>
  <c r="E10" i="1" s="1"/>
  <c r="C11" i="15" s="1"/>
  <c r="H8" i="1"/>
  <c r="F9" i="15" s="1"/>
  <c r="G8" i="1"/>
  <c r="E9" i="15" s="1"/>
  <c r="F8" i="1"/>
  <c r="D9" i="15" s="1"/>
  <c r="E8" i="1"/>
  <c r="C9" i="15" s="1"/>
  <c r="I2" i="1"/>
  <c r="I142" i="1" s="1"/>
  <c r="G2" i="1"/>
  <c r="G82" i="1" s="1"/>
  <c r="E26" i="15" s="1"/>
  <c r="O270" i="11"/>
  <c r="P270" i="11" s="1"/>
  <c r="Q270" i="11" s="1"/>
  <c r="H268" i="11"/>
  <c r="I269" i="11" s="1"/>
  <c r="G268" i="11"/>
  <c r="F268" i="11"/>
  <c r="H264" i="11"/>
  <c r="I265" i="11" s="1"/>
  <c r="G264" i="11"/>
  <c r="F264" i="11"/>
  <c r="H260" i="11"/>
  <c r="H261" i="11" s="1"/>
  <c r="G260" i="11"/>
  <c r="G261" i="11" s="1"/>
  <c r="B260" i="11"/>
  <c r="I259" i="11"/>
  <c r="B259" i="11"/>
  <c r="H255" i="11"/>
  <c r="G255" i="11"/>
  <c r="H254" i="11"/>
  <c r="G254" i="11"/>
  <c r="I251" i="11"/>
  <c r="J251" i="11" s="1"/>
  <c r="K251" i="11" s="1"/>
  <c r="L251" i="11" s="1"/>
  <c r="M251" i="11" s="1"/>
  <c r="N251" i="11" s="1"/>
  <c r="O251" i="11" s="1"/>
  <c r="P251" i="11" s="1"/>
  <c r="Q251" i="11" s="1"/>
  <c r="R251" i="11" s="1"/>
  <c r="B251" i="11"/>
  <c r="B255" i="11" s="1"/>
  <c r="I250" i="11"/>
  <c r="J250" i="11" s="1"/>
  <c r="K250" i="11" s="1"/>
  <c r="L250" i="11" s="1"/>
  <c r="M250" i="11" s="1"/>
  <c r="N250" i="11" s="1"/>
  <c r="O250" i="11" s="1"/>
  <c r="P250" i="11" s="1"/>
  <c r="Q250" i="11" s="1"/>
  <c r="R250" i="11" s="1"/>
  <c r="B250" i="11"/>
  <c r="B254" i="11" s="1"/>
  <c r="L228" i="11"/>
  <c r="B228" i="11"/>
  <c r="B232" i="11" s="1"/>
  <c r="B241" i="11" s="1"/>
  <c r="B227" i="11"/>
  <c r="B231" i="11" s="1"/>
  <c r="B240" i="11" s="1"/>
  <c r="H224" i="11"/>
  <c r="E30" i="14" s="1"/>
  <c r="G224" i="11"/>
  <c r="D30" i="14" s="1"/>
  <c r="I212" i="11"/>
  <c r="H212" i="11"/>
  <c r="G212" i="11"/>
  <c r="F212" i="11"/>
  <c r="I211" i="11"/>
  <c r="H211" i="11"/>
  <c r="G211" i="11"/>
  <c r="F211" i="11"/>
  <c r="G204" i="11"/>
  <c r="F204" i="11"/>
  <c r="I203" i="11"/>
  <c r="L203" i="11" s="1"/>
  <c r="M203" i="11" s="1"/>
  <c r="N203" i="11" s="1"/>
  <c r="O203" i="11" s="1"/>
  <c r="P203" i="11" s="1"/>
  <c r="Q203" i="11" s="1"/>
  <c r="R203" i="11" s="1"/>
  <c r="H203" i="11"/>
  <c r="L202" i="11"/>
  <c r="M202" i="11" s="1"/>
  <c r="N202" i="11" s="1"/>
  <c r="O202" i="11" s="1"/>
  <c r="P202" i="11" s="1"/>
  <c r="Q202" i="11" s="1"/>
  <c r="R202" i="11" s="1"/>
  <c r="I198" i="11"/>
  <c r="I208" i="11" s="1"/>
  <c r="G198" i="11"/>
  <c r="F198" i="11"/>
  <c r="L197" i="11"/>
  <c r="M197" i="11" s="1"/>
  <c r="N197" i="11" s="1"/>
  <c r="O197" i="11" s="1"/>
  <c r="P197" i="11" s="1"/>
  <c r="Q197" i="11" s="1"/>
  <c r="R197" i="11" s="1"/>
  <c r="L196" i="11"/>
  <c r="M196" i="11" s="1"/>
  <c r="N196" i="11" s="1"/>
  <c r="O196" i="11" s="1"/>
  <c r="P196" i="11" s="1"/>
  <c r="Q196" i="11" s="1"/>
  <c r="R196" i="11" s="1"/>
  <c r="L195" i="11"/>
  <c r="M195" i="11" s="1"/>
  <c r="N195" i="11" s="1"/>
  <c r="O195" i="11" s="1"/>
  <c r="P195" i="11" s="1"/>
  <c r="Q195" i="11" s="1"/>
  <c r="R195" i="11" s="1"/>
  <c r="H195" i="11"/>
  <c r="H198" i="11" s="1"/>
  <c r="H208" i="11" s="1"/>
  <c r="G52" i="14"/>
  <c r="L192" i="11"/>
  <c r="M192" i="11" s="1"/>
  <c r="N192" i="11" s="1"/>
  <c r="O192" i="11" s="1"/>
  <c r="P192" i="11" s="1"/>
  <c r="Q192" i="11" s="1"/>
  <c r="R192" i="11" s="1"/>
  <c r="L191" i="11"/>
  <c r="M191" i="11" s="1"/>
  <c r="N191" i="11" s="1"/>
  <c r="O191" i="11" s="1"/>
  <c r="P191" i="11" s="1"/>
  <c r="Q191" i="11" s="1"/>
  <c r="R191" i="11" s="1"/>
  <c r="L190" i="11"/>
  <c r="M190" i="11" s="1"/>
  <c r="N190" i="11" s="1"/>
  <c r="O190" i="11" s="1"/>
  <c r="P190" i="11" s="1"/>
  <c r="Q190" i="11" s="1"/>
  <c r="R190" i="11" s="1"/>
  <c r="L189" i="11"/>
  <c r="M189" i="11" s="1"/>
  <c r="N189" i="11" s="1"/>
  <c r="O189" i="11" s="1"/>
  <c r="P189" i="11" s="1"/>
  <c r="Q189" i="11" s="1"/>
  <c r="R189" i="11" s="1"/>
  <c r="L188" i="11"/>
  <c r="M188" i="11" s="1"/>
  <c r="N188" i="11" s="1"/>
  <c r="O188" i="11" s="1"/>
  <c r="P188" i="11" s="1"/>
  <c r="Q188" i="11" s="1"/>
  <c r="R188" i="11" s="1"/>
  <c r="L187" i="11"/>
  <c r="M187" i="11" s="1"/>
  <c r="N187" i="11" s="1"/>
  <c r="O187" i="11" s="1"/>
  <c r="P187" i="11" s="1"/>
  <c r="Q187" i="11" s="1"/>
  <c r="R187" i="11" s="1"/>
  <c r="I181" i="11"/>
  <c r="H181" i="11"/>
  <c r="G181" i="11"/>
  <c r="F181" i="11"/>
  <c r="L178" i="11"/>
  <c r="M178" i="11" s="1"/>
  <c r="N178" i="11" s="1"/>
  <c r="O178" i="11" s="1"/>
  <c r="P178" i="11" s="1"/>
  <c r="Q178" i="11" s="1"/>
  <c r="R178" i="11" s="1"/>
  <c r="L177" i="11"/>
  <c r="M177" i="11" s="1"/>
  <c r="N177" i="11" s="1"/>
  <c r="O177" i="11" s="1"/>
  <c r="P177" i="11" s="1"/>
  <c r="Q177" i="11" s="1"/>
  <c r="R177" i="11" s="1"/>
  <c r="L176" i="11"/>
  <c r="M176" i="11" s="1"/>
  <c r="N176" i="11" s="1"/>
  <c r="O176" i="11" s="1"/>
  <c r="P176" i="11" s="1"/>
  <c r="Q176" i="11" s="1"/>
  <c r="R176" i="11" s="1"/>
  <c r="L175" i="11"/>
  <c r="M175" i="11" s="1"/>
  <c r="N175" i="11" s="1"/>
  <c r="O175" i="11" s="1"/>
  <c r="P175" i="11" s="1"/>
  <c r="Q175" i="11" s="1"/>
  <c r="R175" i="11" s="1"/>
  <c r="L174" i="11"/>
  <c r="M174" i="11" s="1"/>
  <c r="N174" i="11" s="1"/>
  <c r="O174" i="11" s="1"/>
  <c r="P174" i="11" s="1"/>
  <c r="Q174" i="11" s="1"/>
  <c r="R174" i="11" s="1"/>
  <c r="I171" i="11"/>
  <c r="H171" i="11"/>
  <c r="G171" i="11"/>
  <c r="F171" i="11"/>
  <c r="L170" i="11"/>
  <c r="M170" i="11" s="1"/>
  <c r="N170" i="11" s="1"/>
  <c r="O170" i="11" s="1"/>
  <c r="P170" i="11" s="1"/>
  <c r="Q170" i="11" s="1"/>
  <c r="R170" i="11" s="1"/>
  <c r="L169" i="11"/>
  <c r="M169" i="11" s="1"/>
  <c r="N169" i="11" s="1"/>
  <c r="O169" i="11" s="1"/>
  <c r="P169" i="11" s="1"/>
  <c r="Q169" i="11" s="1"/>
  <c r="R169" i="11" s="1"/>
  <c r="L168" i="11"/>
  <c r="M168" i="11" s="1"/>
  <c r="N168" i="11" s="1"/>
  <c r="O168" i="11" s="1"/>
  <c r="P168" i="11" s="1"/>
  <c r="Q168" i="11" s="1"/>
  <c r="R168" i="11" s="1"/>
  <c r="L166" i="11"/>
  <c r="M166" i="11" s="1"/>
  <c r="N166" i="11" s="1"/>
  <c r="O166" i="11" s="1"/>
  <c r="P166" i="11" s="1"/>
  <c r="Q166" i="11" s="1"/>
  <c r="R166" i="11" s="1"/>
  <c r="I153" i="11"/>
  <c r="H153" i="11"/>
  <c r="G153" i="11"/>
  <c r="I151" i="11"/>
  <c r="H151" i="11"/>
  <c r="G151" i="11"/>
  <c r="I150" i="11"/>
  <c r="H150" i="11"/>
  <c r="G150" i="11"/>
  <c r="I149" i="11"/>
  <c r="H149" i="11"/>
  <c r="G149" i="11"/>
  <c r="I144" i="11"/>
  <c r="H144" i="11"/>
  <c r="G144" i="11"/>
  <c r="F144" i="11"/>
  <c r="E144" i="11"/>
  <c r="H138" i="11"/>
  <c r="I159" i="1" s="1"/>
  <c r="I137" i="11"/>
  <c r="I139" i="11" s="1"/>
  <c r="H137" i="11"/>
  <c r="G137" i="11"/>
  <c r="F137" i="11"/>
  <c r="E137" i="11"/>
  <c r="G132" i="11"/>
  <c r="G158" i="11" s="1"/>
  <c r="I128" i="11"/>
  <c r="H128" i="11"/>
  <c r="G128" i="11"/>
  <c r="I127" i="11"/>
  <c r="H127" i="11"/>
  <c r="G127" i="11"/>
  <c r="I126" i="11"/>
  <c r="H126" i="11"/>
  <c r="G126" i="11"/>
  <c r="I117" i="11"/>
  <c r="I119" i="11" s="1"/>
  <c r="H117" i="11"/>
  <c r="H119" i="11" s="1"/>
  <c r="I113" i="11"/>
  <c r="H113" i="11"/>
  <c r="I112" i="11"/>
  <c r="H112" i="11"/>
  <c r="K102" i="11"/>
  <c r="L102" i="11" s="1"/>
  <c r="M102" i="11" s="1"/>
  <c r="N102" i="11" s="1"/>
  <c r="O102" i="11" s="1"/>
  <c r="P102" i="11" s="1"/>
  <c r="Q102" i="11" s="1"/>
  <c r="R102" i="11" s="1"/>
  <c r="H102" i="11"/>
  <c r="G102" i="11"/>
  <c r="H100" i="11"/>
  <c r="G100" i="11"/>
  <c r="H99" i="11"/>
  <c r="I99" i="11" s="1"/>
  <c r="G99" i="11"/>
  <c r="I78" i="11"/>
  <c r="H78" i="11"/>
  <c r="F78" i="11"/>
  <c r="G75" i="11"/>
  <c r="F74" i="11"/>
  <c r="J73" i="11"/>
  <c r="J74" i="11" s="1"/>
  <c r="I73" i="11"/>
  <c r="H73" i="11"/>
  <c r="H74" i="11" s="1"/>
  <c r="I57" i="11"/>
  <c r="H57" i="11"/>
  <c r="G57" i="11"/>
  <c r="J56" i="11"/>
  <c r="K56" i="11" s="1"/>
  <c r="L56" i="11" s="1"/>
  <c r="M56" i="11" s="1"/>
  <c r="N56" i="11" s="1"/>
  <c r="O56" i="11" s="1"/>
  <c r="P56" i="11" s="1"/>
  <c r="Q56" i="11" s="1"/>
  <c r="R56" i="11" s="1"/>
  <c r="I54" i="11"/>
  <c r="M54" i="11" s="1"/>
  <c r="N54" i="11" s="1"/>
  <c r="O54" i="11" s="1"/>
  <c r="P54" i="11" s="1"/>
  <c r="Q54" i="11" s="1"/>
  <c r="R54" i="11" s="1"/>
  <c r="H54" i="11"/>
  <c r="G54" i="11"/>
  <c r="F54" i="11"/>
  <c r="D48" i="11"/>
  <c r="I46" i="11"/>
  <c r="J46" i="11" s="1"/>
  <c r="I29" i="11"/>
  <c r="I30" i="11" s="1"/>
  <c r="H29" i="11"/>
  <c r="G29" i="11"/>
  <c r="G30" i="11" s="1"/>
  <c r="F29" i="11"/>
  <c r="F32" i="11" s="1"/>
  <c r="F33" i="11" s="1"/>
  <c r="D1748" i="4" s="1"/>
  <c r="E29" i="11"/>
  <c r="E32" i="11" s="1"/>
  <c r="E33" i="11" s="1"/>
  <c r="C1748" i="4" s="1"/>
  <c r="I23" i="11"/>
  <c r="H23" i="11"/>
  <c r="G23" i="11"/>
  <c r="F23" i="11"/>
  <c r="E23" i="11"/>
  <c r="I12" i="11"/>
  <c r="I24" i="11" s="1"/>
  <c r="H12" i="11"/>
  <c r="C675" i="4" s="1"/>
  <c r="G12" i="11"/>
  <c r="G52" i="11" s="1"/>
  <c r="F12" i="11"/>
  <c r="E12" i="11"/>
  <c r="D12" i="11"/>
  <c r="J127" i="11"/>
  <c r="E2" i="11"/>
  <c r="F2" i="11" s="1"/>
  <c r="B16" i="18"/>
  <c r="K46" i="11" l="1"/>
  <c r="L46" i="11" s="1"/>
  <c r="M46" i="11" s="1"/>
  <c r="N46" i="11" s="1"/>
  <c r="O46" i="11" s="1"/>
  <c r="P46" i="11" s="1"/>
  <c r="Q46" i="11" s="1"/>
  <c r="R46" i="11" s="1"/>
  <c r="G213" i="11"/>
  <c r="D32" i="14" s="1"/>
  <c r="M228" i="11"/>
  <c r="N228" i="11" s="1"/>
  <c r="O228" i="11" s="1"/>
  <c r="P228" i="11" s="1"/>
  <c r="Q228" i="11" s="1"/>
  <c r="R228" i="11" s="1"/>
  <c r="L241" i="11"/>
  <c r="H256" i="11"/>
  <c r="C16" i="17"/>
  <c r="I144" i="14"/>
  <c r="D111" i="14" s="1"/>
  <c r="BC10" i="12"/>
  <c r="C1541" i="4"/>
  <c r="BD10" i="12"/>
  <c r="D1541" i="4"/>
  <c r="BC8" i="12"/>
  <c r="C1540" i="4"/>
  <c r="BD8" i="12"/>
  <c r="D1540" i="4"/>
  <c r="E144" i="14"/>
  <c r="I58" i="11"/>
  <c r="G208" i="11"/>
  <c r="H139" i="11"/>
  <c r="G256" i="11"/>
  <c r="G262" i="11" s="1"/>
  <c r="F89" i="15"/>
  <c r="G138" i="11"/>
  <c r="G139" i="11" s="1"/>
  <c r="I30" i="1"/>
  <c r="G21" i="15" s="1"/>
  <c r="I33" i="1"/>
  <c r="G24" i="15" s="1"/>
  <c r="J84" i="1"/>
  <c r="F2" i="1"/>
  <c r="E2" i="1" s="1"/>
  <c r="E82" i="1" s="1"/>
  <c r="C26" i="15" s="1"/>
  <c r="I29" i="1"/>
  <c r="G20" i="15" s="1"/>
  <c r="H48" i="1"/>
  <c r="I48" i="1" s="1"/>
  <c r="I38" i="1" s="1"/>
  <c r="F144" i="1"/>
  <c r="D78" i="15" s="1"/>
  <c r="I32" i="1"/>
  <c r="G23" i="15" s="1"/>
  <c r="H49" i="1"/>
  <c r="I49" i="1" s="1"/>
  <c r="G144" i="1"/>
  <c r="I28" i="1"/>
  <c r="G19" i="15" s="1"/>
  <c r="I47" i="1"/>
  <c r="I37" i="1" s="1"/>
  <c r="H50" i="1"/>
  <c r="I50" i="1" s="1"/>
  <c r="I40" i="1" s="1"/>
  <c r="I87" i="1" s="1"/>
  <c r="I86" i="1" s="1"/>
  <c r="D46" i="1"/>
  <c r="I27" i="1"/>
  <c r="G18" i="15" s="1"/>
  <c r="D43" i="1"/>
  <c r="H51" i="1"/>
  <c r="B64" i="1"/>
  <c r="I24" i="1"/>
  <c r="G15" i="15" s="1"/>
  <c r="F115" i="1"/>
  <c r="F119" i="1" s="1"/>
  <c r="D55" i="15" s="1"/>
  <c r="T178" i="12"/>
  <c r="AR21" i="12"/>
  <c r="U199" i="12"/>
  <c r="U178" i="12"/>
  <c r="BA178" i="12" s="1"/>
  <c r="BA176" i="12"/>
  <c r="S183" i="12"/>
  <c r="S178" i="12"/>
  <c r="H18" i="15"/>
  <c r="J110" i="1"/>
  <c r="H46" i="15" s="1"/>
  <c r="AS21" i="12"/>
  <c r="AT21" i="12"/>
  <c r="E128" i="14"/>
  <c r="D129" i="14" s="1"/>
  <c r="W73" i="12"/>
  <c r="C17" i="19"/>
  <c r="C16" i="19" s="1"/>
  <c r="X73" i="12"/>
  <c r="D17" i="19"/>
  <c r="D16" i="19" s="1"/>
  <c r="G183" i="11"/>
  <c r="H183" i="11"/>
  <c r="D131" i="15" s="1"/>
  <c r="H213" i="11"/>
  <c r="E32" i="14" s="1"/>
  <c r="E51" i="14" s="1"/>
  <c r="E53" i="14" s="1"/>
  <c r="H58" i="11"/>
  <c r="G265" i="11"/>
  <c r="I79" i="11"/>
  <c r="F183" i="11"/>
  <c r="F208" i="11"/>
  <c r="I255" i="11"/>
  <c r="H60" i="11"/>
  <c r="H61" i="11" s="1"/>
  <c r="E132" i="6"/>
  <c r="I60" i="11"/>
  <c r="I61" i="11" s="1"/>
  <c r="F132" i="6"/>
  <c r="L43" i="12"/>
  <c r="L27" i="12"/>
  <c r="M43" i="12"/>
  <c r="M27" i="12"/>
  <c r="K43" i="12"/>
  <c r="K27" i="12"/>
  <c r="N43" i="12"/>
  <c r="N27" i="12"/>
  <c r="O43" i="12"/>
  <c r="C693" i="4" s="1"/>
  <c r="O27" i="12"/>
  <c r="P27" i="12"/>
  <c r="P43" i="12"/>
  <c r="D693" i="4" s="1"/>
  <c r="Q27" i="12"/>
  <c r="Q43" i="12"/>
  <c r="E693" i="4" s="1"/>
  <c r="R43" i="12"/>
  <c r="F693" i="4" s="1"/>
  <c r="R27" i="12"/>
  <c r="M217" i="12"/>
  <c r="BA9" i="12"/>
  <c r="I35" i="15"/>
  <c r="I213" i="11"/>
  <c r="I32" i="11"/>
  <c r="I38" i="11" s="1"/>
  <c r="I39" i="11" s="1"/>
  <c r="G122" i="11"/>
  <c r="D55" i="14" s="1"/>
  <c r="D57" i="14" s="1"/>
  <c r="H52" i="14"/>
  <c r="F213" i="11"/>
  <c r="H52" i="11"/>
  <c r="H79" i="11"/>
  <c r="G129" i="11"/>
  <c r="H129" i="11"/>
  <c r="H209" i="11"/>
  <c r="I129" i="11"/>
  <c r="H132" i="11"/>
  <c r="I132" i="11" s="1"/>
  <c r="H269" i="11"/>
  <c r="I52" i="11"/>
  <c r="I26" i="11"/>
  <c r="D676" i="4" s="1"/>
  <c r="Z576" i="4"/>
  <c r="Z584" i="4" s="1"/>
  <c r="G13" i="11"/>
  <c r="I136" i="11"/>
  <c r="I183" i="11"/>
  <c r="E131" i="15" s="1"/>
  <c r="H13" i="11"/>
  <c r="D554" i="4"/>
  <c r="D4" i="6"/>
  <c r="C255" i="4" s="1"/>
  <c r="R252" i="12"/>
  <c r="R259" i="12"/>
  <c r="R271" i="12"/>
  <c r="V98" i="12"/>
  <c r="V103" i="12" s="1"/>
  <c r="V92" i="12"/>
  <c r="V95" i="12" s="1"/>
  <c r="V217" i="12"/>
  <c r="AX8" i="12"/>
  <c r="BB8" i="12"/>
  <c r="F9" i="6"/>
  <c r="F11" i="6" s="1"/>
  <c r="H67" i="11"/>
  <c r="G101" i="15"/>
  <c r="F126" i="6"/>
  <c r="G126" i="6" s="1"/>
  <c r="H126" i="6" s="1"/>
  <c r="I126" i="6" s="1"/>
  <c r="F148" i="4"/>
  <c r="I148" i="4" s="1"/>
  <c r="J148" i="4" s="1"/>
  <c r="F20" i="6"/>
  <c r="P357" i="12"/>
  <c r="AR357" i="12" s="1"/>
  <c r="F126" i="15"/>
  <c r="E126" i="15"/>
  <c r="G20" i="6"/>
  <c r="H17" i="6"/>
  <c r="H102" i="15"/>
  <c r="F31" i="6"/>
  <c r="F32" i="6" s="1"/>
  <c r="G25" i="6"/>
  <c r="H13" i="6"/>
  <c r="G9" i="6"/>
  <c r="G21" i="6" s="1"/>
  <c r="F102" i="15"/>
  <c r="G61" i="11"/>
  <c r="G67" i="11"/>
  <c r="F101" i="15"/>
  <c r="E19" i="6"/>
  <c r="D255" i="4"/>
  <c r="E5" i="6"/>
  <c r="D253" i="4" s="1"/>
  <c r="G102" i="15"/>
  <c r="G2" i="6"/>
  <c r="E251" i="4"/>
  <c r="E277" i="4" s="1"/>
  <c r="E284" i="4" s="1"/>
  <c r="F104" i="6"/>
  <c r="F91" i="6" s="1"/>
  <c r="I15" i="11"/>
  <c r="F149" i="4"/>
  <c r="I149" i="4" s="1"/>
  <c r="E44" i="6" s="1"/>
  <c r="E53" i="6" s="1"/>
  <c r="E85" i="6" s="1"/>
  <c r="D11" i="6"/>
  <c r="E21" i="6"/>
  <c r="E31" i="6"/>
  <c r="E32" i="6" s="1"/>
  <c r="E104" i="6"/>
  <c r="E91" i="6" s="1"/>
  <c r="F112" i="6"/>
  <c r="E11" i="6"/>
  <c r="D251" i="4"/>
  <c r="D277" i="4" s="1"/>
  <c r="D284" i="4" s="1"/>
  <c r="D256" i="4"/>
  <c r="D557" i="4"/>
  <c r="D21" i="6"/>
  <c r="E112" i="6"/>
  <c r="G122" i="6"/>
  <c r="E185" i="4" s="1"/>
  <c r="H15" i="11"/>
  <c r="C185" i="4"/>
  <c r="C188" i="4" s="1"/>
  <c r="G15" i="11"/>
  <c r="E126" i="6"/>
  <c r="E129" i="6" s="1"/>
  <c r="G29" i="6"/>
  <c r="V252" i="12"/>
  <c r="V271" i="12"/>
  <c r="W16" i="12"/>
  <c r="D187" i="4"/>
  <c r="L1197" i="4"/>
  <c r="K1197" i="4"/>
  <c r="X250" i="12"/>
  <c r="L133" i="19"/>
  <c r="X251" i="12"/>
  <c r="L134" i="19"/>
  <c r="U16" i="12"/>
  <c r="BA10" i="12"/>
  <c r="W180" i="12"/>
  <c r="W171" i="12"/>
  <c r="X252" i="12"/>
  <c r="L135" i="19"/>
  <c r="X180" i="12"/>
  <c r="AZ180" i="12" s="1"/>
  <c r="U186" i="12"/>
  <c r="BA165" i="12"/>
  <c r="Y185" i="12"/>
  <c r="AZ8" i="12"/>
  <c r="X92" i="12"/>
  <c r="X95" i="12" s="1"/>
  <c r="I90" i="1"/>
  <c r="W92" i="12"/>
  <c r="W95" i="12" s="1"/>
  <c r="Q22" i="12"/>
  <c r="G22" i="14"/>
  <c r="D188" i="4"/>
  <c r="H128" i="6"/>
  <c r="I128" i="6" s="1"/>
  <c r="J128" i="6" s="1"/>
  <c r="K128" i="6" s="1"/>
  <c r="L128" i="6" s="1"/>
  <c r="M128" i="6" s="1"/>
  <c r="N128" i="6" s="1"/>
  <c r="O128" i="6" s="1"/>
  <c r="K171" i="19"/>
  <c r="C1153" i="4"/>
  <c r="H34" i="15"/>
  <c r="I39" i="1"/>
  <c r="J49" i="1"/>
  <c r="C3" i="15"/>
  <c r="C48" i="15" s="1"/>
  <c r="C66" i="15" s="1"/>
  <c r="C91" i="15" s="1"/>
  <c r="E142" i="1"/>
  <c r="G98" i="1"/>
  <c r="I69" i="1"/>
  <c r="J69" i="1" s="1"/>
  <c r="K69" i="1" s="1"/>
  <c r="B76" i="1"/>
  <c r="G27" i="15"/>
  <c r="C524" i="3"/>
  <c r="C515" i="3"/>
  <c r="C517" i="3" s="1"/>
  <c r="I98" i="1"/>
  <c r="G40" i="15" s="1"/>
  <c r="C514" i="3"/>
  <c r="E88" i="1"/>
  <c r="C32" i="15" s="1"/>
  <c r="E123" i="1"/>
  <c r="I45" i="15"/>
  <c r="M80" i="15"/>
  <c r="G92" i="1"/>
  <c r="E36" i="15" s="1"/>
  <c r="J10" i="1"/>
  <c r="H11" i="15" s="1"/>
  <c r="D27" i="1"/>
  <c r="E43" i="1"/>
  <c r="E46" i="1"/>
  <c r="D47" i="1"/>
  <c r="H60" i="1"/>
  <c r="J98" i="1"/>
  <c r="H40" i="15" s="1"/>
  <c r="F88" i="1"/>
  <c r="D32" i="15" s="1"/>
  <c r="F123" i="1"/>
  <c r="I110" i="1"/>
  <c r="G46" i="15" s="1"/>
  <c r="N80" i="15"/>
  <c r="H32" i="1"/>
  <c r="F23" i="15" s="1"/>
  <c r="H98" i="1"/>
  <c r="D70" i="15"/>
  <c r="E135" i="1"/>
  <c r="C70" i="15" s="1"/>
  <c r="E30" i="11"/>
  <c r="D28" i="1"/>
  <c r="F43" i="1"/>
  <c r="F46" i="1"/>
  <c r="E47" i="1"/>
  <c r="D48" i="1"/>
  <c r="D49" i="1"/>
  <c r="D50" i="1"/>
  <c r="D51" i="1"/>
  <c r="B78" i="1"/>
  <c r="G123" i="1"/>
  <c r="F266" i="11" s="1"/>
  <c r="E31" i="15"/>
  <c r="I43" i="15"/>
  <c r="G114" i="1"/>
  <c r="F146" i="1"/>
  <c r="D80" i="15" s="1"/>
  <c r="F150" i="1"/>
  <c r="O78" i="15"/>
  <c r="G86" i="1"/>
  <c r="E30" i="15" s="1"/>
  <c r="H92" i="1"/>
  <c r="F36" i="15" s="1"/>
  <c r="F30" i="11"/>
  <c r="D29" i="1"/>
  <c r="D30" i="1"/>
  <c r="D31" i="1"/>
  <c r="D32" i="1"/>
  <c r="D33" i="1"/>
  <c r="G43" i="1"/>
  <c r="G46" i="1"/>
  <c r="F47" i="1"/>
  <c r="E48" i="1"/>
  <c r="E49" i="1"/>
  <c r="E50" i="1"/>
  <c r="E51" i="1"/>
  <c r="B79" i="1"/>
  <c r="H123" i="1"/>
  <c r="G266" i="11" s="1"/>
  <c r="F31" i="15"/>
  <c r="J43" i="15"/>
  <c r="G119" i="1"/>
  <c r="E55" i="15" s="1"/>
  <c r="E63" i="15"/>
  <c r="G146" i="1"/>
  <c r="E80" i="15" s="1"/>
  <c r="G150" i="1"/>
  <c r="E78" i="15"/>
  <c r="P80" i="15"/>
  <c r="G3" i="15"/>
  <c r="G48" i="15" s="1"/>
  <c r="G66" i="15" s="1"/>
  <c r="G91" i="15" s="1"/>
  <c r="N78" i="15"/>
  <c r="J2" i="1"/>
  <c r="K2" i="1" s="1"/>
  <c r="H84" i="1"/>
  <c r="F28" i="15" s="1"/>
  <c r="F27" i="15"/>
  <c r="H110" i="1"/>
  <c r="H86" i="1"/>
  <c r="F30" i="15" s="1"/>
  <c r="F142" i="1"/>
  <c r="E32" i="1"/>
  <c r="C23" i="15" s="1"/>
  <c r="H43" i="1"/>
  <c r="H46" i="1"/>
  <c r="G47" i="1"/>
  <c r="F48" i="1"/>
  <c r="F49" i="1"/>
  <c r="F50" i="1"/>
  <c r="F51" i="1"/>
  <c r="B66" i="1"/>
  <c r="I82" i="1"/>
  <c r="G26" i="15" s="1"/>
  <c r="H28" i="15"/>
  <c r="D522" i="4"/>
  <c r="C513" i="3"/>
  <c r="F35" i="15"/>
  <c r="H144" i="1"/>
  <c r="E101" i="1"/>
  <c r="C40" i="15"/>
  <c r="H119" i="1"/>
  <c r="F55" i="15" s="1"/>
  <c r="F134" i="1"/>
  <c r="G139" i="1"/>
  <c r="E74" i="15" s="1"/>
  <c r="I80" i="15"/>
  <c r="G32" i="1"/>
  <c r="E23" i="15" s="1"/>
  <c r="G84" i="1"/>
  <c r="E28" i="15" s="1"/>
  <c r="E27" i="15"/>
  <c r="G110" i="1"/>
  <c r="K84" i="15"/>
  <c r="E3" i="15"/>
  <c r="E48" i="15" s="1"/>
  <c r="E66" i="15" s="1"/>
  <c r="E91" i="15" s="1"/>
  <c r="G142" i="1"/>
  <c r="J22" i="1"/>
  <c r="K22" i="1" s="1"/>
  <c r="C161" i="4"/>
  <c r="F15" i="15"/>
  <c r="F32" i="1"/>
  <c r="D23" i="15" s="1"/>
  <c r="I43" i="1"/>
  <c r="I46" i="1"/>
  <c r="G48" i="1"/>
  <c r="G49" i="1"/>
  <c r="G50" i="1"/>
  <c r="G51" i="1"/>
  <c r="D27" i="15"/>
  <c r="F110" i="1"/>
  <c r="E86" i="1"/>
  <c r="C30" i="15" s="1"/>
  <c r="H88" i="1"/>
  <c r="F32" i="15" s="1"/>
  <c r="F92" i="1"/>
  <c r="D36" i="15" s="1"/>
  <c r="F98" i="1"/>
  <c r="H139" i="1"/>
  <c r="F74" i="15" s="1"/>
  <c r="F69" i="15"/>
  <c r="J84" i="15"/>
  <c r="F63" i="15"/>
  <c r="G43" i="15"/>
  <c r="H70" i="15"/>
  <c r="P78" i="15"/>
  <c r="J107" i="1"/>
  <c r="H44" i="15" s="1"/>
  <c r="I78" i="15"/>
  <c r="Q78" i="15"/>
  <c r="I82" i="15"/>
  <c r="S105" i="12"/>
  <c r="S109" i="12" s="1"/>
  <c r="D755" i="4"/>
  <c r="D767" i="4" s="1"/>
  <c r="I10" i="15"/>
  <c r="AT159" i="12"/>
  <c r="R75" i="12"/>
  <c r="U75" i="12"/>
  <c r="F162" i="11"/>
  <c r="F146" i="11" s="1"/>
  <c r="G2" i="11"/>
  <c r="H32" i="11"/>
  <c r="H30" i="11"/>
  <c r="H86" i="11"/>
  <c r="H87" i="11" s="1"/>
  <c r="G76" i="11"/>
  <c r="C870" i="4"/>
  <c r="G74" i="11"/>
  <c r="G78" i="11"/>
  <c r="G79" i="11" s="1"/>
  <c r="I100" i="11"/>
  <c r="J99" i="11"/>
  <c r="D51" i="14"/>
  <c r="D53" i="14" s="1"/>
  <c r="C133" i="15"/>
  <c r="C63" i="15"/>
  <c r="H97" i="15"/>
  <c r="F13" i="11"/>
  <c r="G32" i="11"/>
  <c r="G33" i="11" s="1"/>
  <c r="E1748" i="4" s="1"/>
  <c r="F52" i="11"/>
  <c r="G86" i="11"/>
  <c r="G87" i="11" s="1"/>
  <c r="H122" i="11"/>
  <c r="G133" i="11"/>
  <c r="J254" i="11"/>
  <c r="H262" i="11"/>
  <c r="I122" i="11"/>
  <c r="E857" i="4"/>
  <c r="I86" i="11"/>
  <c r="I87" i="11" s="1"/>
  <c r="I13" i="11"/>
  <c r="E26" i="11"/>
  <c r="F72" i="1" s="1"/>
  <c r="E136" i="11"/>
  <c r="C857" i="4"/>
  <c r="C859" i="4" s="1"/>
  <c r="F97" i="15"/>
  <c r="C120" i="15"/>
  <c r="F26" i="11"/>
  <c r="G72" i="1" s="1"/>
  <c r="G49" i="11"/>
  <c r="G84" i="11"/>
  <c r="K127" i="11"/>
  <c r="F136" i="11"/>
  <c r="D31" i="14"/>
  <c r="C132" i="15"/>
  <c r="AH8" i="12"/>
  <c r="BJ8" i="12" s="1"/>
  <c r="D857" i="4"/>
  <c r="D120" i="15"/>
  <c r="C638" i="4"/>
  <c r="H14" i="11"/>
  <c r="G26" i="11"/>
  <c r="H49" i="11"/>
  <c r="I74" i="11"/>
  <c r="L74" i="11" s="1"/>
  <c r="H84" i="11"/>
  <c r="G136" i="11"/>
  <c r="E31" i="14"/>
  <c r="D132" i="15"/>
  <c r="G270" i="11"/>
  <c r="G269" i="11"/>
  <c r="E120" i="15"/>
  <c r="D638" i="4"/>
  <c r="D675" i="4"/>
  <c r="I14" i="11"/>
  <c r="H26" i="11"/>
  <c r="I49" i="11"/>
  <c r="I84" i="11"/>
  <c r="H136" i="11"/>
  <c r="I166" i="1"/>
  <c r="G89" i="15"/>
  <c r="I224" i="11"/>
  <c r="F30" i="14" s="1"/>
  <c r="I254" i="11"/>
  <c r="I256" i="11" s="1"/>
  <c r="H265" i="11"/>
  <c r="G63" i="15"/>
  <c r="I260" i="11"/>
  <c r="J260" i="11" s="1"/>
  <c r="K260" i="11" s="1"/>
  <c r="L260" i="11" s="1"/>
  <c r="M260" i="11" s="1"/>
  <c r="N260" i="11" s="1"/>
  <c r="O260" i="11" s="1"/>
  <c r="P260" i="11" s="1"/>
  <c r="Q260" i="11" s="1"/>
  <c r="R260" i="11" s="1"/>
  <c r="H63" i="15"/>
  <c r="J259" i="11"/>
  <c r="D63" i="15"/>
  <c r="K50" i="15"/>
  <c r="J50" i="15"/>
  <c r="K51" i="15"/>
  <c r="J51" i="15"/>
  <c r="T50" i="12"/>
  <c r="T52" i="12" s="1"/>
  <c r="AS165" i="12"/>
  <c r="U50" i="12"/>
  <c r="U52" i="12" s="1"/>
  <c r="D1128" i="4"/>
  <c r="R139" i="12"/>
  <c r="AW165" i="12"/>
  <c r="D49" i="11"/>
  <c r="T129" i="12"/>
  <c r="T131" i="12" s="1"/>
  <c r="N209" i="12"/>
  <c r="M24" i="12"/>
  <c r="W98" i="12"/>
  <c r="W103" i="12" s="1"/>
  <c r="I38" i="12"/>
  <c r="I39" i="12" s="1"/>
  <c r="I22" i="12"/>
  <c r="D38" i="12"/>
  <c r="D39" i="12" s="1"/>
  <c r="D22" i="12"/>
  <c r="L22" i="12"/>
  <c r="M38" i="12"/>
  <c r="M39" i="12" s="1"/>
  <c r="Q41" i="12" s="1"/>
  <c r="L73" i="12"/>
  <c r="X98" i="12"/>
  <c r="X103" i="12" s="1"/>
  <c r="O211" i="12"/>
  <c r="N217" i="12"/>
  <c r="J132" i="19"/>
  <c r="N136" i="19" s="1"/>
  <c r="J792" i="4"/>
  <c r="Q25" i="12"/>
  <c r="O73" i="12"/>
  <c r="AX160" i="12"/>
  <c r="Q211" i="12"/>
  <c r="Q212" i="12" s="1"/>
  <c r="V16" i="12"/>
  <c r="V73" i="12"/>
  <c r="AQ165" i="12"/>
  <c r="S250" i="12"/>
  <c r="AW9" i="12"/>
  <c r="D694" i="4"/>
  <c r="S50" i="12"/>
  <c r="S52" i="12" s="1"/>
  <c r="AR165" i="12"/>
  <c r="U250" i="12"/>
  <c r="AX9" i="12"/>
  <c r="AZ10" i="12"/>
  <c r="AX10" i="12"/>
  <c r="AO159" i="12"/>
  <c r="AO211" i="12" s="1"/>
  <c r="U162" i="12"/>
  <c r="M216" i="12"/>
  <c r="R251" i="12"/>
  <c r="R165" i="12"/>
  <c r="AT165" i="12" s="1"/>
  <c r="T251" i="12"/>
  <c r="P22" i="12"/>
  <c r="U183" i="12"/>
  <c r="K98" i="12"/>
  <c r="K73" i="12"/>
  <c r="J22" i="12"/>
  <c r="J38" i="12"/>
  <c r="J39" i="12" s="1"/>
  <c r="R25" i="12"/>
  <c r="R22" i="12"/>
  <c r="F694" i="4"/>
  <c r="R38" i="12"/>
  <c r="R40" i="12" s="1"/>
  <c r="R24" i="12"/>
  <c r="F38" i="12"/>
  <c r="F39" i="12" s="1"/>
  <c r="F22" i="12"/>
  <c r="N22" i="12"/>
  <c r="N25" i="12"/>
  <c r="N38" i="12"/>
  <c r="N24" i="12"/>
  <c r="M73" i="12"/>
  <c r="M98" i="12"/>
  <c r="G38" i="12"/>
  <c r="G39" i="12" s="1"/>
  <c r="G22" i="12"/>
  <c r="O24" i="12"/>
  <c r="O25" i="12"/>
  <c r="C694" i="4"/>
  <c r="O38" i="12"/>
  <c r="O22" i="12"/>
  <c r="Q98" i="12"/>
  <c r="Q103" i="12" s="1"/>
  <c r="Q73" i="12"/>
  <c r="H205" i="4"/>
  <c r="D792" i="4"/>
  <c r="AY10" i="12"/>
  <c r="G205" i="4"/>
  <c r="C792" i="4"/>
  <c r="S59" i="12"/>
  <c r="P73" i="12"/>
  <c r="E531" i="4"/>
  <c r="E171" i="19"/>
  <c r="P211" i="12"/>
  <c r="P220" i="12"/>
  <c r="AR159" i="12"/>
  <c r="AR211" i="12" s="1"/>
  <c r="Q251" i="12"/>
  <c r="Q250" i="12"/>
  <c r="E132" i="19"/>
  <c r="I136" i="19" s="1"/>
  <c r="Q252" i="12"/>
  <c r="S13" i="12"/>
  <c r="K38" i="12"/>
  <c r="T13" i="12"/>
  <c r="S16" i="12"/>
  <c r="U59" i="12"/>
  <c r="U13" i="12"/>
  <c r="T16" i="12"/>
  <c r="L791" i="4"/>
  <c r="L792" i="4"/>
  <c r="L694" i="4"/>
  <c r="C38" i="12"/>
  <c r="C39" i="12" s="1"/>
  <c r="T59" i="12"/>
  <c r="R98" i="12"/>
  <c r="R111" i="12"/>
  <c r="F171" i="19" s="1"/>
  <c r="AY8" i="12"/>
  <c r="V13" i="12"/>
  <c r="D791" i="4"/>
  <c r="D344" i="4"/>
  <c r="D340" i="4" s="1"/>
  <c r="E340" i="4" s="1"/>
  <c r="H204" i="4"/>
  <c r="M791" i="4"/>
  <c r="I205" i="4"/>
  <c r="E792" i="4"/>
  <c r="M25" i="12"/>
  <c r="M22" i="12"/>
  <c r="H22" i="12"/>
  <c r="P24" i="12"/>
  <c r="K25" i="12"/>
  <c r="E38" i="12"/>
  <c r="E39" i="12" s="1"/>
  <c r="V59" i="12"/>
  <c r="S73" i="12"/>
  <c r="S126" i="12"/>
  <c r="S103" i="12"/>
  <c r="C625" i="4"/>
  <c r="D538" i="4"/>
  <c r="E533" i="4" s="1"/>
  <c r="E534" i="4" s="1"/>
  <c r="U111" i="12"/>
  <c r="W13" i="12"/>
  <c r="G791" i="4"/>
  <c r="F792" i="4"/>
  <c r="E694" i="4"/>
  <c r="Q38" i="12"/>
  <c r="Q40" i="12" s="1"/>
  <c r="Q24" i="12"/>
  <c r="L25" i="12"/>
  <c r="P38" i="12"/>
  <c r="M693" i="4"/>
  <c r="W59" i="12"/>
  <c r="T371" i="12"/>
  <c r="T98" i="12"/>
  <c r="T103" i="12" s="1"/>
  <c r="T73" i="12"/>
  <c r="U98" i="12"/>
  <c r="AT9" i="12"/>
  <c r="X59" i="12"/>
  <c r="AU10" i="12"/>
  <c r="X13" i="12"/>
  <c r="H791" i="4"/>
  <c r="C205" i="4"/>
  <c r="G792" i="4"/>
  <c r="K22" i="12"/>
  <c r="R61" i="12"/>
  <c r="R73" i="12" s="1"/>
  <c r="AV10" i="12"/>
  <c r="X16" i="12"/>
  <c r="I791" i="4"/>
  <c r="H792" i="4"/>
  <c r="K24" i="12"/>
  <c r="L24" i="12"/>
  <c r="L38" i="12"/>
  <c r="AW10" i="12"/>
  <c r="R13" i="12"/>
  <c r="AT13" i="12" s="1"/>
  <c r="J791" i="4"/>
  <c r="I792" i="4"/>
  <c r="P25" i="12"/>
  <c r="N73" i="12"/>
  <c r="P209" i="12"/>
  <c r="C194" i="4"/>
  <c r="Q219" i="12"/>
  <c r="M219" i="12" s="1"/>
  <c r="M220" i="12" s="1"/>
  <c r="Q209" i="12"/>
  <c r="AW159" i="12"/>
  <c r="E645" i="4" s="1"/>
  <c r="R220" i="12"/>
  <c r="T183" i="12"/>
  <c r="S251" i="12"/>
  <c r="G132" i="19"/>
  <c r="T353" i="12"/>
  <c r="T363" i="12" s="1"/>
  <c r="T209" i="12"/>
  <c r="AZ159" i="12"/>
  <c r="T211" i="12"/>
  <c r="V165" i="12"/>
  <c r="V180" i="12"/>
  <c r="BB180" i="12" s="1"/>
  <c r="V176" i="12"/>
  <c r="T162" i="12"/>
  <c r="F170" i="19"/>
  <c r="AS159" i="12"/>
  <c r="X176" i="12"/>
  <c r="T217" i="12"/>
  <c r="AV159" i="12"/>
  <c r="D645" i="4" s="1"/>
  <c r="AT160" i="12"/>
  <c r="S199" i="12"/>
  <c r="R211" i="12"/>
  <c r="R212" i="12" s="1"/>
  <c r="N216" i="12"/>
  <c r="W217" i="12"/>
  <c r="L220" i="12"/>
  <c r="V250" i="12"/>
  <c r="U251" i="12"/>
  <c r="T252" i="12"/>
  <c r="C132" i="19"/>
  <c r="K132" i="19"/>
  <c r="O136" i="19" s="1"/>
  <c r="AP159" i="12"/>
  <c r="AP211" i="12" s="1"/>
  <c r="AX159" i="12"/>
  <c r="S160" i="12"/>
  <c r="T161" i="12" s="1"/>
  <c r="X167" i="12"/>
  <c r="D23" i="19" s="1"/>
  <c r="R209" i="12"/>
  <c r="S211" i="12"/>
  <c r="S212" i="12" s="1"/>
  <c r="O250" i="12"/>
  <c r="W250" i="12"/>
  <c r="V251" i="12"/>
  <c r="U252" i="12"/>
  <c r="D132" i="19"/>
  <c r="AQ159" i="12"/>
  <c r="AQ211" i="12" s="1"/>
  <c r="W176" i="12"/>
  <c r="N220" i="12"/>
  <c r="P250" i="12"/>
  <c r="O251" i="12"/>
  <c r="W251" i="12"/>
  <c r="R353" i="12"/>
  <c r="R383" i="12" s="1"/>
  <c r="R400" i="12" s="1"/>
  <c r="R401" i="12" s="1"/>
  <c r="M136" i="19"/>
  <c r="D545" i="4"/>
  <c r="E532" i="4" s="1"/>
  <c r="M211" i="12"/>
  <c r="O220" i="12"/>
  <c r="P251" i="12"/>
  <c r="F132" i="19"/>
  <c r="R250" i="12"/>
  <c r="H132" i="19"/>
  <c r="L136" i="19" s="1"/>
  <c r="AU159" i="12"/>
  <c r="C645" i="4" s="1"/>
  <c r="G18" i="14"/>
  <c r="J95" i="1"/>
  <c r="H38" i="15" s="1"/>
  <c r="E20" i="14"/>
  <c r="G19" i="14"/>
  <c r="J149" i="1"/>
  <c r="J99" i="1"/>
  <c r="S364" i="12"/>
  <c r="T362" i="12"/>
  <c r="T364" i="12"/>
  <c r="G447" i="4"/>
  <c r="D415" i="4"/>
  <c r="D420" i="4" s="1"/>
  <c r="I451" i="4"/>
  <c r="M434" i="4"/>
  <c r="J434" i="4"/>
  <c r="J447" i="4" s="1"/>
  <c r="O352" i="12"/>
  <c r="O392" i="12" s="1"/>
  <c r="C80" i="4"/>
  <c r="D72" i="4" s="1"/>
  <c r="C415" i="4"/>
  <c r="H415" i="4" s="1"/>
  <c r="E458" i="4"/>
  <c r="Q357" i="12"/>
  <c r="AS357" i="12" s="1"/>
  <c r="D865" i="4"/>
  <c r="C60" i="4"/>
  <c r="C210" i="4"/>
  <c r="C211" i="4" s="1"/>
  <c r="C213" i="4" s="1"/>
  <c r="C216" i="4" s="1"/>
  <c r="F866" i="4"/>
  <c r="T360" i="12"/>
  <c r="C631" i="4"/>
  <c r="C624" i="4"/>
  <c r="C25" i="4"/>
  <c r="C10" i="4"/>
  <c r="G392" i="4"/>
  <c r="G381" i="4" s="1"/>
  <c r="C435" i="4"/>
  <c r="S360" i="12"/>
  <c r="C99" i="4"/>
  <c r="C100" i="4" s="1"/>
  <c r="E221" i="4"/>
  <c r="E222" i="4" s="1"/>
  <c r="E230" i="4" s="1"/>
  <c r="H435" i="4"/>
  <c r="G449" i="4"/>
  <c r="E865" i="4"/>
  <c r="D912" i="4"/>
  <c r="D913" i="4" s="1"/>
  <c r="D226" i="4"/>
  <c r="D228" i="4" s="1"/>
  <c r="C447" i="4"/>
  <c r="D448" i="4"/>
  <c r="D36" i="6"/>
  <c r="D38" i="6" s="1"/>
  <c r="C252" i="4" s="1"/>
  <c r="AU354" i="12"/>
  <c r="D447" i="4"/>
  <c r="E448" i="4"/>
  <c r="N448" i="4" s="1"/>
  <c r="E866" i="4"/>
  <c r="D916" i="4"/>
  <c r="N438" i="4"/>
  <c r="F448" i="4"/>
  <c r="D450" i="4"/>
  <c r="S365" i="12"/>
  <c r="O357" i="12"/>
  <c r="AU357" i="12" s="1"/>
  <c r="G448" i="4"/>
  <c r="L448" i="4" s="1"/>
  <c r="H450" i="4"/>
  <c r="E463" i="4"/>
  <c r="D967" i="4"/>
  <c r="D969" i="4" s="1"/>
  <c r="E447" i="4"/>
  <c r="N447" i="4" s="1"/>
  <c r="H448" i="4"/>
  <c r="F669" i="4"/>
  <c r="F673" i="4" s="1"/>
  <c r="D864" i="4"/>
  <c r="S362" i="12"/>
  <c r="H447" i="4"/>
  <c r="E36" i="6"/>
  <c r="E38" i="6" s="1"/>
  <c r="D252" i="4" s="1"/>
  <c r="F34" i="6"/>
  <c r="D53" i="6"/>
  <c r="D46" i="6"/>
  <c r="S383" i="12"/>
  <c r="S400" i="12" s="1"/>
  <c r="S401" i="12" s="1"/>
  <c r="AU353" i="12"/>
  <c r="AQ354" i="12"/>
  <c r="R360" i="12"/>
  <c r="O394" i="12"/>
  <c r="P394" i="12"/>
  <c r="AR352" i="12"/>
  <c r="R365" i="12"/>
  <c r="AT355" i="12"/>
  <c r="S363" i="12"/>
  <c r="AS352" i="12"/>
  <c r="AU355" i="12"/>
  <c r="L150" i="4"/>
  <c r="J150" i="4"/>
  <c r="T355" i="12"/>
  <c r="T365" i="12" s="1"/>
  <c r="R364" i="12"/>
  <c r="P392" i="12"/>
  <c r="R361" i="12"/>
  <c r="D222" i="4"/>
  <c r="D224" i="4" s="1"/>
  <c r="C54" i="4"/>
  <c r="F391" i="4"/>
  <c r="O438" i="4"/>
  <c r="Q394" i="12"/>
  <c r="L438" i="4"/>
  <c r="O441" i="4"/>
  <c r="C391" i="4"/>
  <c r="D393" i="4"/>
  <c r="C77" i="4"/>
  <c r="D213" i="4"/>
  <c r="D216" i="4" s="1"/>
  <c r="M438" i="4"/>
  <c r="N434" i="4"/>
  <c r="F440" i="4"/>
  <c r="C449" i="4"/>
  <c r="F447" i="4"/>
  <c r="M440" i="4"/>
  <c r="J440" i="4"/>
  <c r="E449" i="4"/>
  <c r="N449" i="4" s="1"/>
  <c r="C450" i="4"/>
  <c r="D337" i="4"/>
  <c r="C221" i="4"/>
  <c r="D435" i="4"/>
  <c r="H449" i="4"/>
  <c r="E450" i="4"/>
  <c r="G435" i="4"/>
  <c r="L434" i="4"/>
  <c r="G450" i="4"/>
  <c r="F435" i="4"/>
  <c r="C864" i="4"/>
  <c r="F865" i="4"/>
  <c r="E864" i="4"/>
  <c r="D980" i="4" l="1"/>
  <c r="D999" i="4" s="1"/>
  <c r="M74" i="11"/>
  <c r="N74" i="11" s="1"/>
  <c r="O74" i="11" s="1"/>
  <c r="P74" i="11" s="1"/>
  <c r="Q74" i="11" s="1"/>
  <c r="R74" i="11" s="1"/>
  <c r="H34" i="11"/>
  <c r="H36" i="11" s="1"/>
  <c r="H38" i="11"/>
  <c r="H39" i="11" s="1"/>
  <c r="G272" i="11"/>
  <c r="D133" i="15"/>
  <c r="G123" i="11"/>
  <c r="C123" i="15"/>
  <c r="M241" i="11"/>
  <c r="L242" i="11"/>
  <c r="G124" i="6"/>
  <c r="F286" i="4" s="1"/>
  <c r="U14" i="12"/>
  <c r="H147" i="6"/>
  <c r="H92" i="6" s="1"/>
  <c r="J15" i="17"/>
  <c r="C14" i="17"/>
  <c r="D114" i="14"/>
  <c r="D68" i="14"/>
  <c r="D71" i="14" s="1"/>
  <c r="W14" i="12"/>
  <c r="V14" i="12"/>
  <c r="X14" i="12"/>
  <c r="Y14" i="12"/>
  <c r="H1122" i="4"/>
  <c r="T14" i="12"/>
  <c r="S137" i="12"/>
  <c r="C851" i="4" s="1"/>
  <c r="S14" i="12"/>
  <c r="U184" i="12"/>
  <c r="U185" i="12" s="1"/>
  <c r="I27" i="11"/>
  <c r="I33" i="11"/>
  <c r="G1748" i="4" s="1"/>
  <c r="I34" i="11"/>
  <c r="G209" i="11"/>
  <c r="J32" i="1"/>
  <c r="J8" i="1"/>
  <c r="L22" i="1"/>
  <c r="K24" i="1"/>
  <c r="D3" i="15"/>
  <c r="D48" i="15" s="1"/>
  <c r="D66" i="15" s="1"/>
  <c r="D91" i="15" s="1"/>
  <c r="D2" i="1"/>
  <c r="D82" i="1" s="1"/>
  <c r="D51" i="15"/>
  <c r="E115" i="1"/>
  <c r="J50" i="1"/>
  <c r="J40" i="1" s="1"/>
  <c r="J87" i="1" s="1"/>
  <c r="J86" i="1" s="1"/>
  <c r="J48" i="1"/>
  <c r="J38" i="1" s="1"/>
  <c r="L2" i="1"/>
  <c r="K82" i="1"/>
  <c r="K142" i="1"/>
  <c r="F82" i="1"/>
  <c r="D26" i="15" s="1"/>
  <c r="L69" i="1"/>
  <c r="K60" i="1"/>
  <c r="D7" i="19"/>
  <c r="D6" i="19" s="1"/>
  <c r="BD13" i="12"/>
  <c r="AY176" i="12"/>
  <c r="W178" i="12"/>
  <c r="BC176" i="12"/>
  <c r="V178" i="12"/>
  <c r="BB178" i="12" s="1"/>
  <c r="BB176" i="12"/>
  <c r="AY180" i="12"/>
  <c r="BC180" i="12"/>
  <c r="AZ176" i="12"/>
  <c r="X178" i="12"/>
  <c r="AZ178" i="12" s="1"/>
  <c r="J39" i="1"/>
  <c r="K49" i="1"/>
  <c r="J448" i="4"/>
  <c r="O448" i="4" s="1"/>
  <c r="C7" i="19"/>
  <c r="C6" i="19" s="1"/>
  <c r="BC13" i="12"/>
  <c r="F209" i="11"/>
  <c r="H272" i="11"/>
  <c r="J132" i="11"/>
  <c r="K132" i="11" s="1"/>
  <c r="I133" i="11"/>
  <c r="C131" i="15"/>
  <c r="K99" i="11"/>
  <c r="L99" i="11" s="1"/>
  <c r="M99" i="11" s="1"/>
  <c r="N99" i="11" s="1"/>
  <c r="O99" i="11" s="1"/>
  <c r="P99" i="11" s="1"/>
  <c r="Q99" i="11" s="1"/>
  <c r="R99" i="11" s="1"/>
  <c r="J100" i="11"/>
  <c r="I215" i="11"/>
  <c r="D19" i="6"/>
  <c r="D51" i="6" s="1"/>
  <c r="D84" i="6" s="1"/>
  <c r="F131" i="6"/>
  <c r="F93" i="6"/>
  <c r="D5" i="6"/>
  <c r="C253" i="4" s="1"/>
  <c r="E131" i="6"/>
  <c r="E93" i="6"/>
  <c r="K100" i="1"/>
  <c r="L201" i="11"/>
  <c r="M201" i="11" s="1"/>
  <c r="L193" i="11"/>
  <c r="F71" i="1"/>
  <c r="I120" i="11"/>
  <c r="J72" i="1"/>
  <c r="I142" i="11"/>
  <c r="I89" i="11"/>
  <c r="I92" i="11" s="1"/>
  <c r="J58" i="1"/>
  <c r="I70" i="11"/>
  <c r="I71" i="1"/>
  <c r="H71" i="1"/>
  <c r="H133" i="11"/>
  <c r="H158" i="11"/>
  <c r="I209" i="11"/>
  <c r="G71" i="1"/>
  <c r="I72" i="1"/>
  <c r="H72" i="1"/>
  <c r="J71" i="1"/>
  <c r="F129" i="6"/>
  <c r="I67" i="6"/>
  <c r="F256" i="4"/>
  <c r="I15" i="17"/>
  <c r="G11" i="6"/>
  <c r="H122" i="6"/>
  <c r="H124" i="6" s="1"/>
  <c r="G286" i="4" s="1"/>
  <c r="D55" i="6"/>
  <c r="D86" i="6" s="1"/>
  <c r="K95" i="1"/>
  <c r="I38" i="15" s="1"/>
  <c r="K149" i="1"/>
  <c r="K150" i="1" s="1"/>
  <c r="V105" i="12"/>
  <c r="F203" i="19"/>
  <c r="BB165" i="12"/>
  <c r="E256" i="4"/>
  <c r="F4" i="6"/>
  <c r="E255" i="4" s="1"/>
  <c r="F21" i="6"/>
  <c r="J1122" i="4"/>
  <c r="BB13" i="12"/>
  <c r="J450" i="4"/>
  <c r="G4" i="6"/>
  <c r="G19" i="6" s="1"/>
  <c r="G22" i="6" s="1"/>
  <c r="P363" i="12"/>
  <c r="P356" i="12"/>
  <c r="P366" i="12" s="1"/>
  <c r="P361" i="12"/>
  <c r="P365" i="12"/>
  <c r="P367" i="12"/>
  <c r="P360" i="12"/>
  <c r="P362" i="12"/>
  <c r="P397" i="12"/>
  <c r="P364" i="12"/>
  <c r="L148" i="4"/>
  <c r="G669" i="4"/>
  <c r="G673" i="4" s="1"/>
  <c r="E42" i="6"/>
  <c r="E557" i="4"/>
  <c r="E45" i="6"/>
  <c r="E46" i="6"/>
  <c r="E48" i="6" s="1"/>
  <c r="G393" i="4"/>
  <c r="G395" i="4" s="1"/>
  <c r="G401" i="4" s="1"/>
  <c r="G402" i="4" s="1"/>
  <c r="G406" i="4" s="1"/>
  <c r="G407" i="4" s="1"/>
  <c r="F44" i="6"/>
  <c r="G44" i="6" s="1"/>
  <c r="J149" i="4"/>
  <c r="L149" i="4"/>
  <c r="T132" i="12"/>
  <c r="T144" i="12"/>
  <c r="G34" i="15"/>
  <c r="D126" i="15"/>
  <c r="E188" i="4"/>
  <c r="H29" i="6"/>
  <c r="G129" i="6"/>
  <c r="F127" i="6"/>
  <c r="I40" i="11"/>
  <c r="F115" i="6"/>
  <c r="D558" i="4"/>
  <c r="D186" i="4"/>
  <c r="D189" i="4" s="1"/>
  <c r="E115" i="6"/>
  <c r="C558" i="4"/>
  <c r="C186" i="4"/>
  <c r="C189" i="4" s="1"/>
  <c r="H103" i="15"/>
  <c r="F251" i="4"/>
  <c r="F277" i="4" s="1"/>
  <c r="F284" i="4" s="1"/>
  <c r="H2" i="6"/>
  <c r="G104" i="6"/>
  <c r="G91" i="6" s="1"/>
  <c r="H129" i="6"/>
  <c r="C931" i="3"/>
  <c r="H108" i="15"/>
  <c r="G103" i="15"/>
  <c r="I13" i="6"/>
  <c r="H9" i="6"/>
  <c r="I17" i="6"/>
  <c r="H20" i="6"/>
  <c r="E22" i="6"/>
  <c r="H25" i="6"/>
  <c r="G31" i="6"/>
  <c r="G32" i="6" s="1"/>
  <c r="D69" i="4"/>
  <c r="D67" i="4"/>
  <c r="D74" i="4"/>
  <c r="D75" i="4"/>
  <c r="D77" i="4"/>
  <c r="J91" i="1"/>
  <c r="H35" i="15" s="1"/>
  <c r="J92" i="1"/>
  <c r="H36" i="15" s="1"/>
  <c r="I95" i="1"/>
  <c r="G38" i="15" s="1"/>
  <c r="S165" i="12"/>
  <c r="S207" i="12"/>
  <c r="S125" i="12"/>
  <c r="S129" i="12" s="1"/>
  <c r="S131" i="12" s="1"/>
  <c r="S106" i="12"/>
  <c r="Y54" i="12"/>
  <c r="U137" i="12"/>
  <c r="E851" i="4" s="1"/>
  <c r="BA13" i="12"/>
  <c r="I91" i="1"/>
  <c r="G35" i="15" s="1"/>
  <c r="I149" i="1"/>
  <c r="I92" i="1"/>
  <c r="G36" i="15" s="1"/>
  <c r="I108" i="1"/>
  <c r="F124" i="6"/>
  <c r="E286" i="4" s="1"/>
  <c r="L1122" i="4"/>
  <c r="D1154" i="4"/>
  <c r="I34" i="15"/>
  <c r="K1122" i="4"/>
  <c r="C1154" i="4"/>
  <c r="D78" i="4"/>
  <c r="R363" i="12"/>
  <c r="D71" i="4"/>
  <c r="D68" i="4"/>
  <c r="D80" i="4"/>
  <c r="D70" i="4"/>
  <c r="D66" i="4"/>
  <c r="D76" i="4"/>
  <c r="H23" i="15"/>
  <c r="E119" i="1"/>
  <c r="C55" i="15" s="1"/>
  <c r="C51" i="15"/>
  <c r="K43" i="15"/>
  <c r="F40" i="15"/>
  <c r="D59" i="15"/>
  <c r="F125" i="1"/>
  <c r="J60" i="1"/>
  <c r="K61" i="1" s="1"/>
  <c r="D46" i="15"/>
  <c r="F108" i="1"/>
  <c r="J46" i="1"/>
  <c r="K46" i="1" s="1"/>
  <c r="K36" i="1" s="1"/>
  <c r="I36" i="1"/>
  <c r="I18" i="15"/>
  <c r="G108" i="1"/>
  <c r="E46" i="15"/>
  <c r="F270" i="11"/>
  <c r="J142" i="1"/>
  <c r="H3" i="15"/>
  <c r="H48" i="15" s="1"/>
  <c r="H66" i="15" s="1"/>
  <c r="H91" i="15" s="1"/>
  <c r="J82" i="1"/>
  <c r="H26" i="15" s="1"/>
  <c r="E524" i="3"/>
  <c r="C526" i="3"/>
  <c r="E526" i="3" s="1"/>
  <c r="E40" i="15"/>
  <c r="H146" i="1"/>
  <c r="H150" i="1"/>
  <c r="F78" i="15"/>
  <c r="G30" i="15"/>
  <c r="I118" i="1"/>
  <c r="E134" i="1"/>
  <c r="F139" i="1"/>
  <c r="D74" i="15" s="1"/>
  <c r="D69" i="15"/>
  <c r="F59" i="15"/>
  <c r="H125" i="1"/>
  <c r="H19" i="15"/>
  <c r="J47" i="1"/>
  <c r="J37" i="1" s="1"/>
  <c r="C59" i="15"/>
  <c r="E125" i="1"/>
  <c r="O80" i="15"/>
  <c r="E59" i="15"/>
  <c r="G125" i="1"/>
  <c r="D40" i="15"/>
  <c r="H118" i="1"/>
  <c r="H30" i="15"/>
  <c r="J118" i="1"/>
  <c r="J123" i="1"/>
  <c r="H31" i="15"/>
  <c r="J119" i="1"/>
  <c r="H55" i="15" s="1"/>
  <c r="J88" i="1"/>
  <c r="H32" i="15" s="1"/>
  <c r="I70" i="15"/>
  <c r="L80" i="15"/>
  <c r="H13" i="15"/>
  <c r="J24" i="1"/>
  <c r="H15" i="15" s="1"/>
  <c r="E50" i="15"/>
  <c r="F114" i="1"/>
  <c r="G118" i="1"/>
  <c r="J45" i="15"/>
  <c r="I139" i="1"/>
  <c r="I123" i="1"/>
  <c r="G31" i="15"/>
  <c r="I119" i="1"/>
  <c r="G55" i="15" s="1"/>
  <c r="I88" i="1"/>
  <c r="G32" i="15" s="1"/>
  <c r="H108" i="1"/>
  <c r="F46" i="15"/>
  <c r="K82" i="15"/>
  <c r="H75" i="1"/>
  <c r="I61" i="1"/>
  <c r="H69" i="1"/>
  <c r="H76" i="1"/>
  <c r="G60" i="1"/>
  <c r="H77" i="1"/>
  <c r="H80" i="1"/>
  <c r="I51" i="1"/>
  <c r="I41" i="1" s="1"/>
  <c r="L449" i="4"/>
  <c r="D870" i="4"/>
  <c r="D872" i="4" s="1"/>
  <c r="J136" i="19"/>
  <c r="O434" i="4"/>
  <c r="D451" i="4"/>
  <c r="D639" i="4"/>
  <c r="I1122" i="4"/>
  <c r="I21" i="15"/>
  <c r="D756" i="4"/>
  <c r="E755" i="4"/>
  <c r="J10" i="15"/>
  <c r="I20" i="15"/>
  <c r="I4" i="15"/>
  <c r="C626" i="4"/>
  <c r="X105" i="12"/>
  <c r="AT353" i="12"/>
  <c r="S351" i="12"/>
  <c r="AU351" i="12" s="1"/>
  <c r="G1122" i="4"/>
  <c r="G58" i="1"/>
  <c r="F142" i="11"/>
  <c r="F27" i="11"/>
  <c r="H58" i="1"/>
  <c r="G142" i="11"/>
  <c r="G89" i="11"/>
  <c r="G42" i="11"/>
  <c r="C122" i="15" s="1"/>
  <c r="G70" i="11"/>
  <c r="G27" i="11"/>
  <c r="C554" i="4"/>
  <c r="G97" i="15"/>
  <c r="D36" i="14"/>
  <c r="D34" i="14"/>
  <c r="D123" i="15"/>
  <c r="E55" i="14"/>
  <c r="E57" i="14" s="1"/>
  <c r="H123" i="11"/>
  <c r="F55" i="14"/>
  <c r="F57" i="14" s="1"/>
  <c r="E123" i="15"/>
  <c r="I123" i="11"/>
  <c r="D58" i="14"/>
  <c r="D59" i="14" s="1"/>
  <c r="F58" i="1"/>
  <c r="E142" i="11"/>
  <c r="F31" i="14"/>
  <c r="E132" i="15"/>
  <c r="E36" i="14"/>
  <c r="E34" i="14"/>
  <c r="L127" i="11"/>
  <c r="I261" i="11"/>
  <c r="I262" i="11" s="1"/>
  <c r="J261" i="11"/>
  <c r="K259" i="11"/>
  <c r="I58" i="1"/>
  <c r="C676" i="4"/>
  <c r="H42" i="11"/>
  <c r="H27" i="11"/>
  <c r="H142" i="11"/>
  <c r="H70" i="11"/>
  <c r="H89" i="11"/>
  <c r="J255" i="11"/>
  <c r="J256" i="11" s="1"/>
  <c r="K223" i="11"/>
  <c r="K222" i="11" s="1"/>
  <c r="K245" i="11" s="1"/>
  <c r="J224" i="11"/>
  <c r="L100" i="11"/>
  <c r="M100" i="11" s="1"/>
  <c r="N100" i="11" s="1"/>
  <c r="O100" i="11" s="1"/>
  <c r="P100" i="11" s="1"/>
  <c r="Q100" i="11" s="1"/>
  <c r="R100" i="11" s="1"/>
  <c r="H120" i="11"/>
  <c r="H33" i="11"/>
  <c r="F1748" i="4" s="1"/>
  <c r="H40" i="11"/>
  <c r="H2" i="11"/>
  <c r="G162" i="11"/>
  <c r="G146" i="11" s="1"/>
  <c r="G136" i="19"/>
  <c r="F557" i="4"/>
  <c r="F185" i="4"/>
  <c r="F188" i="4" s="1"/>
  <c r="I129" i="6"/>
  <c r="J126" i="6"/>
  <c r="L50" i="15"/>
  <c r="L51" i="15"/>
  <c r="O360" i="12"/>
  <c r="K136" i="19"/>
  <c r="M447" i="4"/>
  <c r="AU352" i="12"/>
  <c r="W105" i="12"/>
  <c r="L447" i="4"/>
  <c r="D532" i="4"/>
  <c r="D533" i="4" s="1"/>
  <c r="D534" i="4" s="1"/>
  <c r="F1122" i="4"/>
  <c r="T137" i="12"/>
  <c r="D851" i="4" s="1"/>
  <c r="X137" i="12"/>
  <c r="M40" i="12"/>
  <c r="Q364" i="12"/>
  <c r="H136" i="19"/>
  <c r="Q220" i="12"/>
  <c r="W199" i="12"/>
  <c r="W183" i="12"/>
  <c r="W50" i="12"/>
  <c r="W52" i="12" s="1"/>
  <c r="S345" i="12"/>
  <c r="T213" i="12"/>
  <c r="T214" i="12" s="1"/>
  <c r="G209" i="4"/>
  <c r="W160" i="12"/>
  <c r="T165" i="12"/>
  <c r="D203" i="19" s="1"/>
  <c r="AU160" i="12"/>
  <c r="S191" i="12"/>
  <c r="S190" i="12" s="1"/>
  <c r="S184" i="12" s="1"/>
  <c r="S185" i="12" s="1"/>
  <c r="N39" i="12"/>
  <c r="R41" i="12" s="1"/>
  <c r="K39" i="12"/>
  <c r="K40" i="12" s="1"/>
  <c r="Q361" i="12"/>
  <c r="Q365" i="12"/>
  <c r="Q397" i="12"/>
  <c r="Q367" i="12"/>
  <c r="W62" i="12"/>
  <c r="W60" i="12"/>
  <c r="W19" i="12" s="1"/>
  <c r="R105" i="12"/>
  <c r="R103" i="12"/>
  <c r="U134" i="12"/>
  <c r="AW13" i="12"/>
  <c r="S134" i="12"/>
  <c r="AU13" i="12"/>
  <c r="X60" i="12"/>
  <c r="X19" i="12" s="1"/>
  <c r="X62" i="12"/>
  <c r="V183" i="12"/>
  <c r="V199" i="12"/>
  <c r="V50" i="12"/>
  <c r="V52" i="12" s="1"/>
  <c r="T60" i="12"/>
  <c r="T19" i="12" s="1"/>
  <c r="T21" i="12" s="1"/>
  <c r="AV21" i="12" s="1"/>
  <c r="T62" i="12"/>
  <c r="S62" i="12"/>
  <c r="S60" i="12"/>
  <c r="S19" i="12" s="1"/>
  <c r="S21" i="12" s="1"/>
  <c r="AU21" i="12" s="1"/>
  <c r="Q362" i="12"/>
  <c r="Q356" i="12"/>
  <c r="Q366" i="12" s="1"/>
  <c r="AQ352" i="12"/>
  <c r="X183" i="12"/>
  <c r="X199" i="12"/>
  <c r="X50" i="12"/>
  <c r="X52" i="12" s="1"/>
  <c r="W137" i="12"/>
  <c r="G851" i="4" s="1"/>
  <c r="W134" i="12"/>
  <c r="AY13" i="12"/>
  <c r="U60" i="12"/>
  <c r="U19" i="12" s="1"/>
  <c r="U21" i="12" s="1"/>
  <c r="U62" i="12"/>
  <c r="V186" i="12"/>
  <c r="AX165" i="12"/>
  <c r="X134" i="12"/>
  <c r="AZ13" i="12"/>
  <c r="V62" i="12"/>
  <c r="V60" i="12"/>
  <c r="V19" i="12" s="1"/>
  <c r="V21" i="12" s="1"/>
  <c r="L39" i="12"/>
  <c r="L40" i="12" s="1"/>
  <c r="X217" i="12"/>
  <c r="X171" i="12"/>
  <c r="U105" i="12"/>
  <c r="U103" i="12"/>
  <c r="P39" i="12"/>
  <c r="I171" i="19"/>
  <c r="E535" i="4"/>
  <c r="V134" i="12"/>
  <c r="V137" i="12"/>
  <c r="F851" i="4" s="1"/>
  <c r="AX13" i="12"/>
  <c r="T134" i="12"/>
  <c r="AV13" i="12"/>
  <c r="O39" i="12"/>
  <c r="H41" i="15"/>
  <c r="C632" i="4"/>
  <c r="C633" i="4" s="1"/>
  <c r="E21" i="14"/>
  <c r="G21" i="14" s="1"/>
  <c r="G20" i="14"/>
  <c r="H866" i="4"/>
  <c r="D230" i="4"/>
  <c r="O362" i="12"/>
  <c r="O364" i="12"/>
  <c r="O356" i="12"/>
  <c r="O366" i="12" s="1"/>
  <c r="E870" i="4"/>
  <c r="E872" i="4" s="1"/>
  <c r="L450" i="4"/>
  <c r="E465" i="4"/>
  <c r="G465" i="4" s="1"/>
  <c r="O397" i="12"/>
  <c r="D918" i="4"/>
  <c r="D920" i="4" s="1"/>
  <c r="D921" i="4" s="1"/>
  <c r="D981" i="4" s="1"/>
  <c r="D1000" i="4" s="1"/>
  <c r="M448" i="4"/>
  <c r="C420" i="4"/>
  <c r="Q363" i="12"/>
  <c r="Q360" i="12"/>
  <c r="C451" i="4"/>
  <c r="E335" i="4"/>
  <c r="E224" i="4"/>
  <c r="M450" i="4"/>
  <c r="AQ357" i="12"/>
  <c r="O365" i="12"/>
  <c r="O363" i="12"/>
  <c r="O361" i="12"/>
  <c r="O367" i="12"/>
  <c r="O447" i="4"/>
  <c r="C222" i="4"/>
  <c r="C224" i="4" s="1"/>
  <c r="H865" i="4"/>
  <c r="D85" i="6"/>
  <c r="C62" i="4"/>
  <c r="D54" i="4" s="1"/>
  <c r="O440" i="4"/>
  <c r="J449" i="4"/>
  <c r="G864" i="4"/>
  <c r="M449" i="4"/>
  <c r="H451" i="4"/>
  <c r="G451" i="4"/>
  <c r="E451" i="4"/>
  <c r="F36" i="6"/>
  <c r="F38" i="6" s="1"/>
  <c r="E252" i="4" s="1"/>
  <c r="G34" i="6"/>
  <c r="F449" i="4"/>
  <c r="F451" i="4" s="1"/>
  <c r="R352" i="12"/>
  <c r="D974" i="4"/>
  <c r="D971" i="4"/>
  <c r="L222" i="11" l="1"/>
  <c r="L245" i="11" s="1"/>
  <c r="K133" i="11"/>
  <c r="K254" i="11"/>
  <c r="K48" i="1"/>
  <c r="K246" i="11"/>
  <c r="K247" i="11" s="1"/>
  <c r="H30" i="14" s="1"/>
  <c r="G9" i="14" s="1"/>
  <c r="N241" i="11"/>
  <c r="M242" i="11"/>
  <c r="D22" i="6"/>
  <c r="I36" i="11"/>
  <c r="I35" i="11"/>
  <c r="N23" i="16"/>
  <c r="I147" i="6"/>
  <c r="I92" i="6" s="1"/>
  <c r="J26" i="17"/>
  <c r="X21" i="12"/>
  <c r="D1542" i="4"/>
  <c r="D1543" i="4" s="1"/>
  <c r="W21" i="12"/>
  <c r="C1542" i="4"/>
  <c r="C1543" i="4" s="1"/>
  <c r="I101" i="11"/>
  <c r="I94" i="11"/>
  <c r="F110" i="14" s="1"/>
  <c r="H669" i="4"/>
  <c r="H673" i="4" s="1"/>
  <c r="I109" i="1"/>
  <c r="L60" i="1"/>
  <c r="M69" i="1"/>
  <c r="L142" i="1"/>
  <c r="M2" i="1"/>
  <c r="L82" i="1"/>
  <c r="M22" i="1"/>
  <c r="L24" i="1"/>
  <c r="K8" i="1"/>
  <c r="K47" i="1"/>
  <c r="K37" i="1" s="1"/>
  <c r="D142" i="1"/>
  <c r="G126" i="15"/>
  <c r="J139" i="1"/>
  <c r="H74" i="15" s="1"/>
  <c r="K76" i="1"/>
  <c r="K77" i="1"/>
  <c r="K55" i="1"/>
  <c r="K64" i="1" s="1"/>
  <c r="K80" i="1"/>
  <c r="V184" i="12"/>
  <c r="V185" i="12" s="1"/>
  <c r="AY178" i="12"/>
  <c r="BC178" i="12"/>
  <c r="L48" i="1"/>
  <c r="K38" i="1"/>
  <c r="I270" i="11"/>
  <c r="I266" i="11"/>
  <c r="L46" i="1"/>
  <c r="L36" i="1" s="1"/>
  <c r="J78" i="1"/>
  <c r="L49" i="1"/>
  <c r="K39" i="1"/>
  <c r="D19" i="19"/>
  <c r="X107" i="12"/>
  <c r="C19" i="19"/>
  <c r="W107" i="12"/>
  <c r="AW21" i="12"/>
  <c r="BA21" i="12"/>
  <c r="AX21" i="12"/>
  <c r="BB21" i="12"/>
  <c r="C11" i="19"/>
  <c r="BC160" i="12"/>
  <c r="L204" i="11"/>
  <c r="F51" i="14"/>
  <c r="F53" i="14" s="1"/>
  <c r="E133" i="15"/>
  <c r="J133" i="11"/>
  <c r="C40" i="4"/>
  <c r="G94" i="15"/>
  <c r="E100" i="6"/>
  <c r="J67" i="1"/>
  <c r="J67" i="6"/>
  <c r="J122" i="6" s="1"/>
  <c r="F179" i="6"/>
  <c r="H94" i="15"/>
  <c r="F100" i="6"/>
  <c r="I122" i="6"/>
  <c r="I124" i="6" s="1"/>
  <c r="H286" i="4" s="1"/>
  <c r="F5" i="6"/>
  <c r="E253" i="4" s="1"/>
  <c r="F19" i="6"/>
  <c r="F22" i="6" s="1"/>
  <c r="U53" i="12"/>
  <c r="U54" i="12" s="1"/>
  <c r="U43" i="12"/>
  <c r="I693" i="4" s="1"/>
  <c r="U27" i="12"/>
  <c r="S53" i="12"/>
  <c r="S54" i="12" s="1"/>
  <c r="S43" i="12"/>
  <c r="G693" i="4" s="1"/>
  <c r="S27" i="12"/>
  <c r="V53" i="12"/>
  <c r="V54" i="12" s="1"/>
  <c r="V43" i="12"/>
  <c r="J693" i="4" s="1"/>
  <c r="V27" i="12"/>
  <c r="T53" i="12"/>
  <c r="T54" i="12" s="1"/>
  <c r="T43" i="12"/>
  <c r="H693" i="4" s="1"/>
  <c r="T27" i="12"/>
  <c r="I52" i="14"/>
  <c r="M193" i="11"/>
  <c r="M90" i="1"/>
  <c r="L95" i="1"/>
  <c r="J38" i="15" s="1"/>
  <c r="L149" i="1"/>
  <c r="L150" i="1" s="1"/>
  <c r="I41" i="15"/>
  <c r="V109" i="12"/>
  <c r="D57" i="6"/>
  <c r="C278" i="4" s="1"/>
  <c r="D87" i="6"/>
  <c r="D92" i="6" s="1"/>
  <c r="F93" i="15" s="1"/>
  <c r="V125" i="12"/>
  <c r="V129" i="12" s="1"/>
  <c r="V131" i="12" s="1"/>
  <c r="V144" i="12" s="1"/>
  <c r="V106" i="12"/>
  <c r="AR356" i="12"/>
  <c r="P396" i="12"/>
  <c r="J144" i="1"/>
  <c r="J146" i="1" s="1"/>
  <c r="J158" i="1" s="1"/>
  <c r="J109" i="1"/>
  <c r="S186" i="12"/>
  <c r="C203" i="19"/>
  <c r="G5" i="6"/>
  <c r="F253" i="4" s="1"/>
  <c r="F255" i="4"/>
  <c r="AU165" i="12"/>
  <c r="W207" i="12"/>
  <c r="X161" i="12"/>
  <c r="W161" i="12"/>
  <c r="F53" i="6"/>
  <c r="F85" i="6" s="1"/>
  <c r="E51" i="6"/>
  <c r="E84" i="6" s="1"/>
  <c r="F42" i="6"/>
  <c r="E43" i="6"/>
  <c r="F46" i="6"/>
  <c r="F48" i="6" s="1"/>
  <c r="E47" i="6"/>
  <c r="E55" i="6"/>
  <c r="E86" i="6" s="1"/>
  <c r="S132" i="12"/>
  <c r="S144" i="12"/>
  <c r="H31" i="6"/>
  <c r="H32" i="6" s="1"/>
  <c r="I25" i="6"/>
  <c r="E197" i="6"/>
  <c r="G112" i="15" s="1"/>
  <c r="G108" i="15"/>
  <c r="G100" i="15"/>
  <c r="I138" i="1"/>
  <c r="G251" i="4"/>
  <c r="G277" i="4" s="1"/>
  <c r="G284" i="4" s="1"/>
  <c r="H104" i="6"/>
  <c r="H91" i="6" s="1"/>
  <c r="I2" i="6"/>
  <c r="E558" i="4"/>
  <c r="E186" i="4"/>
  <c r="E189" i="4" s="1"/>
  <c r="D1278" i="4"/>
  <c r="H21" i="6"/>
  <c r="G256" i="4"/>
  <c r="H11" i="6"/>
  <c r="J17" i="6"/>
  <c r="I20" i="6"/>
  <c r="F197" i="6"/>
  <c r="H112" i="15" s="1"/>
  <c r="H4" i="6"/>
  <c r="I9" i="6"/>
  <c r="J13" i="6"/>
  <c r="I29" i="6"/>
  <c r="I111" i="1"/>
  <c r="G45" i="15"/>
  <c r="I144" i="1"/>
  <c r="G78" i="15" s="1"/>
  <c r="I99" i="1"/>
  <c r="J100" i="1" s="1"/>
  <c r="J111" i="1"/>
  <c r="M1344" i="4"/>
  <c r="L1344" i="4"/>
  <c r="K1344" i="4"/>
  <c r="K1345" i="4"/>
  <c r="M149" i="1"/>
  <c r="M150" i="1" s="1"/>
  <c r="C528" i="3"/>
  <c r="E528" i="3" s="1"/>
  <c r="C529" i="3" s="1"/>
  <c r="E530" i="3" s="1"/>
  <c r="G59" i="15"/>
  <c r="I125" i="1"/>
  <c r="H270" i="11"/>
  <c r="H266" i="11"/>
  <c r="I13" i="15"/>
  <c r="I15" i="15"/>
  <c r="C61" i="15"/>
  <c r="E128" i="1"/>
  <c r="C64" i="15" s="1"/>
  <c r="F80" i="15"/>
  <c r="H158" i="1"/>
  <c r="F88" i="15" s="1"/>
  <c r="L82" i="15"/>
  <c r="G74" i="15"/>
  <c r="J18" i="15"/>
  <c r="J80" i="1"/>
  <c r="J61" i="1"/>
  <c r="J76" i="1"/>
  <c r="J55" i="1"/>
  <c r="J77" i="1"/>
  <c r="L43" i="15"/>
  <c r="H5" i="15"/>
  <c r="H9" i="15"/>
  <c r="G80" i="1"/>
  <c r="G69" i="1"/>
  <c r="G75" i="1"/>
  <c r="G76" i="1"/>
  <c r="F60" i="1"/>
  <c r="F69" i="1" s="1"/>
  <c r="G77" i="1"/>
  <c r="L84" i="15"/>
  <c r="H54" i="15"/>
  <c r="J120" i="1"/>
  <c r="I19" i="15"/>
  <c r="I5" i="15"/>
  <c r="D61" i="15"/>
  <c r="F128" i="1"/>
  <c r="D64" i="15" s="1"/>
  <c r="F45" i="15"/>
  <c r="H109" i="1"/>
  <c r="H99" i="1"/>
  <c r="E61" i="15"/>
  <c r="G128" i="1"/>
  <c r="E64" i="15" s="1"/>
  <c r="I120" i="1"/>
  <c r="G54" i="15"/>
  <c r="I52" i="1"/>
  <c r="K45" i="15"/>
  <c r="C69" i="15"/>
  <c r="E139" i="1"/>
  <c r="C74" i="15" s="1"/>
  <c r="E54" i="15"/>
  <c r="G120" i="1"/>
  <c r="J70" i="15"/>
  <c r="H120" i="1"/>
  <c r="F54" i="15"/>
  <c r="H111" i="1"/>
  <c r="E45" i="15"/>
  <c r="G109" i="1"/>
  <c r="G99" i="1"/>
  <c r="H61" i="1"/>
  <c r="D50" i="15"/>
  <c r="E114" i="1"/>
  <c r="F118" i="1"/>
  <c r="F61" i="15"/>
  <c r="H128" i="1"/>
  <c r="F64" i="15" s="1"/>
  <c r="J36" i="1"/>
  <c r="J125" i="1"/>
  <c r="H59" i="15"/>
  <c r="I26" i="15"/>
  <c r="I3" i="15"/>
  <c r="I48" i="15" s="1"/>
  <c r="I66" i="15" s="1"/>
  <c r="I91" i="15" s="1"/>
  <c r="F99" i="1"/>
  <c r="G111" i="1"/>
  <c r="F111" i="1"/>
  <c r="D45" i="15"/>
  <c r="J51" i="1"/>
  <c r="J41" i="1" s="1"/>
  <c r="T351" i="12"/>
  <c r="T356" i="12" s="1"/>
  <c r="T366" i="12" s="1"/>
  <c r="S361" i="12"/>
  <c r="S356" i="12"/>
  <c r="AU356" i="12" s="1"/>
  <c r="X106" i="12"/>
  <c r="X125" i="12"/>
  <c r="X129" i="12" s="1"/>
  <c r="X131" i="12" s="1"/>
  <c r="X109" i="12"/>
  <c r="E756" i="4"/>
  <c r="E767" i="4"/>
  <c r="K10" i="15"/>
  <c r="F755" i="4"/>
  <c r="J21" i="15"/>
  <c r="J20" i="15"/>
  <c r="O41" i="12"/>
  <c r="H31" i="14"/>
  <c r="G132" i="15"/>
  <c r="G31" i="14"/>
  <c r="F132" i="15"/>
  <c r="M127" i="11"/>
  <c r="F36" i="14"/>
  <c r="H59" i="1"/>
  <c r="H78" i="1"/>
  <c r="H67" i="1"/>
  <c r="I59" i="1"/>
  <c r="I78" i="1"/>
  <c r="I67" i="1"/>
  <c r="C395" i="4"/>
  <c r="H101" i="11"/>
  <c r="H92" i="11"/>
  <c r="H94" i="11"/>
  <c r="E110" i="14" s="1"/>
  <c r="L259" i="11"/>
  <c r="K261" i="11"/>
  <c r="E58" i="14"/>
  <c r="E59" i="14" s="1"/>
  <c r="N201" i="11"/>
  <c r="M204" i="11"/>
  <c r="M222" i="11"/>
  <c r="M245" i="11" s="1"/>
  <c r="L254" i="11"/>
  <c r="J262" i="11"/>
  <c r="F67" i="1"/>
  <c r="F58" i="14"/>
  <c r="F59" i="14" s="1"/>
  <c r="I2" i="11"/>
  <c r="H162" i="11"/>
  <c r="H146" i="11" s="1"/>
  <c r="E40" i="14"/>
  <c r="E42" i="14"/>
  <c r="E39" i="14"/>
  <c r="E41" i="14"/>
  <c r="E38" i="14"/>
  <c r="I95" i="11"/>
  <c r="I147" i="11"/>
  <c r="I103" i="11"/>
  <c r="I96" i="11"/>
  <c r="K116" i="11"/>
  <c r="L116" i="11" s="1"/>
  <c r="M116" i="11" s="1"/>
  <c r="N116" i="11" s="1"/>
  <c r="O116" i="11" s="1"/>
  <c r="P116" i="11" s="1"/>
  <c r="Q116" i="11" s="1"/>
  <c r="R116" i="11" s="1"/>
  <c r="D122" i="15"/>
  <c r="H43" i="11"/>
  <c r="D40" i="14"/>
  <c r="D42" i="14"/>
  <c r="D39" i="14"/>
  <c r="D41" i="14"/>
  <c r="D38" i="14"/>
  <c r="G101" i="11"/>
  <c r="G94" i="11"/>
  <c r="D110" i="14" s="1"/>
  <c r="G92" i="11"/>
  <c r="L223" i="11"/>
  <c r="K255" i="11"/>
  <c r="K256" i="11" s="1"/>
  <c r="G59" i="1"/>
  <c r="G78" i="1"/>
  <c r="G67" i="1"/>
  <c r="O396" i="12"/>
  <c r="J129" i="6"/>
  <c r="K126" i="6"/>
  <c r="G185" i="4"/>
  <c r="G188" i="4" s="1"/>
  <c r="G557" i="4"/>
  <c r="M50" i="15"/>
  <c r="M51" i="15"/>
  <c r="K11" i="19"/>
  <c r="J34" i="15"/>
  <c r="G23" i="14"/>
  <c r="W106" i="12"/>
  <c r="W125" i="12"/>
  <c r="W129" i="12" s="1"/>
  <c r="W131" i="12" s="1"/>
  <c r="W109" i="12"/>
  <c r="Q396" i="12"/>
  <c r="AS356" i="12"/>
  <c r="T184" i="12"/>
  <c r="T185" i="12" s="1"/>
  <c r="P41" i="12"/>
  <c r="V201" i="12"/>
  <c r="V200" i="12" s="1"/>
  <c r="V195" i="12" s="1"/>
  <c r="V38" i="12"/>
  <c r="V22" i="12"/>
  <c r="V25" i="12"/>
  <c r="V24" i="12"/>
  <c r="V47" i="12" s="1"/>
  <c r="S201" i="12"/>
  <c r="S200" i="12" s="1"/>
  <c r="S195" i="12" s="1"/>
  <c r="S38" i="12"/>
  <c r="S24" i="12"/>
  <c r="S47" i="12" s="1"/>
  <c r="S22" i="12"/>
  <c r="S25" i="12"/>
  <c r="U106" i="12"/>
  <c r="U125" i="12"/>
  <c r="U129" i="12" s="1"/>
  <c r="U131" i="12" s="1"/>
  <c r="U109" i="12"/>
  <c r="N40" i="12"/>
  <c r="T186" i="12"/>
  <c r="AV165" i="12"/>
  <c r="W191" i="12"/>
  <c r="X213" i="12"/>
  <c r="W213" i="12"/>
  <c r="AY160" i="12"/>
  <c r="W165" i="12"/>
  <c r="X165" i="12"/>
  <c r="M792" i="4"/>
  <c r="R106" i="12"/>
  <c r="R109" i="12"/>
  <c r="T201" i="12"/>
  <c r="T200" i="12" s="1"/>
  <c r="T195" i="12" s="1"/>
  <c r="T24" i="12"/>
  <c r="T47" i="12" s="1"/>
  <c r="T38" i="12"/>
  <c r="T22" i="12"/>
  <c r="T25" i="12"/>
  <c r="P40" i="12"/>
  <c r="O40" i="12"/>
  <c r="U201" i="12"/>
  <c r="U200" i="12" s="1"/>
  <c r="U195" i="12" s="1"/>
  <c r="U25" i="12"/>
  <c r="U22" i="12"/>
  <c r="U38" i="12"/>
  <c r="U196" i="12" s="1"/>
  <c r="U24" i="12"/>
  <c r="K34" i="15"/>
  <c r="D975" i="4"/>
  <c r="D976" i="4" s="1"/>
  <c r="D984" i="4" s="1"/>
  <c r="AQ356" i="12"/>
  <c r="D923" i="4"/>
  <c r="C230" i="4"/>
  <c r="H44" i="6"/>
  <c r="G53" i="6"/>
  <c r="G85" i="6" s="1"/>
  <c r="O449" i="4"/>
  <c r="R362" i="12"/>
  <c r="AT352" i="12"/>
  <c r="R356" i="12"/>
  <c r="D52" i="4"/>
  <c r="D51" i="4"/>
  <c r="D62" i="4"/>
  <c r="D57" i="4"/>
  <c r="D49" i="4"/>
  <c r="D59" i="4"/>
  <c r="D53" i="4"/>
  <c r="D56" i="4"/>
  <c r="D58" i="4"/>
  <c r="D50" i="4"/>
  <c r="D60" i="4"/>
  <c r="J451" i="4"/>
  <c r="G36" i="6"/>
  <c r="G38" i="6" s="1"/>
  <c r="F252" i="4" s="1"/>
  <c r="H34" i="6"/>
  <c r="K67" i="6" l="1"/>
  <c r="S44" i="14"/>
  <c r="Q31" i="14"/>
  <c r="Q32" i="14" s="1"/>
  <c r="BC21" i="12"/>
  <c r="W32" i="12"/>
  <c r="W29" i="12"/>
  <c r="BD21" i="12"/>
  <c r="X29" i="12"/>
  <c r="X32" i="12"/>
  <c r="J24" i="17"/>
  <c r="M99" i="1"/>
  <c r="M100" i="1" s="1"/>
  <c r="I13" i="17"/>
  <c r="P11" i="19"/>
  <c r="O241" i="11"/>
  <c r="N242" i="11"/>
  <c r="L224" i="11"/>
  <c r="L246" i="11"/>
  <c r="L247" i="11" s="1"/>
  <c r="I30" i="14" s="1"/>
  <c r="I31" i="14" s="1"/>
  <c r="I111" i="11"/>
  <c r="I114" i="11" s="1"/>
  <c r="F61" i="14"/>
  <c r="I131" i="11"/>
  <c r="AE217" i="12"/>
  <c r="AE294" i="12"/>
  <c r="AE298" i="12" s="1"/>
  <c r="AE299" i="12" s="1"/>
  <c r="X38" i="12"/>
  <c r="X39" i="12" s="1"/>
  <c r="AB41" i="12" s="1"/>
  <c r="X53" i="12"/>
  <c r="X54" i="12" s="1"/>
  <c r="L1345" i="4"/>
  <c r="K148" i="6"/>
  <c r="J48" i="17"/>
  <c r="J147" i="6"/>
  <c r="J92" i="6" s="1"/>
  <c r="J37" i="17"/>
  <c r="I26" i="17"/>
  <c r="AF203" i="12"/>
  <c r="AF294" i="12" s="1"/>
  <c r="AF298" i="12" s="1"/>
  <c r="F26" i="17"/>
  <c r="W38" i="12"/>
  <c r="W39" i="12" s="1"/>
  <c r="AA41" i="12" s="1"/>
  <c r="W22" i="12"/>
  <c r="AA23" i="12" s="1"/>
  <c r="W25" i="12"/>
  <c r="W24" i="12"/>
  <c r="W47" i="12" s="1"/>
  <c r="W48" i="12" s="1"/>
  <c r="W201" i="12"/>
  <c r="W200" i="12" s="1"/>
  <c r="W195" i="12" s="1"/>
  <c r="W53" i="12"/>
  <c r="W54" i="12" s="1"/>
  <c r="X43" i="12"/>
  <c r="X24" i="12"/>
  <c r="X47" i="12" s="1"/>
  <c r="X27" i="12"/>
  <c r="X79" i="12" s="1"/>
  <c r="X22" i="12"/>
  <c r="AB23" i="12" s="1"/>
  <c r="X25" i="12"/>
  <c r="X201" i="12"/>
  <c r="X200" i="12" s="1"/>
  <c r="X195" i="12" s="1"/>
  <c r="J41" i="15"/>
  <c r="W43" i="12"/>
  <c r="AY21" i="12"/>
  <c r="W27" i="12"/>
  <c r="W79" i="12" s="1"/>
  <c r="AZ21" i="12"/>
  <c r="C1547" i="4"/>
  <c r="C1548" i="4" s="1"/>
  <c r="C1551" i="4" s="1"/>
  <c r="C1544" i="4"/>
  <c r="D1544" i="4"/>
  <c r="D1547" i="4"/>
  <c r="D1548" i="4" s="1"/>
  <c r="D1551" i="4" s="1"/>
  <c r="N22" i="1"/>
  <c r="N2" i="1"/>
  <c r="M82" i="1"/>
  <c r="M142" i="1"/>
  <c r="G61" i="1"/>
  <c r="H126" i="15"/>
  <c r="F59" i="1"/>
  <c r="F68" i="1" s="1"/>
  <c r="AH160" i="12"/>
  <c r="N69" i="1"/>
  <c r="M60" i="1"/>
  <c r="M95" i="1"/>
  <c r="L61" i="1"/>
  <c r="L55" i="1"/>
  <c r="L64" i="1" s="1"/>
  <c r="L76" i="1"/>
  <c r="L77" i="1"/>
  <c r="L80" i="1"/>
  <c r="N90" i="1"/>
  <c r="M28" i="1"/>
  <c r="L47" i="1"/>
  <c r="L37" i="1" s="1"/>
  <c r="H203" i="19"/>
  <c r="BD165" i="12"/>
  <c r="L15" i="1"/>
  <c r="J4" i="15"/>
  <c r="M46" i="1"/>
  <c r="M36" i="1" s="1"/>
  <c r="M3" i="1"/>
  <c r="K4" i="15" s="1"/>
  <c r="L39" i="1"/>
  <c r="M49" i="1"/>
  <c r="L38" i="1"/>
  <c r="M48" i="1"/>
  <c r="G203" i="19"/>
  <c r="BC165" i="12"/>
  <c r="M1345" i="4"/>
  <c r="N193" i="11"/>
  <c r="J52" i="14"/>
  <c r="F43" i="14"/>
  <c r="D60" i="6"/>
  <c r="D65" i="6"/>
  <c r="C279" i="4" s="1"/>
  <c r="J150" i="1"/>
  <c r="H78" i="15"/>
  <c r="V132" i="12"/>
  <c r="F55" i="6"/>
  <c r="C483" i="4" s="1"/>
  <c r="C484" i="4" s="1"/>
  <c r="C486" i="4" s="1"/>
  <c r="G46" i="6"/>
  <c r="G48" i="6" s="1"/>
  <c r="E87" i="6"/>
  <c r="E92" i="6" s="1"/>
  <c r="E57" i="6"/>
  <c r="D278" i="4" s="1"/>
  <c r="G42" i="6"/>
  <c r="F51" i="6"/>
  <c r="W132" i="12"/>
  <c r="W144" i="12"/>
  <c r="D1245" i="4" s="1"/>
  <c r="U132" i="12"/>
  <c r="U144" i="12"/>
  <c r="X132" i="12"/>
  <c r="X144" i="12"/>
  <c r="E1245" i="4" s="1"/>
  <c r="I21" i="6"/>
  <c r="I11" i="6"/>
  <c r="H256" i="4"/>
  <c r="L67" i="6"/>
  <c r="L148" i="6" s="1"/>
  <c r="K122" i="6"/>
  <c r="K17" i="6"/>
  <c r="J20" i="6"/>
  <c r="G106" i="6"/>
  <c r="E184" i="4"/>
  <c r="E187" i="4" s="1"/>
  <c r="J29" i="6"/>
  <c r="I104" i="6"/>
  <c r="I91" i="6" s="1"/>
  <c r="J2" i="6"/>
  <c r="H251" i="4"/>
  <c r="H277" i="4" s="1"/>
  <c r="H284" i="4" s="1"/>
  <c r="H19" i="6"/>
  <c r="H5" i="6"/>
  <c r="G253" i="4" s="1"/>
  <c r="G255" i="4"/>
  <c r="I4" i="6"/>
  <c r="I31" i="6"/>
  <c r="I32" i="6" s="1"/>
  <c r="J25" i="6"/>
  <c r="G75" i="15"/>
  <c r="F199" i="6"/>
  <c r="F203" i="6" s="1"/>
  <c r="F67" i="14" s="1"/>
  <c r="K13" i="6"/>
  <c r="J9" i="6"/>
  <c r="J4" i="6" s="1"/>
  <c r="I146" i="1"/>
  <c r="G80" i="15" s="1"/>
  <c r="U47" i="12"/>
  <c r="U44" i="12" s="1"/>
  <c r="U45" i="12" s="1"/>
  <c r="BA24" i="12"/>
  <c r="S366" i="12"/>
  <c r="I150" i="1"/>
  <c r="G41" i="15"/>
  <c r="J101" i="1"/>
  <c r="I100" i="1"/>
  <c r="T361" i="12"/>
  <c r="F24" i="17"/>
  <c r="M694" i="4"/>
  <c r="D54" i="15"/>
  <c r="F120" i="1"/>
  <c r="H61" i="15"/>
  <c r="J128" i="1"/>
  <c r="H64" i="15" s="1"/>
  <c r="F56" i="15"/>
  <c r="G4" i="11"/>
  <c r="G6" i="11" s="1"/>
  <c r="I4" i="11"/>
  <c r="H56" i="15"/>
  <c r="J64" i="1"/>
  <c r="J59" i="1"/>
  <c r="J13" i="15"/>
  <c r="J15" i="15"/>
  <c r="J52" i="1"/>
  <c r="K70" i="15"/>
  <c r="M82" i="15"/>
  <c r="M84" i="15"/>
  <c r="E118" i="1"/>
  <c r="C50" i="15"/>
  <c r="L45" i="15"/>
  <c r="I101" i="1"/>
  <c r="I102" i="1" s="1"/>
  <c r="E41" i="15"/>
  <c r="G100" i="1"/>
  <c r="H101" i="1"/>
  <c r="E56" i="15"/>
  <c r="F4" i="11"/>
  <c r="F6" i="11" s="1"/>
  <c r="I133" i="1"/>
  <c r="G73" i="15"/>
  <c r="G56" i="15"/>
  <c r="H4" i="11"/>
  <c r="H6" i="11" s="1"/>
  <c r="G61" i="15"/>
  <c r="I128" i="1"/>
  <c r="G64" i="15" s="1"/>
  <c r="J26" i="15"/>
  <c r="J3" i="15"/>
  <c r="J48" i="15" s="1"/>
  <c r="J66" i="15" s="1"/>
  <c r="J91" i="15" s="1"/>
  <c r="J19" i="15"/>
  <c r="J5" i="15"/>
  <c r="F41" i="15"/>
  <c r="H100" i="1"/>
  <c r="I156" i="11"/>
  <c r="D41" i="15"/>
  <c r="F100" i="1"/>
  <c r="G101" i="1"/>
  <c r="F101" i="1"/>
  <c r="I272" i="11"/>
  <c r="M43" i="15"/>
  <c r="K18" i="15"/>
  <c r="T48" i="12"/>
  <c r="H694" i="4" s="1"/>
  <c r="T44" i="12"/>
  <c r="T45" i="12" s="1"/>
  <c r="V48" i="12"/>
  <c r="J694" i="4" s="1"/>
  <c r="V44" i="12"/>
  <c r="V45" i="12" s="1"/>
  <c r="K38" i="15"/>
  <c r="J124" i="6"/>
  <c r="I286" i="4" s="1"/>
  <c r="S44" i="12"/>
  <c r="S45" i="12" s="1"/>
  <c r="S48" i="12"/>
  <c r="G694" i="4" s="1"/>
  <c r="L10" i="15"/>
  <c r="G755" i="4"/>
  <c r="K20" i="15"/>
  <c r="F767" i="4"/>
  <c r="F756" i="4"/>
  <c r="K21" i="15"/>
  <c r="E61" i="14"/>
  <c r="E201" i="6"/>
  <c r="G116" i="15" s="1"/>
  <c r="H111" i="11"/>
  <c r="H114" i="11" s="1"/>
  <c r="H147" i="11"/>
  <c r="H156" i="11" s="1"/>
  <c r="H160" i="11" s="1"/>
  <c r="C495" i="4" s="1"/>
  <c r="H103" i="11"/>
  <c r="H96" i="11"/>
  <c r="H95" i="11"/>
  <c r="H131" i="11"/>
  <c r="M254" i="11"/>
  <c r="N222" i="11"/>
  <c r="N245" i="11" s="1"/>
  <c r="H68" i="1"/>
  <c r="H79" i="1"/>
  <c r="G79" i="1"/>
  <c r="G68" i="1"/>
  <c r="O201" i="11"/>
  <c r="N204" i="11"/>
  <c r="C396" i="4"/>
  <c r="D399" i="4" s="1"/>
  <c r="D395" i="4"/>
  <c r="G36" i="14"/>
  <c r="L255" i="11"/>
  <c r="L256" i="11" s="1"/>
  <c r="M223" i="11"/>
  <c r="D677" i="4"/>
  <c r="E124" i="15"/>
  <c r="Z577" i="4"/>
  <c r="Z585" i="4" s="1"/>
  <c r="I109" i="11"/>
  <c r="I107" i="11"/>
  <c r="I106" i="11"/>
  <c r="C727" i="4"/>
  <c r="D61" i="14"/>
  <c r="G131" i="11"/>
  <c r="G96" i="11"/>
  <c r="G147" i="11"/>
  <c r="G156" i="11" s="1"/>
  <c r="G160" i="11" s="1"/>
  <c r="G103" i="11"/>
  <c r="G95" i="11"/>
  <c r="I162" i="11"/>
  <c r="I146" i="11" s="1"/>
  <c r="J2" i="11"/>
  <c r="K262" i="11"/>
  <c r="I79" i="1"/>
  <c r="I68" i="1"/>
  <c r="N127" i="11"/>
  <c r="H36" i="14"/>
  <c r="L261" i="11"/>
  <c r="M259" i="11"/>
  <c r="K129" i="6"/>
  <c r="L126" i="6"/>
  <c r="H185" i="4"/>
  <c r="H188" i="4" s="1"/>
  <c r="H557" i="4"/>
  <c r="N50" i="15"/>
  <c r="N51" i="15"/>
  <c r="V196" i="12"/>
  <c r="V39" i="12"/>
  <c r="T196" i="12"/>
  <c r="T39" i="12"/>
  <c r="AY165" i="12"/>
  <c r="W186" i="12"/>
  <c r="AZ165" i="12"/>
  <c r="X186" i="12"/>
  <c r="AW24" i="12"/>
  <c r="W190" i="12"/>
  <c r="D946" i="4"/>
  <c r="AV24" i="12"/>
  <c r="AU24" i="12"/>
  <c r="AX24" i="12"/>
  <c r="S196" i="12"/>
  <c r="S39" i="12"/>
  <c r="S41" i="12" s="1"/>
  <c r="K41" i="15"/>
  <c r="H80" i="15"/>
  <c r="J154" i="1"/>
  <c r="I44" i="6"/>
  <c r="H53" i="6"/>
  <c r="H85" i="6" s="1"/>
  <c r="F95" i="15"/>
  <c r="D89" i="6"/>
  <c r="I34" i="6"/>
  <c r="H36" i="6"/>
  <c r="H38" i="6" s="1"/>
  <c r="G252" i="4" s="1"/>
  <c r="R366" i="12"/>
  <c r="AT356" i="12"/>
  <c r="BD32" i="12" l="1"/>
  <c r="X33" i="12"/>
  <c r="W33" i="12"/>
  <c r="BC32" i="12"/>
  <c r="X196" i="12"/>
  <c r="N99" i="1"/>
  <c r="N100" i="1" s="1"/>
  <c r="J35" i="17"/>
  <c r="N95" i="1"/>
  <c r="L38" i="15" s="1"/>
  <c r="H132" i="15"/>
  <c r="AF299" i="12"/>
  <c r="AF309" i="12"/>
  <c r="AE309" i="12"/>
  <c r="AE313" i="12" s="1"/>
  <c r="M224" i="11"/>
  <c r="M246" i="11"/>
  <c r="M247" i="11" s="1"/>
  <c r="J30" i="14" s="1"/>
  <c r="J31" i="14" s="1"/>
  <c r="P241" i="11"/>
  <c r="O242" i="11"/>
  <c r="W196" i="12"/>
  <c r="AY24" i="12"/>
  <c r="W44" i="12"/>
  <c r="W45" i="12" s="1"/>
  <c r="AH277" i="12"/>
  <c r="K147" i="6"/>
  <c r="AH191" i="12"/>
  <c r="AH190" i="12" s="1"/>
  <c r="I24" i="17"/>
  <c r="G26" i="17"/>
  <c r="AF217" i="12"/>
  <c r="AG203" i="12"/>
  <c r="AG294" i="12" s="1"/>
  <c r="AZ24" i="12"/>
  <c r="O90" i="1"/>
  <c r="N149" i="1"/>
  <c r="N150" i="1" s="1"/>
  <c r="N28" i="1"/>
  <c r="M4" i="1"/>
  <c r="K5" i="15" s="1"/>
  <c r="M47" i="1"/>
  <c r="M37" i="1" s="1"/>
  <c r="M61" i="1"/>
  <c r="M77" i="1"/>
  <c r="M55" i="1"/>
  <c r="M64" i="1" s="1"/>
  <c r="M80" i="1"/>
  <c r="M76" i="1"/>
  <c r="O2" i="1"/>
  <c r="N82" i="1"/>
  <c r="N142" i="1"/>
  <c r="I126" i="15"/>
  <c r="N18" i="16"/>
  <c r="N60" i="1"/>
  <c r="O69" i="1"/>
  <c r="O22" i="1"/>
  <c r="N24" i="1"/>
  <c r="D79" i="6"/>
  <c r="M39" i="1"/>
  <c r="N49" i="1"/>
  <c r="M15" i="1"/>
  <c r="N3" i="1"/>
  <c r="L4" i="15" s="1"/>
  <c r="N46" i="1"/>
  <c r="N36" i="1" s="1"/>
  <c r="M38" i="1"/>
  <c r="N48" i="1"/>
  <c r="E99" i="6"/>
  <c r="G100" i="6"/>
  <c r="D69" i="6"/>
  <c r="C281" i="4" s="1"/>
  <c r="K52" i="14"/>
  <c r="O193" i="11"/>
  <c r="E94" i="6"/>
  <c r="E174" i="6" s="1"/>
  <c r="E96" i="6"/>
  <c r="I94" i="15"/>
  <c r="G179" i="6"/>
  <c r="H46" i="6"/>
  <c r="H48" i="6" s="1"/>
  <c r="G55" i="6"/>
  <c r="G86" i="6" s="1"/>
  <c r="F56" i="6"/>
  <c r="F86" i="6"/>
  <c r="U48" i="12"/>
  <c r="I694" i="4" s="1"/>
  <c r="V41" i="12"/>
  <c r="Z41" i="12"/>
  <c r="C39" i="4"/>
  <c r="G93" i="15"/>
  <c r="C472" i="4"/>
  <c r="C479" i="4" s="1"/>
  <c r="C480" i="4" s="1"/>
  <c r="E58" i="6"/>
  <c r="AE186" i="12"/>
  <c r="F201" i="6"/>
  <c r="H116" i="15" s="1"/>
  <c r="E60" i="6"/>
  <c r="E65" i="6"/>
  <c r="D279" i="4" s="1"/>
  <c r="F84" i="6"/>
  <c r="F52" i="6"/>
  <c r="G51" i="6"/>
  <c r="H42" i="6"/>
  <c r="F57" i="6"/>
  <c r="K9" i="6"/>
  <c r="K4" i="6" s="1"/>
  <c r="K19" i="6" s="1"/>
  <c r="L13" i="6"/>
  <c r="I101" i="15"/>
  <c r="L122" i="6"/>
  <c r="M67" i="6"/>
  <c r="M148" i="6" s="1"/>
  <c r="I19" i="6"/>
  <c r="H255" i="4"/>
  <c r="I5" i="6"/>
  <c r="H253" i="4" s="1"/>
  <c r="H22" i="6"/>
  <c r="K29" i="6"/>
  <c r="N790" i="4"/>
  <c r="I256" i="4"/>
  <c r="J11" i="6"/>
  <c r="I255" i="4"/>
  <c r="J5" i="6"/>
  <c r="I253" i="4" s="1"/>
  <c r="F200" i="6"/>
  <c r="H115" i="15" s="1"/>
  <c r="I251" i="4"/>
  <c r="I277" i="4" s="1"/>
  <c r="I284" i="4" s="1"/>
  <c r="J104" i="6"/>
  <c r="J91" i="6" s="1"/>
  <c r="K2" i="6"/>
  <c r="M1249" i="4"/>
  <c r="J21" i="6"/>
  <c r="H114" i="15"/>
  <c r="K25" i="6"/>
  <c r="J31" i="6"/>
  <c r="J32" i="6" s="1"/>
  <c r="J19" i="6"/>
  <c r="L17" i="6"/>
  <c r="K20" i="6"/>
  <c r="J61" i="11"/>
  <c r="I102" i="15"/>
  <c r="I154" i="1"/>
  <c r="I155" i="1" s="1"/>
  <c r="G85" i="15" s="1"/>
  <c r="I158" i="1"/>
  <c r="G88" i="15" s="1"/>
  <c r="I103" i="1"/>
  <c r="J103" i="1"/>
  <c r="J102" i="1"/>
  <c r="AF160" i="12"/>
  <c r="AE191" i="12"/>
  <c r="AE190" i="12" s="1"/>
  <c r="AE178" i="12" s="1"/>
  <c r="O149" i="1"/>
  <c r="O150" i="1" s="1"/>
  <c r="I36" i="14"/>
  <c r="M45" i="15"/>
  <c r="N43" i="15"/>
  <c r="H133" i="1"/>
  <c r="G68" i="15"/>
  <c r="K3" i="15"/>
  <c r="K48" i="15" s="1"/>
  <c r="K66" i="15" s="1"/>
  <c r="K91" i="15" s="1"/>
  <c r="K26" i="15"/>
  <c r="L70" i="15"/>
  <c r="I6" i="11"/>
  <c r="F103" i="1"/>
  <c r="F102" i="1"/>
  <c r="C54" i="15"/>
  <c r="E120" i="1"/>
  <c r="K13" i="15"/>
  <c r="K15" i="15"/>
  <c r="G103" i="1"/>
  <c r="G102" i="1"/>
  <c r="K19" i="15"/>
  <c r="H103" i="1"/>
  <c r="H102" i="1"/>
  <c r="L18" i="15"/>
  <c r="J79" i="1"/>
  <c r="J68" i="1"/>
  <c r="D56" i="15"/>
  <c r="E4" i="11"/>
  <c r="E6" i="11" s="1"/>
  <c r="N82" i="15"/>
  <c r="N84" i="15"/>
  <c r="K124" i="6"/>
  <c r="J286" i="4" s="1"/>
  <c r="L34" i="15"/>
  <c r="X48" i="12"/>
  <c r="X44" i="12"/>
  <c r="X45" i="12" s="1"/>
  <c r="G767" i="4"/>
  <c r="G756" i="4"/>
  <c r="L21" i="15"/>
  <c r="L20" i="15"/>
  <c r="M10" i="15"/>
  <c r="H755" i="4"/>
  <c r="N254" i="11"/>
  <c r="O222" i="11"/>
  <c r="O245" i="11" s="1"/>
  <c r="C732" i="4"/>
  <c r="E824" i="4"/>
  <c r="D401" i="4"/>
  <c r="D402" i="4" s="1"/>
  <c r="D406" i="4" s="1"/>
  <c r="D407" i="4" s="1"/>
  <c r="I158" i="11"/>
  <c r="J10" i="16"/>
  <c r="D991" i="4"/>
  <c r="D993" i="4" s="1"/>
  <c r="C507" i="4"/>
  <c r="D507" i="4" s="1"/>
  <c r="O127" i="11"/>
  <c r="M261" i="11"/>
  <c r="N259" i="11"/>
  <c r="C124" i="15"/>
  <c r="G106" i="11"/>
  <c r="G107" i="11"/>
  <c r="C824" i="4" s="1"/>
  <c r="G109" i="11"/>
  <c r="D43" i="14"/>
  <c r="M255" i="11"/>
  <c r="M256" i="11" s="1"/>
  <c r="N223" i="11"/>
  <c r="P201" i="11"/>
  <c r="O204" i="11"/>
  <c r="J162" i="11"/>
  <c r="J146" i="11" s="1"/>
  <c r="K2" i="11"/>
  <c r="C1754" i="4" s="1"/>
  <c r="L262" i="11"/>
  <c r="C677" i="4"/>
  <c r="D124" i="15"/>
  <c r="H109" i="11"/>
  <c r="H107" i="11"/>
  <c r="D824" i="4" s="1"/>
  <c r="H106" i="11"/>
  <c r="E43" i="14"/>
  <c r="M126" i="6"/>
  <c r="L129" i="6"/>
  <c r="I185" i="4"/>
  <c r="I188" i="4" s="1"/>
  <c r="O50" i="15"/>
  <c r="O51" i="15"/>
  <c r="T41" i="12"/>
  <c r="T40" i="12"/>
  <c r="X41" i="12"/>
  <c r="D947" i="4"/>
  <c r="D950" i="4" s="1"/>
  <c r="D951" i="4" s="1"/>
  <c r="D983" i="4" s="1"/>
  <c r="D1002" i="4" s="1"/>
  <c r="D937" i="4"/>
  <c r="D938" i="4" s="1"/>
  <c r="D941" i="4" s="1"/>
  <c r="D942" i="4" s="1"/>
  <c r="D982" i="4" s="1"/>
  <c r="S40" i="12"/>
  <c r="X184" i="12"/>
  <c r="W184" i="12"/>
  <c r="L170" i="19"/>
  <c r="L171" i="19"/>
  <c r="W41" i="12"/>
  <c r="H851" i="4"/>
  <c r="M34" i="15"/>
  <c r="H84" i="15"/>
  <c r="J155" i="1"/>
  <c r="L41" i="15"/>
  <c r="I53" i="6"/>
  <c r="I85" i="6" s="1"/>
  <c r="J44" i="6"/>
  <c r="F100" i="15"/>
  <c r="J34" i="6"/>
  <c r="I36" i="6"/>
  <c r="I38" i="6" s="1"/>
  <c r="H252" i="4" s="1"/>
  <c r="J126" i="15" l="1"/>
  <c r="J46" i="17"/>
  <c r="O99" i="1"/>
  <c r="O100" i="1" s="1"/>
  <c r="O95" i="1"/>
  <c r="M38" i="15" s="1"/>
  <c r="P90" i="1"/>
  <c r="K126" i="15" s="1"/>
  <c r="I132" i="15"/>
  <c r="AF313" i="12"/>
  <c r="AF289" i="12" s="1"/>
  <c r="N224" i="11"/>
  <c r="N246" i="11"/>
  <c r="N247" i="11" s="1"/>
  <c r="K30" i="14" s="1"/>
  <c r="Q241" i="11"/>
  <c r="P242" i="11"/>
  <c r="AH278" i="12"/>
  <c r="AH284" i="12"/>
  <c r="AH264" i="12" s="1"/>
  <c r="K1367" i="4"/>
  <c r="L147" i="6"/>
  <c r="L92" i="6" s="1"/>
  <c r="K92" i="6"/>
  <c r="H26" i="17"/>
  <c r="AG217" i="12"/>
  <c r="AH216" i="12"/>
  <c r="AG160" i="12"/>
  <c r="H24" i="17" s="1"/>
  <c r="G24" i="17"/>
  <c r="O60" i="1"/>
  <c r="P69" i="1"/>
  <c r="N80" i="1"/>
  <c r="N76" i="1"/>
  <c r="N77" i="1"/>
  <c r="N55" i="1"/>
  <c r="N64" i="1" s="1"/>
  <c r="N61" i="1"/>
  <c r="P22" i="1"/>
  <c r="O24" i="1"/>
  <c r="O82" i="1"/>
  <c r="O142" i="1"/>
  <c r="P2" i="1"/>
  <c r="O28" i="1"/>
  <c r="N4" i="1"/>
  <c r="N47" i="1"/>
  <c r="N37" i="1" s="1"/>
  <c r="M1367" i="4"/>
  <c r="L1367" i="4"/>
  <c r="O46" i="1"/>
  <c r="O36" i="1" s="1"/>
  <c r="O3" i="1"/>
  <c r="N15" i="1"/>
  <c r="N38" i="1"/>
  <c r="O48" i="1"/>
  <c r="N39" i="1"/>
  <c r="O49" i="1"/>
  <c r="J36" i="14"/>
  <c r="D931" i="3"/>
  <c r="E931" i="3" s="1"/>
  <c r="E101" i="6"/>
  <c r="L52" i="14"/>
  <c r="P193" i="11"/>
  <c r="I46" i="6"/>
  <c r="J46" i="6" s="1"/>
  <c r="K46" i="6" s="1"/>
  <c r="K21" i="6"/>
  <c r="K22" i="6" s="1"/>
  <c r="H55" i="6"/>
  <c r="H86" i="6" s="1"/>
  <c r="G56" i="6"/>
  <c r="AG285" i="12"/>
  <c r="M1375" i="4" s="1"/>
  <c r="AF285" i="12"/>
  <c r="L1375" i="4" s="1"/>
  <c r="F87" i="6"/>
  <c r="F92" i="6" s="1"/>
  <c r="D472" i="4" s="1"/>
  <c r="D479" i="4" s="1"/>
  <c r="D480" i="4" s="1"/>
  <c r="I162" i="1"/>
  <c r="I163" i="1" s="1"/>
  <c r="G95" i="15"/>
  <c r="E89" i="6"/>
  <c r="E79" i="6" s="1"/>
  <c r="C41" i="4"/>
  <c r="C473" i="4"/>
  <c r="C474" i="4" s="1"/>
  <c r="AF165" i="12"/>
  <c r="AF186" i="12" s="1"/>
  <c r="AF161" i="12"/>
  <c r="E278" i="4"/>
  <c r="E69" i="6"/>
  <c r="H51" i="6"/>
  <c r="I42" i="6"/>
  <c r="G84" i="6"/>
  <c r="G87" i="6" s="1"/>
  <c r="G99" i="6" s="1"/>
  <c r="G57" i="6"/>
  <c r="G65" i="6" s="1"/>
  <c r="G52" i="6"/>
  <c r="F65" i="6"/>
  <c r="E279" i="4" s="1"/>
  <c r="F58" i="6"/>
  <c r="F60" i="6"/>
  <c r="G84" i="15"/>
  <c r="L29" i="6"/>
  <c r="G1346" i="4"/>
  <c r="G1345" i="4"/>
  <c r="G1344" i="4"/>
  <c r="N1249" i="4"/>
  <c r="J22" i="6"/>
  <c r="L9" i="6"/>
  <c r="L21" i="6" s="1"/>
  <c r="M13" i="6"/>
  <c r="L20" i="6"/>
  <c r="M17" i="6"/>
  <c r="J255" i="4"/>
  <c r="K5" i="6"/>
  <c r="J253" i="4" s="1"/>
  <c r="L124" i="6"/>
  <c r="K286" i="4" s="1"/>
  <c r="K31" i="6"/>
  <c r="K32" i="6" s="1"/>
  <c r="L25" i="6"/>
  <c r="K104" i="6"/>
  <c r="K91" i="6" s="1"/>
  <c r="L2" i="6"/>
  <c r="J251" i="4"/>
  <c r="J277" i="4" s="1"/>
  <c r="J284" i="4" s="1"/>
  <c r="K11" i="6"/>
  <c r="J256" i="4"/>
  <c r="F186" i="4"/>
  <c r="F189" i="4" s="1"/>
  <c r="F558" i="4"/>
  <c r="C1226" i="4"/>
  <c r="I22" i="6"/>
  <c r="O790" i="4"/>
  <c r="N67" i="6"/>
  <c r="N148" i="6" s="1"/>
  <c r="M122" i="6"/>
  <c r="M124" i="6" s="1"/>
  <c r="L286" i="4" s="1"/>
  <c r="AF191" i="12"/>
  <c r="AF190" i="12" s="1"/>
  <c r="P95" i="1"/>
  <c r="N38" i="15" s="1"/>
  <c r="P149" i="1"/>
  <c r="P150" i="1" s="1"/>
  <c r="Q90" i="1"/>
  <c r="L126" i="15" s="1"/>
  <c r="O43" i="15"/>
  <c r="L13" i="15"/>
  <c r="L15" i="15"/>
  <c r="M70" i="15"/>
  <c r="O82" i="15"/>
  <c r="O84" i="15"/>
  <c r="C56" i="15"/>
  <c r="D4" i="11"/>
  <c r="D6" i="11" s="1"/>
  <c r="L19" i="15"/>
  <c r="N45" i="15"/>
  <c r="M18" i="15"/>
  <c r="L3" i="15"/>
  <c r="L48" i="15" s="1"/>
  <c r="L66" i="15" s="1"/>
  <c r="L91" i="15" s="1"/>
  <c r="L26" i="15"/>
  <c r="G133" i="1"/>
  <c r="H138" i="1"/>
  <c r="F68" i="15"/>
  <c r="M20" i="15"/>
  <c r="M21" i="15"/>
  <c r="H767" i="4"/>
  <c r="H756" i="4"/>
  <c r="N10" i="15"/>
  <c r="I755" i="4"/>
  <c r="K31" i="14"/>
  <c r="J132" i="15"/>
  <c r="F33" i="14"/>
  <c r="I160" i="11"/>
  <c r="M262" i="11"/>
  <c r="L2" i="11"/>
  <c r="D1754" i="4" s="1"/>
  <c r="K162" i="11"/>
  <c r="K146" i="11" s="1"/>
  <c r="P127" i="11"/>
  <c r="O254" i="11"/>
  <c r="P222" i="11"/>
  <c r="P245" i="11" s="1"/>
  <c r="N261" i="11"/>
  <c r="O259" i="11"/>
  <c r="Q201" i="11"/>
  <c r="P204" i="11"/>
  <c r="N255" i="11"/>
  <c r="N256" i="11" s="1"/>
  <c r="O223" i="11"/>
  <c r="J185" i="4"/>
  <c r="J188" i="4" s="1"/>
  <c r="N126" i="6"/>
  <c r="M129" i="6"/>
  <c r="Q50" i="15"/>
  <c r="P50" i="15"/>
  <c r="Q51" i="15"/>
  <c r="P51" i="15"/>
  <c r="I851" i="4"/>
  <c r="X185" i="12"/>
  <c r="W185" i="12"/>
  <c r="D1001" i="4"/>
  <c r="D985" i="4"/>
  <c r="H88" i="15"/>
  <c r="J162" i="1"/>
  <c r="J163" i="1" s="1"/>
  <c r="N34" i="15"/>
  <c r="H85" i="15"/>
  <c r="M41" i="15"/>
  <c r="K44" i="6"/>
  <c r="J53" i="6"/>
  <c r="J85" i="6" s="1"/>
  <c r="F103" i="15"/>
  <c r="J36" i="6"/>
  <c r="J38" i="6" s="1"/>
  <c r="I252" i="4" s="1"/>
  <c r="K34" i="6"/>
  <c r="P99" i="1" l="1"/>
  <c r="P100" i="1" s="1"/>
  <c r="AE289" i="12"/>
  <c r="I1724" i="4"/>
  <c r="AF232" i="12"/>
  <c r="AF323" i="12"/>
  <c r="R241" i="11"/>
  <c r="R242" i="11" s="1"/>
  <c r="Q242" i="11"/>
  <c r="O224" i="11"/>
  <c r="O246" i="11"/>
  <c r="O247" i="11" s="1"/>
  <c r="L30" i="14" s="1"/>
  <c r="L31" i="14" s="1"/>
  <c r="M147" i="6"/>
  <c r="M92" i="6" s="1"/>
  <c r="AG330" i="12"/>
  <c r="AG80" i="12"/>
  <c r="AG78" i="12" s="1"/>
  <c r="AE330" i="12"/>
  <c r="AE80" i="12"/>
  <c r="AE78" i="12" s="1"/>
  <c r="AF330" i="12"/>
  <c r="AF80" i="12"/>
  <c r="AF78" i="12" s="1"/>
  <c r="P28" i="1"/>
  <c r="O4" i="1"/>
  <c r="O47" i="1"/>
  <c r="O37" i="1" s="1"/>
  <c r="P82" i="1"/>
  <c r="Q2" i="1"/>
  <c r="P142" i="1"/>
  <c r="Q22" i="1"/>
  <c r="P24" i="1"/>
  <c r="P60" i="1"/>
  <c r="Q69" i="1"/>
  <c r="O61" i="1"/>
  <c r="O77" i="1"/>
  <c r="O76" i="1"/>
  <c r="O55" i="1"/>
  <c r="O64" i="1" s="1"/>
  <c r="O80" i="1"/>
  <c r="I48" i="6"/>
  <c r="O38" i="1"/>
  <c r="P48" i="1"/>
  <c r="M4" i="15"/>
  <c r="O39" i="1"/>
  <c r="P49" i="1"/>
  <c r="P46" i="1"/>
  <c r="P36" i="1" s="1"/>
  <c r="P3" i="1"/>
  <c r="K36" i="14"/>
  <c r="G1347" i="4"/>
  <c r="N1348" i="4" s="1"/>
  <c r="J48" i="6"/>
  <c r="I55" i="6"/>
  <c r="I86" i="6" s="1"/>
  <c r="J55" i="6"/>
  <c r="J86" i="6" s="1"/>
  <c r="H57" i="6"/>
  <c r="H58" i="6" s="1"/>
  <c r="H56" i="6"/>
  <c r="Q193" i="11"/>
  <c r="M52" i="14"/>
  <c r="H93" i="15"/>
  <c r="F99" i="6"/>
  <c r="L4" i="6"/>
  <c r="L19" i="6" s="1"/>
  <c r="G174" i="6"/>
  <c r="G176" i="6" s="1"/>
  <c r="G96" i="6"/>
  <c r="G186" i="6" s="1"/>
  <c r="F94" i="6"/>
  <c r="F174" i="6" s="1"/>
  <c r="F176" i="6" s="1"/>
  <c r="F96" i="6"/>
  <c r="F186" i="6" s="1"/>
  <c r="E472" i="4"/>
  <c r="E479" i="4" s="1"/>
  <c r="F1368" i="4"/>
  <c r="F1369" i="4" s="1"/>
  <c r="C475" i="4"/>
  <c r="C477" i="4" s="1"/>
  <c r="I93" i="15"/>
  <c r="AG165" i="12"/>
  <c r="AG186" i="12" s="1"/>
  <c r="AG161" i="12"/>
  <c r="AH161" i="12"/>
  <c r="E70" i="6"/>
  <c r="D281" i="4"/>
  <c r="F69" i="6"/>
  <c r="F70" i="6" s="1"/>
  <c r="J42" i="6"/>
  <c r="I51" i="6"/>
  <c r="G58" i="6"/>
  <c r="F278" i="4"/>
  <c r="H52" i="6"/>
  <c r="H84" i="6"/>
  <c r="H87" i="6" s="1"/>
  <c r="G1725" i="4" s="1"/>
  <c r="G186" i="4"/>
  <c r="G189" i="4" s="1"/>
  <c r="G558" i="4"/>
  <c r="O1249" i="4"/>
  <c r="O67" i="6"/>
  <c r="N122" i="6"/>
  <c r="N124" i="6" s="1"/>
  <c r="M286" i="4" s="1"/>
  <c r="L104" i="6"/>
  <c r="L91" i="6" s="1"/>
  <c r="M2" i="6"/>
  <c r="K251" i="4"/>
  <c r="K277" i="4" s="1"/>
  <c r="K284" i="4" s="1"/>
  <c r="P790" i="4"/>
  <c r="Q790" i="4"/>
  <c r="L11" i="6"/>
  <c r="K256" i="4"/>
  <c r="M25" i="6"/>
  <c r="L31" i="6"/>
  <c r="L32" i="6" s="1"/>
  <c r="M29" i="6"/>
  <c r="N13" i="6"/>
  <c r="M9" i="6"/>
  <c r="M4" i="6" s="1"/>
  <c r="M20" i="6"/>
  <c r="N17" i="6"/>
  <c r="AG191" i="12"/>
  <c r="AG190" i="12" s="1"/>
  <c r="AH213" i="12"/>
  <c r="Q149" i="1"/>
  <c r="Q150" i="1" s="1"/>
  <c r="Q99" i="1"/>
  <c r="Q100" i="1" s="1"/>
  <c r="R90" i="1"/>
  <c r="M126" i="15" s="1"/>
  <c r="Q95" i="1"/>
  <c r="O38" i="15" s="1"/>
  <c r="K162" i="1"/>
  <c r="K163" i="1" s="1"/>
  <c r="K166" i="1"/>
  <c r="M158" i="1"/>
  <c r="N158" i="1" s="1"/>
  <c r="O158" i="1" s="1"/>
  <c r="P158" i="1" s="1"/>
  <c r="Q158" i="1" s="1"/>
  <c r="R158" i="1" s="1"/>
  <c r="S158" i="1" s="1"/>
  <c r="M19" i="15"/>
  <c r="M5" i="15"/>
  <c r="M13" i="15"/>
  <c r="M15" i="15"/>
  <c r="F73" i="15"/>
  <c r="N18" i="15"/>
  <c r="L5" i="15"/>
  <c r="E68" i="15"/>
  <c r="F133" i="1"/>
  <c r="G138" i="1"/>
  <c r="P82" i="15"/>
  <c r="P84" i="15"/>
  <c r="N70" i="15"/>
  <c r="M3" i="15"/>
  <c r="M48" i="15" s="1"/>
  <c r="M66" i="15" s="1"/>
  <c r="M91" i="15" s="1"/>
  <c r="M26" i="15"/>
  <c r="O45" i="15"/>
  <c r="P43" i="15"/>
  <c r="N20" i="15"/>
  <c r="J755" i="4"/>
  <c r="O10" i="15"/>
  <c r="I767" i="4"/>
  <c r="I756" i="4"/>
  <c r="N21" i="15"/>
  <c r="R201" i="11"/>
  <c r="R204" i="11" s="1"/>
  <c r="Q204" i="11"/>
  <c r="O261" i="11"/>
  <c r="P259" i="11"/>
  <c r="Q127" i="11"/>
  <c r="R127" i="11"/>
  <c r="O255" i="11"/>
  <c r="O256" i="11" s="1"/>
  <c r="P223" i="11"/>
  <c r="P246" i="11" s="1"/>
  <c r="P247" i="11" s="1"/>
  <c r="M30" i="14" s="1"/>
  <c r="N262" i="11"/>
  <c r="Q222" i="11"/>
  <c r="Q245" i="11" s="1"/>
  <c r="P254" i="11"/>
  <c r="E134" i="15"/>
  <c r="F34" i="14"/>
  <c r="L162" i="11"/>
  <c r="L146" i="11" s="1"/>
  <c r="M2" i="11"/>
  <c r="E1754" i="4" s="1"/>
  <c r="K185" i="4"/>
  <c r="K188" i="4" s="1"/>
  <c r="O126" i="6"/>
  <c r="N129" i="6"/>
  <c r="F982" i="4"/>
  <c r="E987" i="4"/>
  <c r="D987" i="4"/>
  <c r="D988" i="4" s="1"/>
  <c r="D994" i="4" s="1"/>
  <c r="O34" i="15"/>
  <c r="I85" i="15"/>
  <c r="I88" i="15"/>
  <c r="H89" i="15"/>
  <c r="N41" i="15"/>
  <c r="K53" i="6"/>
  <c r="K85" i="6" s="1"/>
  <c r="L44" i="6"/>
  <c r="K36" i="6"/>
  <c r="K38" i="6" s="1"/>
  <c r="J252" i="4" s="1"/>
  <c r="L34" i="6"/>
  <c r="L46" i="6"/>
  <c r="K48" i="6"/>
  <c r="K55" i="6"/>
  <c r="K132" i="15" l="1"/>
  <c r="L1546" i="4"/>
  <c r="L1547" i="4" s="1"/>
  <c r="L1548" i="4" s="1"/>
  <c r="L1551" i="4" s="1"/>
  <c r="AF233" i="12"/>
  <c r="AF337" i="12"/>
  <c r="AF43" i="12"/>
  <c r="L1370" i="4"/>
  <c r="L1369" i="4" s="1"/>
  <c r="AF27" i="12"/>
  <c r="AF79" i="12" s="1"/>
  <c r="R1250" i="4"/>
  <c r="AF296" i="12"/>
  <c r="H1724" i="4"/>
  <c r="AE232" i="12"/>
  <c r="L5" i="6"/>
  <c r="K253" i="4" s="1"/>
  <c r="K255" i="4"/>
  <c r="N147" i="6"/>
  <c r="N92" i="6" s="1"/>
  <c r="I56" i="6"/>
  <c r="O122" i="6"/>
  <c r="O124" i="6" s="1"/>
  <c r="N286" i="4" s="1"/>
  <c r="O148" i="6"/>
  <c r="J1368" i="4"/>
  <c r="R22" i="1"/>
  <c r="Q24" i="1"/>
  <c r="Q142" i="1"/>
  <c r="Q82" i="1"/>
  <c r="R2" i="1"/>
  <c r="Q60" i="1"/>
  <c r="R69" i="1"/>
  <c r="P55" i="1"/>
  <c r="P64" i="1" s="1"/>
  <c r="P61" i="1"/>
  <c r="P77" i="1"/>
  <c r="P76" i="1"/>
  <c r="P80" i="1"/>
  <c r="Q28" i="1"/>
  <c r="P47" i="1"/>
  <c r="P37" i="1" s="1"/>
  <c r="P4" i="1"/>
  <c r="N5" i="15" s="1"/>
  <c r="J56" i="6"/>
  <c r="P39" i="1"/>
  <c r="Q49" i="1"/>
  <c r="P38" i="1"/>
  <c r="Q48" i="1"/>
  <c r="Q3" i="1"/>
  <c r="Q46" i="1"/>
  <c r="Q36" i="1" s="1"/>
  <c r="N4" i="15"/>
  <c r="H1346" i="4"/>
  <c r="L36" i="14"/>
  <c r="H1344" i="4"/>
  <c r="H1345" i="4"/>
  <c r="G101" i="6"/>
  <c r="H95" i="15"/>
  <c r="F89" i="6"/>
  <c r="F79" i="6" s="1"/>
  <c r="G278" i="4"/>
  <c r="G89" i="6"/>
  <c r="Z338" i="12"/>
  <c r="Z328" i="12"/>
  <c r="R193" i="11"/>
  <c r="O52" i="14" s="1"/>
  <c r="N52" i="14"/>
  <c r="D473" i="4"/>
  <c r="D474" i="4" s="1"/>
  <c r="D475" i="4" s="1"/>
  <c r="D477" i="4" s="1"/>
  <c r="F101" i="6"/>
  <c r="F177" i="6"/>
  <c r="G177" i="6"/>
  <c r="R790" i="4"/>
  <c r="J94" i="15"/>
  <c r="F472" i="4"/>
  <c r="F479" i="4" s="1"/>
  <c r="E281" i="4"/>
  <c r="J93" i="15"/>
  <c r="K42" i="6"/>
  <c r="J51" i="6"/>
  <c r="I84" i="6"/>
  <c r="I87" i="6" s="1"/>
  <c r="I52" i="6"/>
  <c r="I57" i="6"/>
  <c r="I1345" i="4"/>
  <c r="I1344" i="4"/>
  <c r="L22" i="6"/>
  <c r="L255" i="4"/>
  <c r="M5" i="6"/>
  <c r="L253" i="4" s="1"/>
  <c r="N25" i="6"/>
  <c r="M31" i="6"/>
  <c r="M32" i="6" s="1"/>
  <c r="N2" i="6"/>
  <c r="L251" i="4"/>
  <c r="L277" i="4" s="1"/>
  <c r="L284" i="4" s="1"/>
  <c r="M104" i="6"/>
  <c r="M91" i="6" s="1"/>
  <c r="M21" i="6"/>
  <c r="M11" i="6"/>
  <c r="L256" i="4"/>
  <c r="K102" i="15"/>
  <c r="O13" i="6"/>
  <c r="N9" i="6"/>
  <c r="N4" i="6" s="1"/>
  <c r="N19" i="6" s="1"/>
  <c r="J102" i="15"/>
  <c r="M19" i="6"/>
  <c r="N29" i="6"/>
  <c r="J101" i="15"/>
  <c r="H558" i="4"/>
  <c r="H186" i="4"/>
  <c r="H189" i="4" s="1"/>
  <c r="N20" i="6"/>
  <c r="O17" i="6"/>
  <c r="O20" i="6" s="1"/>
  <c r="S134" i="19"/>
  <c r="S133" i="19"/>
  <c r="S135" i="19"/>
  <c r="N155" i="1"/>
  <c r="M156" i="1"/>
  <c r="R95" i="1"/>
  <c r="P38" i="15" s="1"/>
  <c r="S90" i="1"/>
  <c r="N126" i="15" s="1"/>
  <c r="R99" i="1"/>
  <c r="R100" i="1" s="1"/>
  <c r="R149" i="1"/>
  <c r="R150" i="1" s="1"/>
  <c r="M159" i="1"/>
  <c r="L162" i="1"/>
  <c r="L163" i="1" s="1"/>
  <c r="L166" i="1"/>
  <c r="N3" i="15"/>
  <c r="N48" i="15" s="1"/>
  <c r="N66" i="15" s="1"/>
  <c r="N91" i="15" s="1"/>
  <c r="N26" i="15"/>
  <c r="E73" i="15"/>
  <c r="N13" i="15"/>
  <c r="N15" i="15"/>
  <c r="Q43" i="15"/>
  <c r="D68" i="15"/>
  <c r="E133" i="1"/>
  <c r="F138" i="1"/>
  <c r="N19" i="15"/>
  <c r="O18" i="15"/>
  <c r="O70" i="15"/>
  <c r="F75" i="15"/>
  <c r="P45" i="15"/>
  <c r="Q82" i="15"/>
  <c r="Q84" i="15"/>
  <c r="O21" i="15"/>
  <c r="O20" i="15"/>
  <c r="K755" i="4"/>
  <c r="P10" i="15"/>
  <c r="J756" i="4"/>
  <c r="J767" i="4"/>
  <c r="M162" i="11"/>
  <c r="M146" i="11" s="1"/>
  <c r="N2" i="11"/>
  <c r="F1754" i="4" s="1"/>
  <c r="P255" i="11"/>
  <c r="P256" i="11" s="1"/>
  <c r="Q223" i="11"/>
  <c r="F42" i="14"/>
  <c r="F39" i="14"/>
  <c r="F38" i="14"/>
  <c r="F40" i="14"/>
  <c r="P261" i="11"/>
  <c r="Q259" i="11"/>
  <c r="P224" i="11"/>
  <c r="O262" i="11"/>
  <c r="R222" i="11"/>
  <c r="R245" i="11" s="1"/>
  <c r="Q254" i="11"/>
  <c r="O129" i="6"/>
  <c r="L185" i="4"/>
  <c r="L188" i="4" s="1"/>
  <c r="J85" i="15"/>
  <c r="I86" i="15"/>
  <c r="J29" i="11"/>
  <c r="J86" i="11" s="1"/>
  <c r="J88" i="15"/>
  <c r="J645" i="4"/>
  <c r="O41" i="15"/>
  <c r="I89" i="15"/>
  <c r="P34" i="15"/>
  <c r="L53" i="6"/>
  <c r="L85" i="6" s="1"/>
  <c r="M44" i="6"/>
  <c r="K86" i="6"/>
  <c r="K56" i="6"/>
  <c r="M34" i="6"/>
  <c r="L36" i="6"/>
  <c r="L38" i="6" s="1"/>
  <c r="K252" i="4" s="1"/>
  <c r="L48" i="6"/>
  <c r="M46" i="6"/>
  <c r="L55" i="6"/>
  <c r="AE224" i="12" l="1"/>
  <c r="AE296" i="12"/>
  <c r="Q1274" i="4"/>
  <c r="R1251" i="4"/>
  <c r="AE27" i="12"/>
  <c r="AE79" i="12" s="1"/>
  <c r="AE233" i="12"/>
  <c r="K1370" i="4"/>
  <c r="K1369" i="4" s="1"/>
  <c r="AE337" i="12"/>
  <c r="K1546" i="4"/>
  <c r="K1547" i="4" s="1"/>
  <c r="K1548" i="4" s="1"/>
  <c r="K1551" i="4" s="1"/>
  <c r="AE43" i="12"/>
  <c r="Q1250" i="4"/>
  <c r="P1274" i="4" s="1"/>
  <c r="Q224" i="11"/>
  <c r="Q246" i="11"/>
  <c r="Q247" i="11" s="1"/>
  <c r="N30" i="14" s="1"/>
  <c r="N31" i="14" s="1"/>
  <c r="O147" i="6"/>
  <c r="O92" i="6" s="1"/>
  <c r="R60" i="1"/>
  <c r="S69" i="1"/>
  <c r="S60" i="1" s="1"/>
  <c r="R28" i="1"/>
  <c r="Q47" i="1"/>
  <c r="Q37" i="1" s="1"/>
  <c r="Q4" i="1"/>
  <c r="O5" i="15" s="1"/>
  <c r="R142" i="1"/>
  <c r="S2" i="1"/>
  <c r="R82" i="1"/>
  <c r="Q80" i="1"/>
  <c r="Q61" i="1"/>
  <c r="Q76" i="1"/>
  <c r="Q77" i="1"/>
  <c r="Q55" i="1"/>
  <c r="Q64" i="1" s="1"/>
  <c r="S22" i="1"/>
  <c r="S24" i="1" s="1"/>
  <c r="R24" i="1"/>
  <c r="O4" i="15"/>
  <c r="R3" i="1"/>
  <c r="R46" i="1"/>
  <c r="R36" i="1" s="1"/>
  <c r="Q38" i="1"/>
  <c r="R48" i="1"/>
  <c r="Q39" i="1"/>
  <c r="R49" i="1"/>
  <c r="I1346" i="4"/>
  <c r="Z269" i="12"/>
  <c r="Z285" i="12"/>
  <c r="F1375" i="4" s="1"/>
  <c r="G472" i="4"/>
  <c r="G479" i="4" s="1"/>
  <c r="AH287" i="12"/>
  <c r="N1250" i="4"/>
  <c r="M1250" i="4"/>
  <c r="M1251" i="4" s="1"/>
  <c r="K93" i="15"/>
  <c r="J57" i="6"/>
  <c r="J84" i="6"/>
  <c r="J87" i="6" s="1"/>
  <c r="J52" i="6"/>
  <c r="I58" i="6"/>
  <c r="H278" i="4"/>
  <c r="L42" i="6"/>
  <c r="K51" i="6"/>
  <c r="O29" i="6"/>
  <c r="I186" i="4"/>
  <c r="I189" i="4" s="1"/>
  <c r="O2" i="6"/>
  <c r="M251" i="4"/>
  <c r="M277" i="4" s="1"/>
  <c r="M284" i="4" s="1"/>
  <c r="N104" i="6"/>
  <c r="N91" i="6" s="1"/>
  <c r="J186" i="4"/>
  <c r="J189" i="4" s="1"/>
  <c r="N21" i="6"/>
  <c r="N22" i="6" s="1"/>
  <c r="N11" i="6"/>
  <c r="M256" i="4"/>
  <c r="M22" i="6"/>
  <c r="O25" i="6"/>
  <c r="N31" i="6"/>
  <c r="N32" i="6" s="1"/>
  <c r="M255" i="4"/>
  <c r="N5" i="6"/>
  <c r="M253" i="4" s="1"/>
  <c r="O9" i="6"/>
  <c r="M162" i="1"/>
  <c r="M163" i="1" s="1"/>
  <c r="M166" i="1"/>
  <c r="S99" i="1"/>
  <c r="S100" i="1" s="1"/>
  <c r="S149" i="1"/>
  <c r="S150" i="1" s="1"/>
  <c r="S95" i="1"/>
  <c r="Q38" i="15" s="1"/>
  <c r="O155" i="1"/>
  <c r="N156" i="1"/>
  <c r="O13" i="15"/>
  <c r="O15" i="15"/>
  <c r="D73" i="15"/>
  <c r="P18" i="15"/>
  <c r="C68" i="15"/>
  <c r="E138" i="1"/>
  <c r="Q70" i="15"/>
  <c r="P70" i="15"/>
  <c r="Q45" i="15"/>
  <c r="O3" i="15"/>
  <c r="O48" i="15" s="1"/>
  <c r="O66" i="15" s="1"/>
  <c r="O91" i="15" s="1"/>
  <c r="O26" i="15"/>
  <c r="E75" i="15"/>
  <c r="O19" i="15"/>
  <c r="P21" i="15"/>
  <c r="P20" i="15"/>
  <c r="K767" i="4"/>
  <c r="K756" i="4"/>
  <c r="Q10" i="15"/>
  <c r="L755" i="4"/>
  <c r="Q255" i="11"/>
  <c r="Q256" i="11" s="1"/>
  <c r="R223" i="11"/>
  <c r="R254" i="11"/>
  <c r="M31" i="14"/>
  <c r="L132" i="15"/>
  <c r="Q261" i="11"/>
  <c r="R259" i="11"/>
  <c r="R261" i="11" s="1"/>
  <c r="P262" i="11"/>
  <c r="O2" i="11"/>
  <c r="G1754" i="4" s="1"/>
  <c r="N162" i="11"/>
  <c r="N146" i="11" s="1"/>
  <c r="M185" i="4"/>
  <c r="M188" i="4" s="1"/>
  <c r="J89" i="15"/>
  <c r="P41" i="15"/>
  <c r="K88" i="15"/>
  <c r="K85" i="15"/>
  <c r="J86" i="15"/>
  <c r="K29" i="11"/>
  <c r="Q34" i="15"/>
  <c r="M53" i="6"/>
  <c r="M85" i="6" s="1"/>
  <c r="N44" i="6"/>
  <c r="L56" i="6"/>
  <c r="L86" i="6"/>
  <c r="M48" i="6"/>
  <c r="N46" i="6"/>
  <c r="M55" i="6"/>
  <c r="M36" i="6"/>
  <c r="M38" i="6" s="1"/>
  <c r="L252" i="4" s="1"/>
  <c r="N34" i="6"/>
  <c r="I95" i="15"/>
  <c r="E473" i="4"/>
  <c r="K86" i="11" l="1"/>
  <c r="K32" i="11"/>
  <c r="M132" i="15"/>
  <c r="R255" i="11"/>
  <c r="R246" i="11"/>
  <c r="R247" i="11" s="1"/>
  <c r="O30" i="14" s="1"/>
  <c r="N1368" i="4"/>
  <c r="K1725" i="4"/>
  <c r="S82" i="1"/>
  <c r="S142" i="1"/>
  <c r="S28" i="1"/>
  <c r="R4" i="1"/>
  <c r="P5" i="15" s="1"/>
  <c r="R47" i="1"/>
  <c r="R37" i="1" s="1"/>
  <c r="S55" i="1"/>
  <c r="S80" i="1"/>
  <c r="S76" i="1"/>
  <c r="S61" i="1"/>
  <c r="S77" i="1"/>
  <c r="R55" i="1"/>
  <c r="R64" i="1" s="1"/>
  <c r="R61" i="1"/>
  <c r="R77" i="1"/>
  <c r="R76" i="1"/>
  <c r="R80" i="1"/>
  <c r="H1367" i="4"/>
  <c r="H1370" i="4"/>
  <c r="R38" i="1"/>
  <c r="S48" i="1"/>
  <c r="S38" i="1" s="1"/>
  <c r="P4" i="15"/>
  <c r="S3" i="1"/>
  <c r="T3" i="1" s="1"/>
  <c r="S46" i="1"/>
  <c r="S36" i="1" s="1"/>
  <c r="R39" i="1"/>
  <c r="S49" i="1"/>
  <c r="S39" i="1" s="1"/>
  <c r="H1375" i="4"/>
  <c r="N36" i="14"/>
  <c r="M36" i="14"/>
  <c r="R224" i="11"/>
  <c r="R256" i="11"/>
  <c r="R262" i="11" s="1"/>
  <c r="AL287" i="12"/>
  <c r="O1725" i="4" s="1"/>
  <c r="Q262" i="11"/>
  <c r="K101" i="15"/>
  <c r="L1266" i="4"/>
  <c r="H472" i="4"/>
  <c r="H479" i="4" s="1"/>
  <c r="L1274" i="4"/>
  <c r="M1274" i="4"/>
  <c r="N1251" i="4"/>
  <c r="L102" i="15"/>
  <c r="L93" i="15"/>
  <c r="D1279" i="4"/>
  <c r="L51" i="6"/>
  <c r="M42" i="6"/>
  <c r="J58" i="6"/>
  <c r="I278" i="4"/>
  <c r="K57" i="6"/>
  <c r="K52" i="6"/>
  <c r="K84" i="6"/>
  <c r="K87" i="6" s="1"/>
  <c r="O31" i="6"/>
  <c r="O32" i="6" s="1"/>
  <c r="K186" i="4"/>
  <c r="K189" i="4" s="1"/>
  <c r="O21" i="6"/>
  <c r="N256" i="4"/>
  <c r="O11" i="6"/>
  <c r="L101" i="15"/>
  <c r="O4" i="6"/>
  <c r="N251" i="4"/>
  <c r="N277" i="4" s="1"/>
  <c r="N284" i="4" s="1"/>
  <c r="O104" i="6"/>
  <c r="O91" i="6" s="1"/>
  <c r="M168" i="1"/>
  <c r="AF194" i="12"/>
  <c r="N162" i="1"/>
  <c r="N163" i="1" s="1"/>
  <c r="N159" i="1"/>
  <c r="N166" i="1" s="1"/>
  <c r="P155" i="1"/>
  <c r="O156" i="1"/>
  <c r="J1542" i="4"/>
  <c r="E140" i="1"/>
  <c r="C75" i="15" s="1"/>
  <c r="C73" i="15"/>
  <c r="P19" i="15"/>
  <c r="D75" i="15"/>
  <c r="Q18" i="15"/>
  <c r="P13" i="15"/>
  <c r="P15" i="15"/>
  <c r="P3" i="15"/>
  <c r="P48" i="15" s="1"/>
  <c r="P66" i="15" s="1"/>
  <c r="P91" i="15" s="1"/>
  <c r="P26" i="15"/>
  <c r="Q21" i="15"/>
  <c r="Q20" i="15"/>
  <c r="L767" i="4"/>
  <c r="L756" i="4"/>
  <c r="O162" i="11"/>
  <c r="O146" i="11" s="1"/>
  <c r="P2" i="11"/>
  <c r="H1754" i="4" s="1"/>
  <c r="K89" i="15"/>
  <c r="L138" i="11"/>
  <c r="L88" i="15"/>
  <c r="L85" i="15"/>
  <c r="Q41" i="15"/>
  <c r="K86" i="15"/>
  <c r="L29" i="11"/>
  <c r="O44" i="6"/>
  <c r="O53" i="6" s="1"/>
  <c r="O85" i="6" s="1"/>
  <c r="N53" i="6"/>
  <c r="N85" i="6" s="1"/>
  <c r="N36" i="6"/>
  <c r="N38" i="6" s="1"/>
  <c r="M252" i="4" s="1"/>
  <c r="O34" i="6"/>
  <c r="O36" i="6" s="1"/>
  <c r="O38" i="6" s="1"/>
  <c r="N252" i="4" s="1"/>
  <c r="C502" i="4"/>
  <c r="I96" i="15"/>
  <c r="M86" i="6"/>
  <c r="M56" i="6"/>
  <c r="N55" i="6"/>
  <c r="N48" i="6"/>
  <c r="O46" i="6"/>
  <c r="N132" i="15" l="1"/>
  <c r="O31" i="14"/>
  <c r="O36" i="14" s="1"/>
  <c r="S47" i="1"/>
  <c r="S37" i="1" s="1"/>
  <c r="S4" i="1"/>
  <c r="T4" i="1" s="1"/>
  <c r="H1369" i="4"/>
  <c r="I1367" i="4"/>
  <c r="I1370" i="4"/>
  <c r="S64" i="1"/>
  <c r="Q4" i="15"/>
  <c r="M1266" i="4"/>
  <c r="L1269" i="4"/>
  <c r="L1271" i="4" s="1"/>
  <c r="O1250" i="4"/>
  <c r="N1274" i="4" s="1"/>
  <c r="I1375" i="4"/>
  <c r="M93" i="15"/>
  <c r="F129" i="15"/>
  <c r="G63" i="6"/>
  <c r="G60" i="6"/>
  <c r="K58" i="6"/>
  <c r="J278" i="4"/>
  <c r="M51" i="6"/>
  <c r="N42" i="6"/>
  <c r="L57" i="6"/>
  <c r="L52" i="6"/>
  <c r="L84" i="6"/>
  <c r="L87" i="6" s="1"/>
  <c r="L186" i="4"/>
  <c r="L189" i="4" s="1"/>
  <c r="M102" i="15"/>
  <c r="N102" i="15"/>
  <c r="O19" i="6"/>
  <c r="O5" i="6"/>
  <c r="N253" i="4" s="1"/>
  <c r="N255" i="4"/>
  <c r="AH60" i="12"/>
  <c r="AH19" i="12" s="1"/>
  <c r="N1542" i="4" s="1"/>
  <c r="M169" i="1"/>
  <c r="AG194" i="12"/>
  <c r="Q155" i="1"/>
  <c r="P156" i="1"/>
  <c r="O162" i="1"/>
  <c r="O163" i="1" s="1"/>
  <c r="O159" i="1"/>
  <c r="Q26" i="15"/>
  <c r="Q3" i="15"/>
  <c r="Q48" i="15" s="1"/>
  <c r="Q66" i="15" s="1"/>
  <c r="Q91" i="15" s="1"/>
  <c r="Q19" i="15"/>
  <c r="Q13" i="15"/>
  <c r="Q15" i="15"/>
  <c r="P162" i="11"/>
  <c r="P146" i="11" s="1"/>
  <c r="Q2" i="11"/>
  <c r="I1754" i="4" s="1"/>
  <c r="L89" i="15"/>
  <c r="M138" i="11"/>
  <c r="L86" i="15"/>
  <c r="M29" i="11"/>
  <c r="M85" i="15"/>
  <c r="M88" i="15"/>
  <c r="O55" i="6"/>
  <c r="O48" i="6"/>
  <c r="N86" i="6"/>
  <c r="N56" i="6"/>
  <c r="G190" i="6"/>
  <c r="G193" i="6" s="1"/>
  <c r="G188" i="6"/>
  <c r="D502" i="4"/>
  <c r="D503" i="4" s="1"/>
  <c r="D505" i="4" s="1"/>
  <c r="D508" i="4" s="1"/>
  <c r="C503" i="4"/>
  <c r="C505" i="4" s="1"/>
  <c r="C508" i="4" s="1"/>
  <c r="Q5" i="15" l="1"/>
  <c r="I1369" i="4"/>
  <c r="H1371" i="4"/>
  <c r="M101" i="15"/>
  <c r="N101" i="15"/>
  <c r="M1269" i="4"/>
  <c r="M1271" i="4" s="1"/>
  <c r="O1251" i="4"/>
  <c r="L1268" i="4"/>
  <c r="N1266" i="4"/>
  <c r="N93" i="15"/>
  <c r="N791" i="4"/>
  <c r="J240" i="19"/>
  <c r="N169" i="1"/>
  <c r="L58" i="6"/>
  <c r="K278" i="4"/>
  <c r="N51" i="6"/>
  <c r="O42" i="6"/>
  <c r="O51" i="6" s="1"/>
  <c r="O57" i="6" s="1"/>
  <c r="M57" i="6"/>
  <c r="M84" i="6"/>
  <c r="M87" i="6" s="1"/>
  <c r="M52" i="6"/>
  <c r="O101" i="15"/>
  <c r="O102" i="15"/>
  <c r="O22" i="6"/>
  <c r="O166" i="1"/>
  <c r="AH194" i="12"/>
  <c r="M73" i="11"/>
  <c r="M75" i="11" s="1"/>
  <c r="N168" i="1"/>
  <c r="Q156" i="1"/>
  <c r="R155" i="1"/>
  <c r="P162" i="1"/>
  <c r="P163" i="1" s="1"/>
  <c r="P159" i="1"/>
  <c r="L73" i="11"/>
  <c r="L75" i="11" s="1"/>
  <c r="Q162" i="11"/>
  <c r="Q146" i="11" s="1"/>
  <c r="R2" i="11"/>
  <c r="R162" i="11" s="1"/>
  <c r="R146" i="11" s="1"/>
  <c r="N88" i="15"/>
  <c r="N85" i="15"/>
  <c r="M89" i="15"/>
  <c r="N138" i="11"/>
  <c r="M86" i="15"/>
  <c r="N29" i="11"/>
  <c r="O56" i="6"/>
  <c r="O86" i="6"/>
  <c r="M1268" i="4" l="1"/>
  <c r="I1371" i="4"/>
  <c r="AE327" i="12"/>
  <c r="O93" i="15"/>
  <c r="O169" i="1"/>
  <c r="M58" i="6"/>
  <c r="L278" i="4"/>
  <c r="N52" i="6"/>
  <c r="N84" i="6"/>
  <c r="N87" i="6" s="1"/>
  <c r="N57" i="6"/>
  <c r="O58" i="6" s="1"/>
  <c r="O52" i="6"/>
  <c r="O84" i="6"/>
  <c r="O87" i="6" s="1"/>
  <c r="K851" i="4"/>
  <c r="H1245" i="4"/>
  <c r="P102" i="15"/>
  <c r="M186" i="4"/>
  <c r="M189" i="4" s="1"/>
  <c r="P166" i="1"/>
  <c r="O168" i="1"/>
  <c r="AF184" i="12"/>
  <c r="AE176" i="12"/>
  <c r="AE183" i="12" s="1"/>
  <c r="S155" i="1"/>
  <c r="S156" i="1" s="1"/>
  <c r="R156" i="1"/>
  <c r="Q162" i="1"/>
  <c r="Q163" i="1" s="1"/>
  <c r="Q159" i="1"/>
  <c r="G1152" i="4"/>
  <c r="G1154" i="4" s="1"/>
  <c r="G1153" i="4"/>
  <c r="O85" i="15"/>
  <c r="N86" i="15"/>
  <c r="O29" i="11"/>
  <c r="O88" i="15"/>
  <c r="N89" i="15"/>
  <c r="O138" i="11"/>
  <c r="N278" i="4"/>
  <c r="N1269" i="4" l="1"/>
  <c r="N1271" i="4" s="1"/>
  <c r="P101" i="15"/>
  <c r="AF327" i="12"/>
  <c r="AF333" i="12" s="1"/>
  <c r="H1244" i="4"/>
  <c r="Q93" i="15"/>
  <c r="P93" i="15"/>
  <c r="N58" i="6"/>
  <c r="M278" i="4"/>
  <c r="I1245" i="4"/>
  <c r="Q166" i="1"/>
  <c r="P168" i="1"/>
  <c r="AE177" i="12"/>
  <c r="AE185" i="12"/>
  <c r="AE199" i="12"/>
  <c r="AE200" i="12" s="1"/>
  <c r="AE195" i="12" s="1"/>
  <c r="P169" i="1"/>
  <c r="AG184" i="12"/>
  <c r="AF178" i="12"/>
  <c r="AF176" i="12" s="1"/>
  <c r="R162" i="1"/>
  <c r="R163" i="1" s="1"/>
  <c r="R159" i="1"/>
  <c r="H1152" i="4"/>
  <c r="H1154" i="4" s="1"/>
  <c r="H1153" i="4"/>
  <c r="O89" i="15"/>
  <c r="P138" i="11"/>
  <c r="P85" i="15"/>
  <c r="P88" i="15"/>
  <c r="O86" i="15"/>
  <c r="P29" i="11"/>
  <c r="L851" i="4" l="1"/>
  <c r="N1268" i="4"/>
  <c r="I1244" i="4"/>
  <c r="M851" i="4"/>
  <c r="J1245" i="4"/>
  <c r="Q169" i="1"/>
  <c r="Q102" i="15"/>
  <c r="R166" i="1"/>
  <c r="Q168" i="1"/>
  <c r="AF183" i="12"/>
  <c r="AF185" i="12" s="1"/>
  <c r="AF177" i="12"/>
  <c r="AF199" i="12"/>
  <c r="AF200" i="12" s="1"/>
  <c r="AF195" i="12" s="1"/>
  <c r="AH184" i="12"/>
  <c r="AH178" i="12" s="1"/>
  <c r="AG178" i="12"/>
  <c r="AG176" i="12" s="1"/>
  <c r="S162" i="1"/>
  <c r="S163" i="1" s="1"/>
  <c r="S159" i="1"/>
  <c r="N73" i="11"/>
  <c r="N75" i="11" s="1"/>
  <c r="AO99" i="12"/>
  <c r="I1152" i="4"/>
  <c r="I1154" i="4" s="1"/>
  <c r="I1153" i="4"/>
  <c r="J76" i="11"/>
  <c r="P89" i="15"/>
  <c r="Q138" i="11"/>
  <c r="G56" i="14"/>
  <c r="J126" i="11"/>
  <c r="Q88" i="15"/>
  <c r="P86" i="15"/>
  <c r="Q29" i="11"/>
  <c r="J23" i="11"/>
  <c r="F121" i="15"/>
  <c r="J30" i="11"/>
  <c r="J32" i="11"/>
  <c r="J12" i="11"/>
  <c r="Q85" i="15"/>
  <c r="J34" i="11" l="1"/>
  <c r="J38" i="11"/>
  <c r="J39" i="11" s="1"/>
  <c r="J49" i="11"/>
  <c r="J24" i="11"/>
  <c r="J36" i="11"/>
  <c r="J35" i="11"/>
  <c r="J84" i="11"/>
  <c r="J79" i="11"/>
  <c r="Q101" i="15"/>
  <c r="E35" i="19"/>
  <c r="J52" i="11"/>
  <c r="J136" i="11"/>
  <c r="C1224" i="4"/>
  <c r="J1244" i="4"/>
  <c r="S166" i="1"/>
  <c r="R168" i="1"/>
  <c r="R169" i="1"/>
  <c r="AG177" i="12"/>
  <c r="AG183" i="12"/>
  <c r="AG185" i="12" s="1"/>
  <c r="AG199" i="12"/>
  <c r="AG200" i="12" s="1"/>
  <c r="AG195" i="12" s="1"/>
  <c r="Q89" i="15"/>
  <c r="R138" i="11"/>
  <c r="J150" i="11"/>
  <c r="J128" i="11"/>
  <c r="J129" i="11" s="1"/>
  <c r="Q86" i="15"/>
  <c r="R29" i="11"/>
  <c r="J13" i="11"/>
  <c r="F120" i="15"/>
  <c r="E675" i="4"/>
  <c r="J15" i="11"/>
  <c r="E638" i="4"/>
  <c r="E639" i="4" s="1"/>
  <c r="F857" i="4"/>
  <c r="C355" i="4"/>
  <c r="C369" i="4" s="1"/>
  <c r="J26" i="11"/>
  <c r="E474" i="4"/>
  <c r="E475" i="4" s="1"/>
  <c r="E477" i="4" s="1"/>
  <c r="C1107" i="4"/>
  <c r="J14" i="11"/>
  <c r="AA576" i="4"/>
  <c r="AA584" i="4" s="1"/>
  <c r="C20" i="16" l="1"/>
  <c r="J142" i="11"/>
  <c r="C1225" i="4"/>
  <c r="C1227" i="4" s="1"/>
  <c r="S168" i="1"/>
  <c r="S169" i="1"/>
  <c r="K58" i="1"/>
  <c r="O73" i="11"/>
  <c r="O75" i="11" s="1"/>
  <c r="J70" i="11"/>
  <c r="J122" i="11"/>
  <c r="E554" i="4"/>
  <c r="I97" i="15"/>
  <c r="J153" i="11"/>
  <c r="F858" i="4"/>
  <c r="J144" i="11"/>
  <c r="J57" i="11"/>
  <c r="J58" i="11" s="1"/>
  <c r="J151" i="11"/>
  <c r="F897" i="4"/>
  <c r="F898" i="4" s="1"/>
  <c r="F899" i="4" s="1"/>
  <c r="C1065" i="4"/>
  <c r="D937" i="3"/>
  <c r="J113" i="11"/>
  <c r="J149" i="11"/>
  <c r="F871" i="4"/>
  <c r="J42" i="11"/>
  <c r="J27" i="11"/>
  <c r="C356" i="4"/>
  <c r="C370" i="4" s="1"/>
  <c r="E676" i="4"/>
  <c r="N792" i="4"/>
  <c r="N693" i="4"/>
  <c r="K78" i="1" l="1"/>
  <c r="K59" i="1"/>
  <c r="F123" i="15"/>
  <c r="J123" i="11"/>
  <c r="G55" i="14"/>
  <c r="G57" i="14" s="1"/>
  <c r="G58" i="14" s="1"/>
  <c r="G59" i="14" s="1"/>
  <c r="D940" i="3"/>
  <c r="E937" i="3"/>
  <c r="F122" i="15"/>
  <c r="H867" i="4"/>
  <c r="G867" i="4"/>
  <c r="F867" i="4"/>
  <c r="F870" i="4" s="1"/>
  <c r="F872" i="4" s="1"/>
  <c r="J87" i="11"/>
  <c r="J89" i="11" s="1"/>
  <c r="C22" i="16" l="1"/>
  <c r="J92" i="11"/>
  <c r="J101" i="11"/>
  <c r="N694" i="4"/>
  <c r="K79" i="1"/>
  <c r="P73" i="11"/>
  <c r="P75" i="11" s="1"/>
  <c r="I867" i="4"/>
  <c r="R73" i="11" l="1"/>
  <c r="R75" i="11" s="1"/>
  <c r="Q73" i="11"/>
  <c r="Q75" i="11" s="1"/>
  <c r="J94" i="11"/>
  <c r="J112" i="11"/>
  <c r="J9" i="16" l="1"/>
  <c r="G44" i="14"/>
  <c r="J131" i="11"/>
  <c r="G110" i="14"/>
  <c r="J111" i="11"/>
  <c r="J103" i="11"/>
  <c r="J95" i="11"/>
  <c r="J96" i="11"/>
  <c r="H465" i="4"/>
  <c r="J147" i="11"/>
  <c r="C26" i="16" l="1"/>
  <c r="J117" i="11"/>
  <c r="J119" i="11" s="1"/>
  <c r="C1108" i="4" s="1"/>
  <c r="C1109" i="4" s="1"/>
  <c r="J114" i="11"/>
  <c r="K114" i="11" s="1"/>
  <c r="L114" i="11" s="1"/>
  <c r="M114" i="11" s="1"/>
  <c r="N114" i="11" s="1"/>
  <c r="O114" i="11" s="1"/>
  <c r="P114" i="11" s="1"/>
  <c r="Q114" i="11" s="1"/>
  <c r="R114" i="11" s="1"/>
  <c r="C1230" i="4"/>
  <c r="J158" i="11"/>
  <c r="G33" i="14" s="1"/>
  <c r="J106" i="11"/>
  <c r="C358" i="4"/>
  <c r="C372" i="4" s="1"/>
  <c r="AA577" i="4"/>
  <c r="AA585" i="4" s="1"/>
  <c r="J109" i="11"/>
  <c r="C510" i="4"/>
  <c r="E480" i="4"/>
  <c r="C1069" i="4"/>
  <c r="C1110" i="4" s="1"/>
  <c r="J107" i="11"/>
  <c r="D727" i="4"/>
  <c r="G43" i="14"/>
  <c r="E677" i="4"/>
  <c r="F124" i="15"/>
  <c r="C1013" i="4"/>
  <c r="J120" i="11" l="1"/>
  <c r="C1231" i="4"/>
  <c r="C1228" i="4"/>
  <c r="D732" i="4"/>
  <c r="F824" i="4"/>
  <c r="F130" i="15"/>
  <c r="G50" i="14"/>
  <c r="G61" i="14"/>
  <c r="D510" i="4"/>
  <c r="D512" i="4" s="1"/>
  <c r="D513" i="4" s="1"/>
  <c r="C512" i="4"/>
  <c r="C513" i="4" s="1"/>
  <c r="F134" i="15"/>
  <c r="F1152" i="4" l="1"/>
  <c r="F1154" i="4" s="1"/>
  <c r="F1153" i="4"/>
  <c r="C516" i="4"/>
  <c r="C517" i="4" s="1"/>
  <c r="C514" i="4"/>
  <c r="D514" i="4"/>
  <c r="D516" i="4"/>
  <c r="D517" i="4" s="1"/>
  <c r="J851" i="4" l="1"/>
  <c r="O694" i="4" l="1"/>
  <c r="Q694" i="4"/>
  <c r="P694" i="4"/>
  <c r="O693" i="4" l="1"/>
  <c r="O791" i="4"/>
  <c r="O792" i="4"/>
  <c r="P792" i="4"/>
  <c r="P693" i="4"/>
  <c r="P791" i="4"/>
  <c r="Q791" i="4" l="1"/>
  <c r="Q792" i="4"/>
  <c r="Q693" i="4"/>
  <c r="F279" i="4" l="1"/>
  <c r="G69" i="6"/>
  <c r="H69" i="6" s="1"/>
  <c r="G79" i="6"/>
  <c r="H79" i="6" s="1"/>
  <c r="I79" i="6" s="1"/>
  <c r="AJ285" i="12" l="1"/>
  <c r="AK285" i="12"/>
  <c r="AI80" i="12"/>
  <c r="F281" i="4"/>
  <c r="G70" i="6"/>
  <c r="J79" i="6"/>
  <c r="K79" i="6" s="1"/>
  <c r="L79" i="6" s="1"/>
  <c r="M79" i="6" s="1"/>
  <c r="N79" i="6" s="1"/>
  <c r="O79" i="6" s="1"/>
  <c r="I69" i="6"/>
  <c r="G281" i="4"/>
  <c r="H65" i="6"/>
  <c r="AK330" i="12" l="1"/>
  <c r="AK80" i="12"/>
  <c r="AJ330" i="12"/>
  <c r="AJ80" i="12"/>
  <c r="AI330" i="12"/>
  <c r="G279" i="4"/>
  <c r="H89" i="6"/>
  <c r="H62" i="6"/>
  <c r="H281" i="4"/>
  <c r="J69" i="6"/>
  <c r="I65" i="6"/>
  <c r="I89" i="6" s="1"/>
  <c r="K23" i="19" l="1"/>
  <c r="J14" i="17"/>
  <c r="J65" i="6"/>
  <c r="K69" i="6"/>
  <c r="I281" i="4"/>
  <c r="H279" i="4"/>
  <c r="I62" i="6"/>
  <c r="J25" i="17" s="1"/>
  <c r="G129" i="15"/>
  <c r="H60" i="6"/>
  <c r="H63" i="6"/>
  <c r="I14" i="17" l="1"/>
  <c r="P23" i="19"/>
  <c r="J96" i="15"/>
  <c r="AH167" i="12"/>
  <c r="N25" i="16"/>
  <c r="I63" i="6"/>
  <c r="I60" i="6"/>
  <c r="H129" i="15"/>
  <c r="J281" i="4"/>
  <c r="K65" i="6"/>
  <c r="L69" i="6"/>
  <c r="I279" i="4"/>
  <c r="J62" i="6"/>
  <c r="J36" i="17" s="1"/>
  <c r="J89" i="6"/>
  <c r="AH217" i="12" l="1"/>
  <c r="I25" i="17"/>
  <c r="K62" i="6"/>
  <c r="J47" i="17" s="1"/>
  <c r="K89" i="6"/>
  <c r="J279" i="4"/>
  <c r="J60" i="6"/>
  <c r="J63" i="6"/>
  <c r="I129" i="15"/>
  <c r="K96" i="15"/>
  <c r="K281" i="4"/>
  <c r="L65" i="6"/>
  <c r="M69" i="6"/>
  <c r="L281" i="4" l="1"/>
  <c r="M65" i="6"/>
  <c r="N69" i="6"/>
  <c r="K279" i="4"/>
  <c r="L62" i="6"/>
  <c r="L89" i="6"/>
  <c r="L96" i="15"/>
  <c r="K60" i="6"/>
  <c r="K63" i="6"/>
  <c r="J129" i="15"/>
  <c r="R791" i="4" l="1"/>
  <c r="M96" i="15"/>
  <c r="M281" i="4"/>
  <c r="N65" i="6"/>
  <c r="O69" i="6"/>
  <c r="K129" i="15"/>
  <c r="L60" i="6"/>
  <c r="L63" i="6"/>
  <c r="L279" i="4"/>
  <c r="M62" i="6"/>
  <c r="M89" i="6"/>
  <c r="AJ327" i="12" l="1"/>
  <c r="AJ333" i="12" s="1"/>
  <c r="AF324" i="12"/>
  <c r="Q1266" i="4"/>
  <c r="N96" i="15"/>
  <c r="L129" i="15"/>
  <c r="M60" i="6"/>
  <c r="M63" i="6"/>
  <c r="N281" i="4"/>
  <c r="O65" i="6"/>
  <c r="M279" i="4"/>
  <c r="N62" i="6"/>
  <c r="N89" i="6"/>
  <c r="AI327" i="12" l="1"/>
  <c r="AF340" i="12"/>
  <c r="AF341" i="12" s="1"/>
  <c r="L1371" i="4" s="1"/>
  <c r="AF334" i="12"/>
  <c r="Q1269" i="4"/>
  <c r="Q1271" i="4" s="1"/>
  <c r="O96" i="15"/>
  <c r="N279" i="4"/>
  <c r="O62" i="6"/>
  <c r="O89" i="6"/>
  <c r="M129" i="15"/>
  <c r="N60" i="6"/>
  <c r="N63" i="6"/>
  <c r="Q1268" i="4" l="1"/>
  <c r="N129" i="15"/>
  <c r="O60" i="6"/>
  <c r="O63" i="6"/>
  <c r="P96" i="15"/>
  <c r="Q96" i="15" l="1"/>
  <c r="AJ324" i="12" l="1"/>
  <c r="AJ334" i="12" l="1"/>
  <c r="AJ340" i="12"/>
  <c r="AJ341" i="12" s="1"/>
  <c r="I42" i="11" l="1"/>
  <c r="J43" i="11" s="1"/>
  <c r="F41" i="14" l="1"/>
  <c r="E122" i="15"/>
  <c r="I43" i="11"/>
  <c r="H101" i="15"/>
  <c r="H100" i="15" l="1"/>
  <c r="J138" i="1" l="1"/>
  <c r="H75" i="15"/>
  <c r="J133" i="1" l="1"/>
  <c r="H68" i="15" s="1"/>
  <c r="H73" i="15"/>
  <c r="I100" i="15" l="1"/>
  <c r="I75" i="15"/>
  <c r="J100" i="15" l="1"/>
  <c r="I103" i="15"/>
  <c r="G197" i="6" l="1"/>
  <c r="I112" i="15" s="1"/>
  <c r="I108" i="15"/>
  <c r="K100" i="15"/>
  <c r="J103" i="15"/>
  <c r="G199" i="6" l="1"/>
  <c r="G200" i="6" s="1"/>
  <c r="I115" i="15" s="1"/>
  <c r="L100" i="15"/>
  <c r="K103" i="15"/>
  <c r="G201" i="6"/>
  <c r="I116" i="15" s="1"/>
  <c r="I114" i="15"/>
  <c r="G203" i="6"/>
  <c r="G67" i="14" s="1"/>
  <c r="G46" i="14"/>
  <c r="M100" i="15" l="1"/>
  <c r="L103" i="15"/>
  <c r="M103" i="15" l="1"/>
  <c r="N100" i="15"/>
  <c r="O100" i="15" l="1"/>
  <c r="N103" i="15"/>
  <c r="Q100" i="15" l="1"/>
  <c r="O103" i="15"/>
  <c r="P100" i="15"/>
  <c r="P103" i="15" l="1"/>
  <c r="Q103" i="15"/>
  <c r="K19" i="1" l="1"/>
  <c r="K31" i="1"/>
  <c r="K32" i="1" s="1"/>
  <c r="K67" i="1"/>
  <c r="K83" i="1"/>
  <c r="K84" i="1" s="1"/>
  <c r="I28" i="15" s="1"/>
  <c r="E670" i="4"/>
  <c r="D757" i="4"/>
  <c r="E33" i="19"/>
  <c r="C925" i="3"/>
  <c r="E925" i="3" s="1"/>
  <c r="E943" i="3" s="1"/>
  <c r="G109" i="6"/>
  <c r="G112" i="6"/>
  <c r="I8" i="15"/>
  <c r="I27" i="15"/>
  <c r="F128" i="15"/>
  <c r="I9" i="15" l="1"/>
  <c r="K51" i="1"/>
  <c r="K41" i="1" s="1"/>
  <c r="I23" i="15"/>
  <c r="K71" i="1"/>
  <c r="K98" i="1"/>
  <c r="J40" i="11"/>
  <c r="C354" i="4"/>
  <c r="C368" i="4" s="1"/>
  <c r="I22" i="15"/>
  <c r="J33" i="11"/>
  <c r="K110" i="1"/>
  <c r="I46" i="15" s="1"/>
  <c r="K50" i="1"/>
  <c r="K92" i="1"/>
  <c r="I36" i="15" s="1"/>
  <c r="D758" i="4"/>
  <c r="K72" i="1"/>
  <c r="D768" i="4"/>
  <c r="C357" i="4" l="1"/>
  <c r="C371" i="4" s="1"/>
  <c r="H1748" i="4"/>
  <c r="K52" i="1"/>
  <c r="K40" i="1"/>
  <c r="K87" i="1" s="1"/>
  <c r="K139" i="1" s="1"/>
  <c r="K101" i="1"/>
  <c r="L102" i="1" s="1"/>
  <c r="I40" i="15"/>
  <c r="K68" i="1"/>
  <c r="K119" i="1"/>
  <c r="I55" i="15" s="1"/>
  <c r="K123" i="1" l="1"/>
  <c r="K86" i="1"/>
  <c r="K118" i="1" s="1"/>
  <c r="K103" i="1"/>
  <c r="K102" i="1"/>
  <c r="J270" i="11"/>
  <c r="J266" i="11"/>
  <c r="K266" i="11" s="1"/>
  <c r="L266" i="11" s="1"/>
  <c r="M266" i="11" s="1"/>
  <c r="N266" i="11" s="1"/>
  <c r="O266" i="11" s="1"/>
  <c r="P266" i="11" s="1"/>
  <c r="Q266" i="11" s="1"/>
  <c r="R266" i="11" s="1"/>
  <c r="I31" i="15"/>
  <c r="K88" i="1"/>
  <c r="I32" i="15" s="1"/>
  <c r="I30" i="15"/>
  <c r="K138" i="1"/>
  <c r="I73" i="15" s="1"/>
  <c r="I74" i="15"/>
  <c r="K125" i="1"/>
  <c r="K128" i="1" s="1"/>
  <c r="I59" i="15"/>
  <c r="M101" i="1" l="1"/>
  <c r="K133" i="1"/>
  <c r="I64" i="15"/>
  <c r="I61" i="15"/>
  <c r="J272" i="11"/>
  <c r="J156" i="11" s="1"/>
  <c r="J160" i="11" s="1"/>
  <c r="K120" i="1"/>
  <c r="I54" i="15"/>
  <c r="J40" i="15" l="1"/>
  <c r="M103" i="1"/>
  <c r="N101" i="1"/>
  <c r="M98" i="1"/>
  <c r="I68" i="15"/>
  <c r="J4" i="11"/>
  <c r="J6" i="11" s="1"/>
  <c r="I56" i="15"/>
  <c r="J198" i="11"/>
  <c r="J208" i="11" s="1"/>
  <c r="J212" i="11"/>
  <c r="J171" i="11"/>
  <c r="J183" i="11" s="1"/>
  <c r="I63" i="15"/>
  <c r="J12" i="17" l="1"/>
  <c r="M83" i="1"/>
  <c r="J23" i="17" s="1"/>
  <c r="K40" i="15"/>
  <c r="N103" i="1"/>
  <c r="O101" i="1"/>
  <c r="N98" i="1"/>
  <c r="L110" i="1"/>
  <c r="J46" i="15" s="1"/>
  <c r="D4" i="14"/>
  <c r="L92" i="1"/>
  <c r="J36" i="15" s="1"/>
  <c r="J27" i="15"/>
  <c r="D354" i="4"/>
  <c r="D368" i="4" s="1"/>
  <c r="L84" i="1"/>
  <c r="J28" i="15" s="1"/>
  <c r="J213" i="11"/>
  <c r="J209" i="11"/>
  <c r="F131" i="15"/>
  <c r="N645" i="4" l="1"/>
  <c r="I12" i="17"/>
  <c r="J1539" i="4"/>
  <c r="C1381" i="4"/>
  <c r="C1395" i="4" s="1"/>
  <c r="H1455" i="4"/>
  <c r="L31" i="1"/>
  <c r="L19" i="1"/>
  <c r="D32" i="19"/>
  <c r="J8" i="15"/>
  <c r="G128" i="15"/>
  <c r="F670" i="4"/>
  <c r="E757" i="4"/>
  <c r="D33" i="19"/>
  <c r="N83" i="1"/>
  <c r="J34" i="17" s="1"/>
  <c r="L40" i="15"/>
  <c r="O103" i="1"/>
  <c r="P101" i="1"/>
  <c r="O98" i="1"/>
  <c r="K9" i="19"/>
  <c r="M9" i="19" s="1"/>
  <c r="M92" i="1"/>
  <c r="K36" i="15" s="1"/>
  <c r="M84" i="1"/>
  <c r="M110" i="1"/>
  <c r="K46" i="15" s="1"/>
  <c r="AH159" i="12"/>
  <c r="M7" i="1"/>
  <c r="D1799" i="4" s="1"/>
  <c r="K27" i="15"/>
  <c r="E354" i="4"/>
  <c r="E368" i="4" s="1"/>
  <c r="F133" i="15"/>
  <c r="G34" i="14"/>
  <c r="G51" i="14"/>
  <c r="G53" i="14" s="1"/>
  <c r="I23" i="17" l="1"/>
  <c r="BJ159" i="12"/>
  <c r="P9" i="19"/>
  <c r="D1381" i="4"/>
  <c r="D5" i="13"/>
  <c r="D17" i="13" s="1"/>
  <c r="K10" i="19"/>
  <c r="AI159" i="12"/>
  <c r="N1539" i="4"/>
  <c r="K28" i="15"/>
  <c r="F1496" i="4"/>
  <c r="D1408" i="4"/>
  <c r="D1418" i="4" s="1"/>
  <c r="H1460" i="4"/>
  <c r="H1466" i="4" s="1"/>
  <c r="H1457" i="4"/>
  <c r="H1467" i="4" s="1"/>
  <c r="D1395" i="4"/>
  <c r="E1408" i="4"/>
  <c r="E1418" i="4" s="1"/>
  <c r="M19" i="1"/>
  <c r="M31" i="1"/>
  <c r="K8" i="15"/>
  <c r="G670" i="4"/>
  <c r="F757" i="4"/>
  <c r="H128" i="15"/>
  <c r="N17" i="16"/>
  <c r="N7" i="1"/>
  <c r="N92" i="1"/>
  <c r="L36" i="15" s="1"/>
  <c r="N84" i="1"/>
  <c r="N110" i="1"/>
  <c r="L46" i="15" s="1"/>
  <c r="L27" i="15"/>
  <c r="F354" i="4"/>
  <c r="F368" i="4" s="1"/>
  <c r="Q101" i="1"/>
  <c r="P103" i="1"/>
  <c r="P98" i="1"/>
  <c r="AH157" i="12"/>
  <c r="AH163" i="12"/>
  <c r="AH162" i="12" s="1"/>
  <c r="L32" i="1"/>
  <c r="J22" i="15"/>
  <c r="L50" i="1"/>
  <c r="E768" i="4"/>
  <c r="E758" i="4"/>
  <c r="O83" i="1"/>
  <c r="J45" i="17" s="1"/>
  <c r="M40" i="15"/>
  <c r="F554" i="4"/>
  <c r="J97" i="15"/>
  <c r="G41" i="14"/>
  <c r="G42" i="14"/>
  <c r="G47" i="14"/>
  <c r="G38" i="14"/>
  <c r="G39" i="14"/>
  <c r="G40" i="14"/>
  <c r="R792" i="4"/>
  <c r="E1381" i="4" l="1"/>
  <c r="E1395" i="4" s="1"/>
  <c r="E5" i="13"/>
  <c r="E17" i="13" s="1"/>
  <c r="H1462" i="4"/>
  <c r="H1465" i="4" s="1"/>
  <c r="H1468" i="4" s="1"/>
  <c r="L28" i="15"/>
  <c r="P83" i="1"/>
  <c r="N40" i="15"/>
  <c r="L40" i="1"/>
  <c r="L87" i="1" s="1"/>
  <c r="Q98" i="1"/>
  <c r="R101" i="1"/>
  <c r="Q103" i="1"/>
  <c r="N19" i="1"/>
  <c r="N31" i="1"/>
  <c r="L8" i="15"/>
  <c r="H670" i="4"/>
  <c r="I670" i="4" s="1"/>
  <c r="G757" i="4"/>
  <c r="I128" i="15"/>
  <c r="M32" i="1"/>
  <c r="K22" i="15"/>
  <c r="M50" i="1"/>
  <c r="O7" i="1"/>
  <c r="O92" i="1"/>
  <c r="M36" i="15" s="1"/>
  <c r="O110" i="1"/>
  <c r="M46" i="15" s="1"/>
  <c r="O84" i="1"/>
  <c r="M28" i="15" s="1"/>
  <c r="M27" i="15"/>
  <c r="L8" i="1"/>
  <c r="J9" i="15" s="1"/>
  <c r="J23" i="15"/>
  <c r="L51" i="1"/>
  <c r="L41" i="1" s="1"/>
  <c r="F768" i="4"/>
  <c r="F758" i="4"/>
  <c r="AH165" i="12"/>
  <c r="AH186" i="12" s="1"/>
  <c r="AH180" i="12"/>
  <c r="AH176" i="12" s="1"/>
  <c r="G554" i="4"/>
  <c r="K97" i="15"/>
  <c r="L139" i="1" l="1"/>
  <c r="L138" i="1" s="1"/>
  <c r="L123" i="1"/>
  <c r="L125" i="1" s="1"/>
  <c r="L128" i="1" s="1"/>
  <c r="F1408" i="4"/>
  <c r="F1418" i="4" s="1"/>
  <c r="F1381" i="4"/>
  <c r="F1395" i="4" s="1"/>
  <c r="F5" i="13"/>
  <c r="F17" i="13" s="1"/>
  <c r="G768" i="4"/>
  <c r="G758" i="4"/>
  <c r="R103" i="1"/>
  <c r="R98" i="1"/>
  <c r="S101" i="1"/>
  <c r="O31" i="1"/>
  <c r="M8" i="15"/>
  <c r="H757" i="4"/>
  <c r="J128" i="15"/>
  <c r="Q83" i="1"/>
  <c r="O40" i="15"/>
  <c r="M40" i="1"/>
  <c r="M87" i="1" s="1"/>
  <c r="L52" i="1"/>
  <c r="L88" i="1"/>
  <c r="J32" i="15" s="1"/>
  <c r="J74" i="15"/>
  <c r="L119" i="1"/>
  <c r="J55" i="15" s="1"/>
  <c r="J31" i="15"/>
  <c r="L86" i="1"/>
  <c r="M8" i="1"/>
  <c r="K9" i="15" s="1"/>
  <c r="K23" i="15"/>
  <c r="M51" i="1"/>
  <c r="M41" i="1" s="1"/>
  <c r="N32" i="1"/>
  <c r="L22" i="15"/>
  <c r="N50" i="1"/>
  <c r="AH183" i="12"/>
  <c r="AH185" i="12" s="1"/>
  <c r="AH199" i="12"/>
  <c r="AH177" i="12"/>
  <c r="P92" i="1"/>
  <c r="N36" i="15" s="1"/>
  <c r="P84" i="1"/>
  <c r="N28" i="15" s="1"/>
  <c r="P7" i="1"/>
  <c r="G5" i="13" s="1"/>
  <c r="G17" i="13" s="1"/>
  <c r="P110" i="1"/>
  <c r="N46" i="15" s="1"/>
  <c r="N27" i="15"/>
  <c r="M97" i="15"/>
  <c r="H554" i="4"/>
  <c r="L97" i="15"/>
  <c r="J64" i="15" l="1"/>
  <c r="J30" i="15"/>
  <c r="L118" i="1"/>
  <c r="M88" i="1"/>
  <c r="K32" i="15" s="1"/>
  <c r="M139" i="1"/>
  <c r="K74" i="15" s="1"/>
  <c r="M119" i="1"/>
  <c r="K55" i="15" s="1"/>
  <c r="K31" i="15"/>
  <c r="M123" i="1"/>
  <c r="M86" i="1"/>
  <c r="O32" i="1"/>
  <c r="M22" i="15"/>
  <c r="O50" i="1"/>
  <c r="R83" i="1"/>
  <c r="P40" i="15"/>
  <c r="Q110" i="1"/>
  <c r="O46" i="15" s="1"/>
  <c r="Q84" i="1"/>
  <c r="O28" i="15" s="1"/>
  <c r="Q7" i="1"/>
  <c r="Q92" i="1"/>
  <c r="O36" i="15" s="1"/>
  <c r="O27" i="15"/>
  <c r="P31" i="1"/>
  <c r="K128" i="15"/>
  <c r="N8" i="15"/>
  <c r="I757" i="4"/>
  <c r="N8" i="1"/>
  <c r="L23" i="15"/>
  <c r="N51" i="1"/>
  <c r="N41" i="1" s="1"/>
  <c r="K268" i="11"/>
  <c r="J59" i="15"/>
  <c r="K264" i="11"/>
  <c r="H768" i="4"/>
  <c r="H758" i="4"/>
  <c r="N40" i="1"/>
  <c r="N87" i="1" s="1"/>
  <c r="S98" i="1"/>
  <c r="S103" i="1"/>
  <c r="M52" i="1"/>
  <c r="N97" i="15"/>
  <c r="N128" i="1" l="1"/>
  <c r="K64" i="15"/>
  <c r="S83" i="1"/>
  <c r="Q40" i="15"/>
  <c r="K269" i="11"/>
  <c r="P32" i="1"/>
  <c r="N22" i="15"/>
  <c r="P50" i="1"/>
  <c r="N123" i="1"/>
  <c r="N88" i="1"/>
  <c r="L32" i="15" s="1"/>
  <c r="L31" i="15"/>
  <c r="N119" i="1"/>
  <c r="L55" i="15" s="1"/>
  <c r="N139" i="1"/>
  <c r="L74" i="15" s="1"/>
  <c r="N86" i="1"/>
  <c r="R84" i="1"/>
  <c r="P28" i="15" s="1"/>
  <c r="R110" i="1"/>
  <c r="P46" i="15" s="1"/>
  <c r="R7" i="1"/>
  <c r="R92" i="1"/>
  <c r="P36" i="15" s="1"/>
  <c r="P27" i="15"/>
  <c r="N52" i="1"/>
  <c r="O40" i="1"/>
  <c r="O87" i="1" s="1"/>
  <c r="L9" i="15"/>
  <c r="I768" i="4"/>
  <c r="I758" i="4"/>
  <c r="O8" i="1"/>
  <c r="M9" i="15" s="1"/>
  <c r="M23" i="15"/>
  <c r="O51" i="1"/>
  <c r="O41" i="1" s="1"/>
  <c r="L120" i="1"/>
  <c r="J54" i="15"/>
  <c r="K265" i="11"/>
  <c r="Q31" i="1"/>
  <c r="L128" i="15"/>
  <c r="J757" i="4"/>
  <c r="O8" i="15"/>
  <c r="M118" i="1"/>
  <c r="K30" i="15"/>
  <c r="J61" i="15"/>
  <c r="L268" i="11"/>
  <c r="M125" i="1"/>
  <c r="K59" i="15"/>
  <c r="L264" i="11"/>
  <c r="O97" i="15"/>
  <c r="L64" i="15" l="1"/>
  <c r="O128" i="1"/>
  <c r="K272" i="11"/>
  <c r="L59" i="15"/>
  <c r="M268" i="11"/>
  <c r="N125" i="1"/>
  <c r="M264" i="11"/>
  <c r="P40" i="1"/>
  <c r="P87" i="1" s="1"/>
  <c r="O139" i="1"/>
  <c r="M74" i="15" s="1"/>
  <c r="O123" i="1"/>
  <c r="M31" i="15"/>
  <c r="O119" i="1"/>
  <c r="M55" i="15" s="1"/>
  <c r="O88" i="1"/>
  <c r="M32" i="15" s="1"/>
  <c r="O86" i="1"/>
  <c r="Q32" i="1"/>
  <c r="O22" i="15"/>
  <c r="Q50" i="1"/>
  <c r="O52" i="1"/>
  <c r="L30" i="15"/>
  <c r="N118" i="1"/>
  <c r="P8" i="1"/>
  <c r="N9" i="15" s="1"/>
  <c r="N23" i="15"/>
  <c r="P51" i="1"/>
  <c r="P41" i="1" s="1"/>
  <c r="J768" i="4"/>
  <c r="J758" i="4"/>
  <c r="L265" i="11"/>
  <c r="L167" i="11"/>
  <c r="M120" i="1"/>
  <c r="K54" i="15"/>
  <c r="R31" i="1"/>
  <c r="K757" i="4"/>
  <c r="M128" i="15"/>
  <c r="P8" i="15"/>
  <c r="K61" i="15"/>
  <c r="M127" i="1"/>
  <c r="J63" i="15"/>
  <c r="L186" i="11"/>
  <c r="L269" i="11"/>
  <c r="J56" i="15"/>
  <c r="K4" i="11"/>
  <c r="S110" i="1"/>
  <c r="Q46" i="15" s="1"/>
  <c r="S84" i="1"/>
  <c r="Q28" i="15" s="1"/>
  <c r="S7" i="1"/>
  <c r="T7" i="1" s="1"/>
  <c r="S92" i="1"/>
  <c r="Q36" i="15" s="1"/>
  <c r="Q27" i="15"/>
  <c r="P97" i="15"/>
  <c r="P128" i="1" l="1"/>
  <c r="Q128" i="1" s="1"/>
  <c r="R128" i="1" s="1"/>
  <c r="S128" i="1" s="1"/>
  <c r="M64" i="15"/>
  <c r="J1541" i="4"/>
  <c r="P52" i="1"/>
  <c r="L272" i="11"/>
  <c r="K126" i="11"/>
  <c r="H56" i="14"/>
  <c r="K758" i="4"/>
  <c r="K768" i="4"/>
  <c r="L10" i="11"/>
  <c r="K63" i="15"/>
  <c r="O125" i="1"/>
  <c r="M59" i="15"/>
  <c r="N264" i="11"/>
  <c r="N268" i="11"/>
  <c r="P88" i="1"/>
  <c r="N32" i="15" s="1"/>
  <c r="N31" i="15"/>
  <c r="P139" i="1"/>
  <c r="N74" i="15" s="1"/>
  <c r="P119" i="1"/>
  <c r="N55" i="15" s="1"/>
  <c r="P123" i="1"/>
  <c r="P86" i="1"/>
  <c r="Q8" i="1"/>
  <c r="O9" i="15" s="1"/>
  <c r="O23" i="15"/>
  <c r="Q51" i="1"/>
  <c r="Q41" i="1" s="1"/>
  <c r="M265" i="11"/>
  <c r="M167" i="11"/>
  <c r="Q40" i="1"/>
  <c r="Q87" i="1" s="1"/>
  <c r="L61" i="15"/>
  <c r="N127" i="1"/>
  <c r="K56" i="15"/>
  <c r="L4" i="11"/>
  <c r="M269" i="11"/>
  <c r="M186" i="11"/>
  <c r="R32" i="1"/>
  <c r="P22" i="15"/>
  <c r="R50" i="1"/>
  <c r="S31" i="1"/>
  <c r="L757" i="4"/>
  <c r="N128" i="15"/>
  <c r="Q8" i="15"/>
  <c r="N120" i="1"/>
  <c r="M4" i="11" s="1"/>
  <c r="L54" i="15"/>
  <c r="O118" i="1"/>
  <c r="M30" i="15"/>
  <c r="Q97" i="15"/>
  <c r="N64" i="15" l="1"/>
  <c r="L758" i="4"/>
  <c r="L768" i="4"/>
  <c r="M272" i="11"/>
  <c r="N186" i="11"/>
  <c r="N269" i="11"/>
  <c r="L63" i="15"/>
  <c r="M10" i="11"/>
  <c r="L56" i="15"/>
  <c r="R40" i="1"/>
  <c r="R87" i="1" s="1"/>
  <c r="P125" i="1"/>
  <c r="O264" i="11"/>
  <c r="O268" i="11"/>
  <c r="N59" i="15"/>
  <c r="O127" i="1"/>
  <c r="M61" i="15"/>
  <c r="O120" i="1"/>
  <c r="M54" i="15"/>
  <c r="N30" i="15"/>
  <c r="P118" i="1"/>
  <c r="R8" i="1"/>
  <c r="P9" i="15" s="1"/>
  <c r="P23" i="15"/>
  <c r="R51" i="1"/>
  <c r="R41" i="1" s="1"/>
  <c r="Q123" i="1"/>
  <c r="O31" i="15"/>
  <c r="Q88" i="1"/>
  <c r="O32" i="15" s="1"/>
  <c r="Q119" i="1"/>
  <c r="O55" i="15" s="1"/>
  <c r="Q139" i="1"/>
  <c r="O74" i="15" s="1"/>
  <c r="Q86" i="1"/>
  <c r="L126" i="11"/>
  <c r="AH7" i="12"/>
  <c r="BJ7" i="12" s="1"/>
  <c r="I56" i="14"/>
  <c r="S32" i="1"/>
  <c r="Q22" i="15"/>
  <c r="S50" i="1"/>
  <c r="N265" i="11"/>
  <c r="N167" i="11"/>
  <c r="Q52" i="1"/>
  <c r="O64" i="15" l="1"/>
  <c r="N272" i="11"/>
  <c r="S8" i="1"/>
  <c r="Q23" i="15"/>
  <c r="S51" i="1"/>
  <c r="S41" i="1" s="1"/>
  <c r="M56" i="15"/>
  <c r="N4" i="11"/>
  <c r="O186" i="11"/>
  <c r="O269" i="11"/>
  <c r="O30" i="15"/>
  <c r="Q118" i="1"/>
  <c r="M63" i="15"/>
  <c r="N10" i="11"/>
  <c r="O265" i="11"/>
  <c r="O167" i="11"/>
  <c r="R119" i="1"/>
  <c r="P55" i="15" s="1"/>
  <c r="P31" i="15"/>
  <c r="R123" i="1"/>
  <c r="R139" i="1"/>
  <c r="P74" i="15" s="1"/>
  <c r="R88" i="1"/>
  <c r="P32" i="15" s="1"/>
  <c r="R86" i="1"/>
  <c r="P127" i="1"/>
  <c r="N61" i="15"/>
  <c r="P268" i="11"/>
  <c r="P264" i="11"/>
  <c r="O59" i="15"/>
  <c r="Q125" i="1"/>
  <c r="P120" i="1"/>
  <c r="N54" i="15"/>
  <c r="S40" i="1"/>
  <c r="S87" i="1" s="1"/>
  <c r="R52" i="1"/>
  <c r="J56" i="14"/>
  <c r="M126" i="11"/>
  <c r="Q64" i="15" l="1"/>
  <c r="P64" i="15"/>
  <c r="Q9" i="15"/>
  <c r="T8" i="1"/>
  <c r="S52" i="1"/>
  <c r="P59" i="15"/>
  <c r="R125" i="1"/>
  <c r="Q264" i="11"/>
  <c r="Q268" i="11"/>
  <c r="Q120" i="1"/>
  <c r="O54" i="15"/>
  <c r="O4" i="11"/>
  <c r="N56" i="15"/>
  <c r="O61" i="15"/>
  <c r="Q127" i="1"/>
  <c r="S119" i="1"/>
  <c r="Q55" i="15" s="1"/>
  <c r="S123" i="1"/>
  <c r="S88" i="1"/>
  <c r="Q32" i="15" s="1"/>
  <c r="S139" i="1"/>
  <c r="Q74" i="15" s="1"/>
  <c r="Q31" i="15"/>
  <c r="S86" i="1"/>
  <c r="P167" i="11"/>
  <c r="P265" i="11"/>
  <c r="O10" i="11"/>
  <c r="N63" i="15"/>
  <c r="R118" i="1"/>
  <c r="P30" i="15"/>
  <c r="O272" i="11"/>
  <c r="P186" i="11"/>
  <c r="P269" i="11"/>
  <c r="N126" i="11"/>
  <c r="K56" i="14"/>
  <c r="R120" i="1" l="1"/>
  <c r="P54" i="15"/>
  <c r="P10" i="11"/>
  <c r="O63" i="15"/>
  <c r="Q269" i="11"/>
  <c r="Q186" i="11"/>
  <c r="Q167" i="11"/>
  <c r="Q265" i="11"/>
  <c r="O126" i="11"/>
  <c r="L56" i="14"/>
  <c r="P61" i="15"/>
  <c r="R127" i="1"/>
  <c r="Q59" i="15"/>
  <c r="S125" i="1"/>
  <c r="R264" i="11"/>
  <c r="R268" i="11"/>
  <c r="P272" i="11"/>
  <c r="S118" i="1"/>
  <c r="Q30" i="15"/>
  <c r="O56" i="15"/>
  <c r="P4" i="11"/>
  <c r="Q272" i="11" l="1"/>
  <c r="Q54" i="15"/>
  <c r="S120" i="1"/>
  <c r="R269" i="11"/>
  <c r="R186" i="11"/>
  <c r="R167" i="11"/>
  <c r="R265" i="11"/>
  <c r="P63" i="15"/>
  <c r="Q10" i="11"/>
  <c r="Q61" i="15"/>
  <c r="S127" i="1"/>
  <c r="Q4" i="11"/>
  <c r="P56" i="15"/>
  <c r="P126" i="11"/>
  <c r="M56" i="14"/>
  <c r="R272" i="11" l="1"/>
  <c r="Q56" i="15"/>
  <c r="R4" i="11"/>
  <c r="Q126" i="11"/>
  <c r="N56" i="14"/>
  <c r="R10" i="11"/>
  <c r="Q63" i="15"/>
  <c r="R126" i="11" l="1"/>
  <c r="O56" i="14"/>
  <c r="AE247" i="12" l="1"/>
  <c r="J1367" i="4" l="1"/>
  <c r="AI247" i="12"/>
  <c r="AA243" i="12"/>
  <c r="AA246" i="12" s="1"/>
  <c r="AA247" i="12" s="1"/>
  <c r="AB243" i="12"/>
  <c r="AB246" i="12" s="1"/>
  <c r="AB247" i="12" s="1"/>
  <c r="AC243" i="12"/>
  <c r="AC246" i="12" l="1"/>
  <c r="AC247" i="12" s="1"/>
  <c r="AD277" i="12"/>
  <c r="AD280" i="12" s="1"/>
  <c r="AD281" i="12" s="1"/>
  <c r="AB277" i="12"/>
  <c r="AB280" i="12" s="1"/>
  <c r="AB281" i="12" s="1"/>
  <c r="AA277" i="12"/>
  <c r="AC277" i="12"/>
  <c r="AC280" i="12" s="1"/>
  <c r="AC281" i="12" s="1"/>
  <c r="AH80" i="12"/>
  <c r="AH330" i="12"/>
  <c r="I180" i="6"/>
  <c r="L66" i="11" s="1"/>
  <c r="AA280" i="12" l="1"/>
  <c r="K94" i="15"/>
  <c r="N1367" i="4"/>
  <c r="AA281" i="12" l="1"/>
  <c r="M95" i="15"/>
  <c r="L95" i="15" l="1"/>
  <c r="G473" i="4"/>
  <c r="I95" i="6"/>
  <c r="K95" i="15"/>
  <c r="F473" i="4"/>
  <c r="H95" i="6"/>
  <c r="J95" i="15"/>
  <c r="Q95" i="15"/>
  <c r="P95" i="15"/>
  <c r="O95" i="15"/>
  <c r="N95" i="15"/>
  <c r="F1279" i="4" l="1"/>
  <c r="L5" i="11"/>
  <c r="I190" i="6"/>
  <c r="I96" i="6"/>
  <c r="I185" i="6" s="1"/>
  <c r="I99" i="6"/>
  <c r="I100" i="6"/>
  <c r="I102" i="6"/>
  <c r="D36" i="19"/>
  <c r="E1279" i="4"/>
  <c r="K5" i="11"/>
  <c r="K6" i="11" s="1"/>
  <c r="H190" i="6"/>
  <c r="K66" i="11"/>
  <c r="K67" i="11" s="1"/>
  <c r="L67" i="11" s="1"/>
  <c r="H96" i="6"/>
  <c r="H185" i="6" s="1"/>
  <c r="H99" i="6"/>
  <c r="H100" i="6"/>
  <c r="H102" i="6"/>
  <c r="H101" i="6"/>
  <c r="I101" i="6"/>
  <c r="M67" i="11" l="1"/>
  <c r="N67" i="11" s="1"/>
  <c r="O67" i="11" s="1"/>
  <c r="P67" i="11" s="1"/>
  <c r="Q67" i="11" s="1"/>
  <c r="R67" i="11" s="1"/>
  <c r="L69" i="11"/>
  <c r="P24" i="19"/>
  <c r="K24" i="19"/>
  <c r="K150" i="11"/>
  <c r="K14" i="19"/>
  <c r="J1370" i="4"/>
  <c r="J1369" i="4" s="1"/>
  <c r="J1546" i="4"/>
  <c r="P1250" i="4"/>
  <c r="AF224" i="12"/>
  <c r="L7" i="11"/>
  <c r="AH68" i="12" l="1"/>
  <c r="L150" i="11"/>
  <c r="P14" i="19"/>
  <c r="O1274" i="4"/>
  <c r="P1251" i="4"/>
  <c r="L12" i="11"/>
  <c r="L76" i="11"/>
  <c r="L30" i="11"/>
  <c r="AH5" i="12"/>
  <c r="BJ5" i="12" s="1"/>
  <c r="H121" i="15"/>
  <c r="K12" i="11"/>
  <c r="K23" i="11"/>
  <c r="K76" i="11"/>
  <c r="K30" i="11"/>
  <c r="K38" i="11"/>
  <c r="G121" i="15"/>
  <c r="L194" i="11"/>
  <c r="D6" i="13" l="1"/>
  <c r="D18" i="13" s="1"/>
  <c r="C1809" i="4"/>
  <c r="C1825" i="4" s="1"/>
  <c r="K136" i="11"/>
  <c r="K79" i="11"/>
  <c r="K84" i="11"/>
  <c r="K49" i="11"/>
  <c r="K52" i="11"/>
  <c r="K24" i="11"/>
  <c r="AH78" i="12"/>
  <c r="AH31" i="12"/>
  <c r="K4" i="19"/>
  <c r="AH9" i="12"/>
  <c r="K33" i="11"/>
  <c r="K34" i="11"/>
  <c r="F638" i="4"/>
  <c r="F639" i="4" s="1"/>
  <c r="F1188" i="4"/>
  <c r="G1188" i="4"/>
  <c r="D1224" i="4"/>
  <c r="D34" i="19"/>
  <c r="D35" i="19" s="1"/>
  <c r="J16" i="17"/>
  <c r="D1107" i="4"/>
  <c r="H1188" i="4"/>
  <c r="AB576" i="4"/>
  <c r="AB584" i="4" s="1"/>
  <c r="I1188" i="4"/>
  <c r="D355" i="4"/>
  <c r="D369" i="4" s="1"/>
  <c r="C1382" i="4"/>
  <c r="C1188" i="4"/>
  <c r="D1188" i="4"/>
  <c r="K13" i="11"/>
  <c r="K14" i="11"/>
  <c r="K26" i="11"/>
  <c r="F474" i="4"/>
  <c r="F475" i="4" s="1"/>
  <c r="F477" i="4" s="1"/>
  <c r="E1188" i="4"/>
  <c r="F675" i="4"/>
  <c r="G120" i="15"/>
  <c r="G857" i="4"/>
  <c r="K15" i="11"/>
  <c r="G474" i="4"/>
  <c r="G475" i="4" s="1"/>
  <c r="G477" i="4" s="1"/>
  <c r="G675" i="4"/>
  <c r="H857" i="4"/>
  <c r="G638" i="4"/>
  <c r="E1224" i="4"/>
  <c r="J27" i="17"/>
  <c r="E1107" i="4"/>
  <c r="E355" i="4"/>
  <c r="E369" i="4" s="1"/>
  <c r="D1382" i="4"/>
  <c r="L13" i="11"/>
  <c r="L14" i="11"/>
  <c r="L78" i="11"/>
  <c r="L72" i="11" s="1"/>
  <c r="C1816" i="4" s="1"/>
  <c r="C1830" i="4" s="1"/>
  <c r="L83" i="11"/>
  <c r="AH71" i="12" s="1"/>
  <c r="L48" i="11"/>
  <c r="L51" i="11"/>
  <c r="L135" i="11"/>
  <c r="H120" i="15"/>
  <c r="L15" i="11"/>
  <c r="L198" i="11"/>
  <c r="G639" i="4" l="1"/>
  <c r="BJ9" i="12"/>
  <c r="K5" i="19"/>
  <c r="M4" i="19"/>
  <c r="C1755" i="4"/>
  <c r="I1748" i="4"/>
  <c r="P5" i="19"/>
  <c r="P4" i="19"/>
  <c r="L53" i="11"/>
  <c r="L151" i="11" s="1"/>
  <c r="L57" i="11"/>
  <c r="AH66" i="12"/>
  <c r="K53" i="11"/>
  <c r="K151" i="11" s="1"/>
  <c r="K57" i="11"/>
  <c r="K58" i="11" s="1"/>
  <c r="E1409" i="4"/>
  <c r="E1419" i="4" s="1"/>
  <c r="D1396" i="4"/>
  <c r="D1409" i="4"/>
  <c r="D1419" i="4" s="1"/>
  <c r="C1396" i="4"/>
  <c r="D1065" i="4"/>
  <c r="C1427" i="4"/>
  <c r="E1583" i="4"/>
  <c r="C1403" i="4"/>
  <c r="G871" i="4"/>
  <c r="K113" i="11"/>
  <c r="K149" i="11"/>
  <c r="I27" i="17"/>
  <c r="N1540" i="4"/>
  <c r="AH65" i="12"/>
  <c r="H871" i="4"/>
  <c r="E1065" i="4"/>
  <c r="D1427" i="4"/>
  <c r="F1583" i="4"/>
  <c r="D1403" i="4"/>
  <c r="L113" i="11"/>
  <c r="L149" i="11"/>
  <c r="AH69" i="12"/>
  <c r="F1585" i="4"/>
  <c r="H858" i="4"/>
  <c r="L153" i="11"/>
  <c r="L141" i="11"/>
  <c r="L144" i="11"/>
  <c r="AH139" i="12"/>
  <c r="AH140" i="12" s="1"/>
  <c r="G858" i="4"/>
  <c r="E1585" i="4"/>
  <c r="K153" i="11"/>
  <c r="K144" i="11"/>
  <c r="K35" i="11"/>
  <c r="K36" i="11"/>
  <c r="AI22" i="12"/>
  <c r="R693" i="4"/>
  <c r="F676" i="4"/>
  <c r="L58" i="1"/>
  <c r="L71" i="1"/>
  <c r="L72" i="1"/>
  <c r="D1225" i="4"/>
  <c r="C1400" i="4"/>
  <c r="K27" i="11"/>
  <c r="D356" i="4"/>
  <c r="D370" i="4" s="1"/>
  <c r="K70" i="11"/>
  <c r="C1383" i="4"/>
  <c r="C1397" i="4" s="1"/>
  <c r="D357" i="4"/>
  <c r="D371" i="4" s="1"/>
  <c r="I16" i="17"/>
  <c r="J1540" i="4"/>
  <c r="J1543" i="4" s="1"/>
  <c r="K7" i="19"/>
  <c r="M7" i="19" s="1"/>
  <c r="K6" i="19" l="1"/>
  <c r="P6" i="19"/>
  <c r="P7" i="19"/>
  <c r="C1756" i="4"/>
  <c r="L59" i="1"/>
  <c r="L67" i="1"/>
  <c r="L78" i="1"/>
  <c r="K142" i="11"/>
  <c r="J1544" i="4"/>
  <c r="J1547" i="4"/>
  <c r="J1548" i="4" s="1"/>
  <c r="J1551" i="4" s="1"/>
  <c r="H869" i="4"/>
  <c r="I869" i="4"/>
  <c r="E1427" i="4"/>
  <c r="L58" i="11"/>
  <c r="H868" i="4"/>
  <c r="H870" i="4" s="1"/>
  <c r="H872" i="4" s="1"/>
  <c r="I868" i="4"/>
  <c r="I870" i="4" s="1"/>
  <c r="G868" i="4"/>
  <c r="G870" i="4" s="1"/>
  <c r="G872" i="4" s="1"/>
  <c r="AH75" i="12"/>
  <c r="AH127" i="12"/>
  <c r="F1898" i="3"/>
  <c r="F1897" i="3"/>
  <c r="L180" i="11" l="1"/>
  <c r="L68" i="1"/>
  <c r="L79" i="1"/>
  <c r="P15" i="19" l="1"/>
  <c r="P16" i="19"/>
  <c r="P17" i="19"/>
  <c r="P19" i="19"/>
  <c r="P20" i="19"/>
  <c r="P21" i="19"/>
  <c r="P25" i="19"/>
  <c r="F1179" i="4" l="1"/>
  <c r="E1179" i="4" s="1"/>
  <c r="E1180" i="4" s="1"/>
  <c r="E1190" i="4" s="1"/>
  <c r="F1180" i="4"/>
  <c r="F1181" i="4" s="1"/>
  <c r="D1226" i="4"/>
  <c r="D1227" i="4" s="1"/>
  <c r="C1402" i="4"/>
  <c r="C1428" i="4"/>
  <c r="K42" i="11"/>
  <c r="K43" i="11" s="1"/>
  <c r="C1401" i="4"/>
  <c r="K122" i="11"/>
  <c r="K123" i="11" s="1"/>
  <c r="K128" i="11"/>
  <c r="K129" i="11" s="1"/>
  <c r="K15" i="19"/>
  <c r="I1179" i="4" l="1"/>
  <c r="I1180" i="4" s="1"/>
  <c r="I1190" i="4" s="1"/>
  <c r="H1179" i="4"/>
  <c r="H1180" i="4" s="1"/>
  <c r="H1181" i="4" s="1"/>
  <c r="H1182" i="4" s="1"/>
  <c r="G123" i="15"/>
  <c r="F1191" i="4"/>
  <c r="F1192" i="4" s="1"/>
  <c r="F1182" i="4"/>
  <c r="G122" i="15"/>
  <c r="C1404" i="4"/>
  <c r="D1179" i="4"/>
  <c r="D1180" i="4" s="1"/>
  <c r="D1181" i="4" s="1"/>
  <c r="F1190" i="4"/>
  <c r="C1179" i="4"/>
  <c r="C1180" i="4" s="1"/>
  <c r="C1190" i="4" s="1"/>
  <c r="H1190" i="4"/>
  <c r="H55" i="14"/>
  <c r="H57" i="14" s="1"/>
  <c r="H58" i="14" s="1"/>
  <c r="H59" i="14" s="1"/>
  <c r="K87" i="11"/>
  <c r="K89" i="11" s="1"/>
  <c r="K92" i="11" s="1"/>
  <c r="K17" i="19"/>
  <c r="E1181" i="4"/>
  <c r="I1181" i="4"/>
  <c r="G1179" i="4"/>
  <c r="G1180" i="4" s="1"/>
  <c r="H1191" i="4" l="1"/>
  <c r="H1192" i="4" s="1"/>
  <c r="D1190" i="4"/>
  <c r="C1181" i="4"/>
  <c r="J17" i="17"/>
  <c r="K94" i="11"/>
  <c r="K131" i="11" s="1"/>
  <c r="K101" i="11"/>
  <c r="J18" i="17" s="1"/>
  <c r="E1191" i="4"/>
  <c r="E1192" i="4" s="1"/>
  <c r="E1182" i="4"/>
  <c r="K16" i="19"/>
  <c r="M17" i="19"/>
  <c r="I17" i="17"/>
  <c r="G1181" i="4"/>
  <c r="G1190" i="4"/>
  <c r="AE92" i="12"/>
  <c r="AE95" i="12" s="1"/>
  <c r="AF67" i="12"/>
  <c r="AE87" i="12"/>
  <c r="AE25" i="12"/>
  <c r="AE72" i="12"/>
  <c r="AE73" i="12" s="1"/>
  <c r="BG73" i="12" s="1"/>
  <c r="AE24" i="12"/>
  <c r="AE121" i="12" s="1"/>
  <c r="I1182" i="4"/>
  <c r="I1191" i="4"/>
  <c r="I1192" i="4" s="1"/>
  <c r="C1191" i="4"/>
  <c r="C1192" i="4" s="1"/>
  <c r="C1182" i="4"/>
  <c r="D1191" i="4"/>
  <c r="D1192" i="4" s="1"/>
  <c r="D1182" i="4"/>
  <c r="AE32" i="12" l="1"/>
  <c r="BG32" i="12" s="1"/>
  <c r="AE30" i="12"/>
  <c r="J19" i="17"/>
  <c r="K103" i="11"/>
  <c r="H110" i="14"/>
  <c r="K111" i="11"/>
  <c r="K147" i="11"/>
  <c r="K156" i="11" s="1"/>
  <c r="K95" i="11"/>
  <c r="K96" i="11"/>
  <c r="H44" i="14"/>
  <c r="K112" i="11"/>
  <c r="R694" i="4"/>
  <c r="AE98" i="12"/>
  <c r="AE47" i="12"/>
  <c r="G1191" i="4"/>
  <c r="G1192" i="4" s="1"/>
  <c r="G1182" i="4"/>
  <c r="AE33" i="12"/>
  <c r="AF24" i="12"/>
  <c r="AF92" i="12"/>
  <c r="AF95" i="12" s="1"/>
  <c r="AG67" i="12"/>
  <c r="AF87" i="12"/>
  <c r="AF25" i="12"/>
  <c r="AF72" i="12"/>
  <c r="AF73" i="12" s="1"/>
  <c r="AF32" i="12" l="1"/>
  <c r="AF30" i="12"/>
  <c r="K115" i="11"/>
  <c r="K117" i="11" s="1"/>
  <c r="K119" i="11" s="1"/>
  <c r="D1108" i="4" s="1"/>
  <c r="D1109" i="4" s="1"/>
  <c r="H50" i="14"/>
  <c r="G130" i="15"/>
  <c r="K208" i="11"/>
  <c r="K158" i="11"/>
  <c r="H33" i="14" s="1"/>
  <c r="H32" i="14"/>
  <c r="C7" i="16" s="1"/>
  <c r="F677" i="4"/>
  <c r="G124" i="15"/>
  <c r="K106" i="11"/>
  <c r="K107" i="11"/>
  <c r="K109" i="11"/>
  <c r="D358" i="4"/>
  <c r="D372" i="4" s="1"/>
  <c r="H43" i="14"/>
  <c r="F8" i="17" s="1"/>
  <c r="F480" i="4"/>
  <c r="C998" i="4"/>
  <c r="C999" i="4" s="1"/>
  <c r="C1000" i="4" s="1"/>
  <c r="C1001" i="4" s="1"/>
  <c r="C1002" i="4" s="1"/>
  <c r="C1003" i="4" s="1"/>
  <c r="AB577" i="4"/>
  <c r="AB585" i="4" s="1"/>
  <c r="J20" i="17"/>
  <c r="C1435" i="4"/>
  <c r="C1384" i="4"/>
  <c r="D1013" i="4"/>
  <c r="D1069" i="4"/>
  <c r="D1110" i="4" s="1"/>
  <c r="D1230" i="4"/>
  <c r="D37" i="19"/>
  <c r="D38" i="19" s="1"/>
  <c r="E727" i="4"/>
  <c r="H61" i="14"/>
  <c r="AG72" i="12"/>
  <c r="AG73" i="12" s="1"/>
  <c r="BI73" i="12" s="1"/>
  <c r="AG24" i="12"/>
  <c r="AH96" i="12"/>
  <c r="AG92" i="12"/>
  <c r="AG95" i="12" s="1"/>
  <c r="AG25" i="12"/>
  <c r="AG87" i="12"/>
  <c r="AE102" i="12"/>
  <c r="AE126" i="12" s="1"/>
  <c r="F28" i="17"/>
  <c r="AE48" i="12"/>
  <c r="AE44" i="12"/>
  <c r="AE45" i="12" s="1"/>
  <c r="BH73" i="12"/>
  <c r="AF98" i="12"/>
  <c r="AF47" i="12"/>
  <c r="AF121" i="12"/>
  <c r="K120" i="11" l="1"/>
  <c r="AF33" i="12"/>
  <c r="BH32" i="12"/>
  <c r="AG32" i="12"/>
  <c r="AG30" i="12"/>
  <c r="AE105" i="12"/>
  <c r="AE125" i="12" s="1"/>
  <c r="AE129" i="12" s="1"/>
  <c r="AE131" i="12" s="1"/>
  <c r="I19" i="17"/>
  <c r="K19" i="19"/>
  <c r="M19" i="19" s="1"/>
  <c r="C1385" i="4"/>
  <c r="D1410" i="4"/>
  <c r="D1420" i="4" s="1"/>
  <c r="C1398" i="4"/>
  <c r="K160" i="11"/>
  <c r="K171" i="11" s="1"/>
  <c r="G824" i="4"/>
  <c r="E732" i="4"/>
  <c r="G133" i="15"/>
  <c r="H51" i="14"/>
  <c r="H53" i="14" s="1"/>
  <c r="H34" i="14"/>
  <c r="C9" i="16" s="1"/>
  <c r="G134" i="15"/>
  <c r="D1057" i="4"/>
  <c r="C1058" i="4" s="1"/>
  <c r="C1059" i="4" s="1"/>
  <c r="D1060" i="4" s="1"/>
  <c r="C1004" i="4"/>
  <c r="D1231" i="4"/>
  <c r="D1228" i="4"/>
  <c r="F9" i="17"/>
  <c r="AF44" i="12"/>
  <c r="AF45" i="12" s="1"/>
  <c r="AF48" i="12"/>
  <c r="G28" i="17"/>
  <c r="AF102" i="12"/>
  <c r="AF126" i="12" s="1"/>
  <c r="AG98" i="12"/>
  <c r="AG121" i="12"/>
  <c r="F30" i="17" l="1"/>
  <c r="AG33" i="12"/>
  <c r="BI32" i="12"/>
  <c r="AE107" i="12"/>
  <c r="AE110" i="12"/>
  <c r="AE111" i="12" s="1"/>
  <c r="AE106" i="12"/>
  <c r="AF105" i="12"/>
  <c r="G30" i="17" s="1"/>
  <c r="K1245" i="4"/>
  <c r="J1152" i="4"/>
  <c r="J1154" i="4" s="1"/>
  <c r="K20" i="19"/>
  <c r="I20" i="17"/>
  <c r="J1153" i="4"/>
  <c r="H38" i="14"/>
  <c r="H40" i="14"/>
  <c r="H41" i="14"/>
  <c r="H42" i="14"/>
  <c r="H39" i="14"/>
  <c r="H47" i="14"/>
  <c r="H28" i="17"/>
  <c r="AG102" i="12"/>
  <c r="AG126" i="12" s="1"/>
  <c r="AE144" i="12"/>
  <c r="M1245" i="4" s="1"/>
  <c r="AE133" i="12"/>
  <c r="F31" i="17"/>
  <c r="AE115" i="12" l="1"/>
  <c r="AE120" i="12" s="1"/>
  <c r="AF106" i="12"/>
  <c r="AF107" i="12"/>
  <c r="AF125" i="12"/>
  <c r="AF129" i="12" s="1"/>
  <c r="AF131" i="12" s="1"/>
  <c r="AF133" i="12" s="1"/>
  <c r="AF110" i="12"/>
  <c r="AF111" i="12" s="1"/>
  <c r="AG105" i="12"/>
  <c r="AG110" i="12" s="1"/>
  <c r="K21" i="19"/>
  <c r="M20" i="19"/>
  <c r="F7" i="17"/>
  <c r="K1244" i="4"/>
  <c r="AJ120" i="12"/>
  <c r="AJ121" i="12" s="1"/>
  <c r="AJ115" i="12"/>
  <c r="N851" i="4"/>
  <c r="M1244" i="4"/>
  <c r="BG115" i="12"/>
  <c r="AE122" i="12"/>
  <c r="AE136" i="12"/>
  <c r="AE137" i="12" s="1"/>
  <c r="AE134" i="12"/>
  <c r="G31" i="17" l="1"/>
  <c r="AF115" i="12"/>
  <c r="AG106" i="12"/>
  <c r="H30" i="17"/>
  <c r="AF144" i="12"/>
  <c r="N1245" i="4" s="1"/>
  <c r="AG125" i="12"/>
  <c r="AG129" i="12" s="1"/>
  <c r="AG131" i="12" s="1"/>
  <c r="AG133" i="12" s="1"/>
  <c r="AG107" i="12"/>
  <c r="H31" i="17"/>
  <c r="AG115" i="12"/>
  <c r="AG111" i="12"/>
  <c r="AF136" i="12"/>
  <c r="AF137" i="12" s="1"/>
  <c r="AF134" i="12"/>
  <c r="AF120" i="12"/>
  <c r="AF122" i="12" s="1"/>
  <c r="N1244" i="4"/>
  <c r="BH115" i="12"/>
  <c r="AG144" i="12" l="1"/>
  <c r="O1245" i="4" s="1"/>
  <c r="AG136" i="12"/>
  <c r="AG137" i="12" s="1"/>
  <c r="AG134" i="12"/>
  <c r="O1244" i="4"/>
  <c r="AG120" i="12"/>
  <c r="AG122" i="12" s="1"/>
  <c r="BI115" i="12"/>
  <c r="AE323" i="12" l="1"/>
  <c r="AE324" i="12" s="1"/>
  <c r="P1266" i="4" l="1"/>
  <c r="AE333" i="12"/>
  <c r="P1269" i="4" l="1"/>
  <c r="P1271" i="4" s="1"/>
  <c r="AE334" i="12"/>
  <c r="AE340" i="12"/>
  <c r="AE341" i="12" s="1"/>
  <c r="K1371" i="4" s="1"/>
  <c r="P1268" i="4" l="1"/>
  <c r="P1249" i="4"/>
  <c r="Q1251" i="4" s="1"/>
  <c r="O1266" i="4"/>
  <c r="O1269" i="4"/>
  <c r="O1271" i="4" s="1"/>
  <c r="J1371" i="4"/>
  <c r="J1374" i="4"/>
  <c r="J1375" i="4"/>
  <c r="K25" i="19"/>
  <c r="S132" i="19"/>
  <c r="S136" i="19" s="1"/>
  <c r="AE285" i="12"/>
  <c r="K1375" i="4" s="1"/>
  <c r="K181" i="11"/>
  <c r="K183" i="11" s="1"/>
  <c r="O1268" i="4" l="1"/>
  <c r="K209" i="11"/>
  <c r="G131" i="15"/>
  <c r="J75" i="15"/>
  <c r="L133" i="1"/>
  <c r="M133" i="1" s="1"/>
  <c r="J73" i="15"/>
  <c r="J68" i="15" l="1"/>
  <c r="N133" i="1"/>
  <c r="M138" i="1"/>
  <c r="K68" i="15"/>
  <c r="M140" i="1" l="1"/>
  <c r="K73" i="15"/>
  <c r="O133" i="1"/>
  <c r="L68" i="15"/>
  <c r="N138" i="1"/>
  <c r="N140" i="1" l="1"/>
  <c r="L73" i="15"/>
  <c r="M68" i="15"/>
  <c r="P133" i="1"/>
  <c r="O138" i="1"/>
  <c r="L22" i="11"/>
  <c r="K75" i="15"/>
  <c r="L24" i="11" l="1"/>
  <c r="AH10" i="12"/>
  <c r="AH16" i="12" s="1"/>
  <c r="L32" i="11"/>
  <c r="D1529" i="4" s="1"/>
  <c r="L26" i="11"/>
  <c r="L23" i="11"/>
  <c r="L18" i="11"/>
  <c r="L20" i="11" s="1"/>
  <c r="N68" i="15"/>
  <c r="P138" i="1"/>
  <c r="Q133" i="1"/>
  <c r="O140" i="1"/>
  <c r="M73" i="15"/>
  <c r="M22" i="11"/>
  <c r="L75" i="15"/>
  <c r="D1530" i="4" l="1"/>
  <c r="D1525" i="4"/>
  <c r="D1524" i="4" s="1"/>
  <c r="G1524" i="4" s="1"/>
  <c r="M18" i="11"/>
  <c r="M20" i="11"/>
  <c r="N1541" i="4"/>
  <c r="N1543" i="4" s="1"/>
  <c r="N1544" i="4" s="1"/>
  <c r="BJ10" i="12"/>
  <c r="AH13" i="12"/>
  <c r="AH59" i="12"/>
  <c r="AH21" i="12"/>
  <c r="AH29" i="12" s="1"/>
  <c r="M72" i="1"/>
  <c r="L70" i="11"/>
  <c r="E1225" i="4"/>
  <c r="M71" i="1"/>
  <c r="L142" i="11"/>
  <c r="M58" i="1"/>
  <c r="D1400" i="4"/>
  <c r="L27" i="11"/>
  <c r="E356" i="4"/>
  <c r="E370" i="4" s="1"/>
  <c r="G676" i="4"/>
  <c r="N22" i="11"/>
  <c r="M75" i="15"/>
  <c r="O68" i="15"/>
  <c r="Q138" i="1"/>
  <c r="R133" i="1"/>
  <c r="P140" i="1"/>
  <c r="N73" i="15"/>
  <c r="L33" i="11"/>
  <c r="C1810" i="4" s="1"/>
  <c r="L34" i="11"/>
  <c r="N18" i="11" l="1"/>
  <c r="N20" i="11"/>
  <c r="Q140" i="1"/>
  <c r="O73" i="15"/>
  <c r="AH62" i="12"/>
  <c r="AH61" i="12"/>
  <c r="BJ13" i="12"/>
  <c r="AH14" i="12"/>
  <c r="M67" i="1"/>
  <c r="M78" i="1"/>
  <c r="M59" i="1"/>
  <c r="L35" i="11"/>
  <c r="F1498" i="4" s="1"/>
  <c r="L36" i="11"/>
  <c r="D1383" i="4"/>
  <c r="D1397" i="4" s="1"/>
  <c r="E357" i="4"/>
  <c r="E371" i="4" s="1"/>
  <c r="D1755" i="4"/>
  <c r="R138" i="1"/>
  <c r="S133" i="1"/>
  <c r="P68" i="15"/>
  <c r="BJ21" i="12"/>
  <c r="AH22" i="12"/>
  <c r="AH38" i="12"/>
  <c r="AH201" i="12"/>
  <c r="AH200" i="12" s="1"/>
  <c r="AH195" i="12" s="1"/>
  <c r="N75" i="15"/>
  <c r="O22" i="11"/>
  <c r="AJ22" i="12" l="1"/>
  <c r="AH23" i="12"/>
  <c r="F1499" i="4"/>
  <c r="D1756" i="4"/>
  <c r="AH39" i="12"/>
  <c r="AH41" i="12" s="1"/>
  <c r="AH196" i="12"/>
  <c r="M68" i="1"/>
  <c r="M79" i="1"/>
  <c r="O75" i="15"/>
  <c r="P22" i="11"/>
  <c r="S138" i="1"/>
  <c r="Q68" i="15"/>
  <c r="R140" i="1"/>
  <c r="P73" i="15"/>
  <c r="O18" i="11"/>
  <c r="P75" i="15" l="1"/>
  <c r="Q22" i="11"/>
  <c r="P18" i="11"/>
  <c r="Q18" i="11" s="1"/>
  <c r="O20" i="11"/>
  <c r="S140" i="1"/>
  <c r="Q73" i="15"/>
  <c r="R22" i="11" l="1"/>
  <c r="Q75" i="15"/>
  <c r="Q20" i="11"/>
  <c r="P20" i="11"/>
  <c r="R18" i="11" l="1"/>
  <c r="R20" i="11"/>
  <c r="K39" i="11" l="1"/>
  <c r="K40" i="11"/>
  <c r="G1812" i="4"/>
  <c r="H1812" i="4"/>
  <c r="I1812" i="4"/>
  <c r="D1522" i="4"/>
  <c r="E1522" i="4"/>
  <c r="D1523" i="4"/>
  <c r="G1523" i="4" s="1"/>
  <c r="E1523" i="4"/>
  <c r="F184" i="4" l="1"/>
  <c r="F187" i="4"/>
  <c r="E1278" i="4"/>
  <c r="I105" i="6"/>
  <c r="H106" i="6"/>
  <c r="I106" i="6"/>
  <c r="H118" i="6"/>
  <c r="I118" i="6"/>
  <c r="H120" i="6"/>
  <c r="H132" i="6"/>
  <c r="H140" i="6"/>
  <c r="I140" i="6"/>
  <c r="J140" i="6" s="1"/>
  <c r="H169" i="6"/>
  <c r="K60" i="11" s="1"/>
  <c r="K61" i="11" s="1"/>
  <c r="L61" i="11" s="1"/>
  <c r="M61" i="11" s="1"/>
  <c r="N61" i="11" s="1"/>
  <c r="O61" i="11" s="1"/>
  <c r="P61" i="11" s="1"/>
  <c r="Q61" i="11" s="1"/>
  <c r="R61" i="11" s="1"/>
  <c r="H171" i="6"/>
  <c r="H172" i="6"/>
  <c r="H182" i="6"/>
  <c r="H183" i="6"/>
  <c r="H187" i="6"/>
  <c r="H188" i="6"/>
  <c r="H193" i="6"/>
  <c r="H199" i="6" s="1"/>
  <c r="H197" i="6"/>
  <c r="J112" i="15" s="1"/>
  <c r="AH238" i="12"/>
  <c r="J108" i="15"/>
  <c r="J114" i="15" l="1"/>
  <c r="H46" i="14"/>
  <c r="H200" i="6"/>
  <c r="J115" i="15" s="1"/>
  <c r="H201" i="6"/>
  <c r="J116" i="15" s="1"/>
  <c r="H203" i="6"/>
  <c r="H67" i="14" s="1"/>
  <c r="T1249" i="4"/>
  <c r="N1374" i="4"/>
  <c r="AI321" i="12"/>
  <c r="AI323" i="12" s="1"/>
  <c r="AI285" i="12"/>
  <c r="AH285" i="12"/>
  <c r="N1375" i="4" s="1"/>
  <c r="AH246" i="12"/>
  <c r="AH247" i="12" s="1"/>
  <c r="K140" i="6"/>
  <c r="J105" i="6"/>
  <c r="AH244" i="12"/>
  <c r="G184" i="4"/>
  <c r="G187" i="4" s="1"/>
  <c r="F1278" i="4"/>
  <c r="I135" i="6"/>
  <c r="I132" i="6"/>
  <c r="I169" i="6"/>
  <c r="I120" i="6"/>
  <c r="J143" i="6"/>
  <c r="J145" i="6" l="1"/>
  <c r="J93" i="6" s="1"/>
  <c r="AL280" i="12"/>
  <c r="L60" i="11"/>
  <c r="L62" i="11" s="1"/>
  <c r="I171" i="6"/>
  <c r="AH321" i="12"/>
  <c r="AH320" i="12" s="1"/>
  <c r="AI333" i="12"/>
  <c r="AI324" i="12"/>
  <c r="H184" i="4"/>
  <c r="H187" i="4" s="1"/>
  <c r="G1278" i="4"/>
  <c r="J135" i="6"/>
  <c r="J106" i="6"/>
  <c r="K169" i="6"/>
  <c r="N60" i="11" s="1"/>
  <c r="N62" i="11" s="1"/>
  <c r="J169" i="6"/>
  <c r="AL238" i="12"/>
  <c r="L140" i="6"/>
  <c r="L143" i="6" s="1"/>
  <c r="L145" i="6" s="1"/>
  <c r="L93" i="6" s="1"/>
  <c r="K105" i="6"/>
  <c r="K132" i="6" s="1"/>
  <c r="J132" i="6"/>
  <c r="K143" i="6"/>
  <c r="K145" i="6" s="1"/>
  <c r="K93" i="6" s="1"/>
  <c r="L95" i="6" l="1"/>
  <c r="L100" i="6" s="1"/>
  <c r="L180" i="6"/>
  <c r="O66" i="11" s="1"/>
  <c r="O69" i="11" s="1"/>
  <c r="N94" i="15"/>
  <c r="I187" i="6"/>
  <c r="I182" i="6"/>
  <c r="I183" i="6" s="1"/>
  <c r="I172" i="6"/>
  <c r="K95" i="6"/>
  <c r="K100" i="6" s="1"/>
  <c r="K180" i="6"/>
  <c r="N66" i="11" s="1"/>
  <c r="N69" i="11" s="1"/>
  <c r="K171" i="6"/>
  <c r="M94" i="15"/>
  <c r="D1402" i="4"/>
  <c r="C1815" i="4"/>
  <c r="C1829" i="4" s="1"/>
  <c r="D1428" i="4"/>
  <c r="E1428" i="4" s="1"/>
  <c r="L42" i="11"/>
  <c r="L38" i="11"/>
  <c r="L86" i="11"/>
  <c r="L128" i="11"/>
  <c r="L129" i="11" s="1"/>
  <c r="L122" i="11"/>
  <c r="E1226" i="4"/>
  <c r="E1227" i="4" s="1"/>
  <c r="AH67" i="12"/>
  <c r="AL281" i="12"/>
  <c r="AL284" i="12"/>
  <c r="M60" i="11"/>
  <c r="M62" i="11" s="1"/>
  <c r="AL321" i="12"/>
  <c r="AL320" i="12" s="1"/>
  <c r="AI340" i="12"/>
  <c r="AI341" i="12" s="1"/>
  <c r="AI334" i="12"/>
  <c r="H473" i="4"/>
  <c r="J95" i="6"/>
  <c r="J100" i="6"/>
  <c r="J180" i="6"/>
  <c r="M66" i="11" s="1"/>
  <c r="M69" i="11" s="1"/>
  <c r="J171" i="6"/>
  <c r="L94" i="15"/>
  <c r="G1226" i="4"/>
  <c r="F1402" i="4"/>
  <c r="E1815" i="4"/>
  <c r="E1829" i="4" s="1"/>
  <c r="N128" i="11"/>
  <c r="N129" i="11" s="1"/>
  <c r="I184" i="4"/>
  <c r="I187" i="4" s="1"/>
  <c r="K135" i="6"/>
  <c r="K106" i="6"/>
  <c r="L169" i="6"/>
  <c r="O60" i="11" s="1"/>
  <c r="O62" i="11" s="1"/>
  <c r="L105" i="6"/>
  <c r="L132" i="6" s="1"/>
  <c r="M140" i="6"/>
  <c r="AL244" i="12"/>
  <c r="AL246" i="12"/>
  <c r="AL247" i="12" s="1"/>
  <c r="M105" i="6" l="1"/>
  <c r="N140" i="6"/>
  <c r="M143" i="6"/>
  <c r="M145" i="6" s="1"/>
  <c r="M93" i="6" s="1"/>
  <c r="I188" i="6"/>
  <c r="I193" i="6"/>
  <c r="D21" i="16"/>
  <c r="H123" i="15"/>
  <c r="I55" i="14"/>
  <c r="I57" i="14" s="1"/>
  <c r="L123" i="11"/>
  <c r="K182" i="6"/>
  <c r="K183" i="6" s="1"/>
  <c r="K172" i="6"/>
  <c r="AH87" i="12"/>
  <c r="AH92" i="12"/>
  <c r="AH95" i="12" s="1"/>
  <c r="AH72" i="12"/>
  <c r="AH24" i="12"/>
  <c r="AH25" i="12"/>
  <c r="N150" i="11"/>
  <c r="O150" i="11"/>
  <c r="H1226" i="4"/>
  <c r="O128" i="11"/>
  <c r="O129" i="11" s="1"/>
  <c r="D1401" i="4"/>
  <c r="D1404" i="4" s="1"/>
  <c r="L87" i="11"/>
  <c r="L89" i="11" s="1"/>
  <c r="C1817" i="4"/>
  <c r="J182" i="6"/>
  <c r="J183" i="6" s="1"/>
  <c r="J172" i="6"/>
  <c r="F1226" i="4"/>
  <c r="E1402" i="4"/>
  <c r="G1402" i="4" s="1"/>
  <c r="D1815" i="4"/>
  <c r="D1829" i="4" s="1"/>
  <c r="M128" i="11"/>
  <c r="M129" i="11" s="1"/>
  <c r="C1811" i="4"/>
  <c r="L40" i="11"/>
  <c r="L39" i="11"/>
  <c r="D1800" i="4" s="1"/>
  <c r="L171" i="6"/>
  <c r="G1279" i="4"/>
  <c r="M5" i="11"/>
  <c r="J101" i="6"/>
  <c r="J96" i="6"/>
  <c r="J185" i="6" s="1"/>
  <c r="J187" i="6" s="1"/>
  <c r="J102" i="6"/>
  <c r="J190" i="6"/>
  <c r="N26" i="16"/>
  <c r="J99" i="6"/>
  <c r="J184" i="4"/>
  <c r="J187" i="4" s="1"/>
  <c r="L106" i="6"/>
  <c r="M169" i="6"/>
  <c r="P60" i="11" s="1"/>
  <c r="P62" i="11" s="1"/>
  <c r="L135" i="6"/>
  <c r="M132" i="6"/>
  <c r="M150" i="11"/>
  <c r="M194" i="11"/>
  <c r="AL285" i="12"/>
  <c r="AL264" i="12"/>
  <c r="L43" i="11"/>
  <c r="H122" i="15"/>
  <c r="K96" i="6"/>
  <c r="K185" i="6" s="1"/>
  <c r="K187" i="6" s="1"/>
  <c r="K102" i="6"/>
  <c r="K190" i="6"/>
  <c r="K101" i="6"/>
  <c r="K99" i="6"/>
  <c r="N5" i="11"/>
  <c r="O5" i="11"/>
  <c r="L96" i="6"/>
  <c r="L185" i="6" s="1"/>
  <c r="L102" i="6"/>
  <c r="L190" i="6"/>
  <c r="L101" i="6"/>
  <c r="L99" i="6"/>
  <c r="K193" i="6" l="1"/>
  <c r="K188" i="6"/>
  <c r="J188" i="6"/>
  <c r="J193" i="6"/>
  <c r="I197" i="6"/>
  <c r="K112" i="15" s="1"/>
  <c r="K108" i="15"/>
  <c r="I199" i="6"/>
  <c r="O7" i="11"/>
  <c r="C1812" i="4"/>
  <c r="C1826" i="4"/>
  <c r="C1831" i="4"/>
  <c r="C1814" i="4"/>
  <c r="C1828" i="4" s="1"/>
  <c r="C1819" i="4"/>
  <c r="C1833" i="4" s="1"/>
  <c r="J28" i="17"/>
  <c r="L101" i="11"/>
  <c r="J29" i="17" s="1"/>
  <c r="L94" i="11"/>
  <c r="L91" i="11"/>
  <c r="M171" i="6"/>
  <c r="M95" i="6"/>
  <c r="M100" i="6" s="1"/>
  <c r="M180" i="6"/>
  <c r="P66" i="11" s="1"/>
  <c r="P69" i="11" s="1"/>
  <c r="O94" i="15"/>
  <c r="I1226" i="4"/>
  <c r="AH121" i="12"/>
  <c r="I58" i="14"/>
  <c r="I59" i="14" s="1"/>
  <c r="N105" i="6"/>
  <c r="O143" i="6"/>
  <c r="O145" i="6" s="1"/>
  <c r="O93" i="6" s="1"/>
  <c r="O140" i="6"/>
  <c r="O105" i="6" s="1"/>
  <c r="AH30" i="12"/>
  <c r="AH32" i="12"/>
  <c r="N7" i="11"/>
  <c r="AL80" i="12"/>
  <c r="AL330" i="12"/>
  <c r="AH73" i="12"/>
  <c r="BJ73" i="12" s="1"/>
  <c r="AH98" i="12"/>
  <c r="N143" i="6"/>
  <c r="N145" i="6" s="1"/>
  <c r="N93" i="6" s="1"/>
  <c r="M198" i="11"/>
  <c r="N194" i="11"/>
  <c r="L187" i="6"/>
  <c r="L172" i="6"/>
  <c r="L182" i="6"/>
  <c r="L183" i="6" s="1"/>
  <c r="M7" i="11"/>
  <c r="D23" i="16"/>
  <c r="D22" i="16"/>
  <c r="K184" i="4"/>
  <c r="K187" i="4" s="1"/>
  <c r="M106" i="6"/>
  <c r="N169" i="6"/>
  <c r="Q60" i="11" s="1"/>
  <c r="Q62" i="11" s="1"/>
  <c r="M135" i="6"/>
  <c r="N132" i="6"/>
  <c r="P150" i="11" l="1"/>
  <c r="K114" i="15"/>
  <c r="I200" i="6"/>
  <c r="K115" i="15" s="1"/>
  <c r="I201" i="6"/>
  <c r="K116" i="15" s="1"/>
  <c r="I203" i="6"/>
  <c r="I67" i="14" s="1"/>
  <c r="J1226" i="4"/>
  <c r="P5" i="11"/>
  <c r="M99" i="6"/>
  <c r="M96" i="6"/>
  <c r="M185" i="6" s="1"/>
  <c r="M187" i="6" s="1"/>
  <c r="M102" i="6"/>
  <c r="M190" i="6"/>
  <c r="M101" i="6"/>
  <c r="O76" i="11"/>
  <c r="O32" i="11"/>
  <c r="O12" i="11"/>
  <c r="O23" i="11"/>
  <c r="O30" i="11"/>
  <c r="K121" i="15"/>
  <c r="L184" i="4"/>
  <c r="L187" i="4" s="1"/>
  <c r="N106" i="6"/>
  <c r="O169" i="6"/>
  <c r="R60" i="11" s="1"/>
  <c r="R62" i="11" s="1"/>
  <c r="O132" i="6"/>
  <c r="N135" i="6"/>
  <c r="N32" i="11"/>
  <c r="N12" i="11"/>
  <c r="N23" i="11"/>
  <c r="N30" i="11"/>
  <c r="N76" i="11"/>
  <c r="J121" i="15"/>
  <c r="M172" i="6"/>
  <c r="M182" i="6"/>
  <c r="M183" i="6" s="1"/>
  <c r="J197" i="6"/>
  <c r="L112" i="15" s="1"/>
  <c r="L108" i="15"/>
  <c r="J199" i="6"/>
  <c r="M32" i="11"/>
  <c r="M12" i="11"/>
  <c r="M23" i="11"/>
  <c r="M30" i="11"/>
  <c r="M76" i="11"/>
  <c r="I121" i="15"/>
  <c r="O180" i="6"/>
  <c r="R66" i="11" s="1"/>
  <c r="R69" i="11" s="1"/>
  <c r="O171" i="6"/>
  <c r="O95" i="6"/>
  <c r="Q94" i="15"/>
  <c r="BJ32" i="12"/>
  <c r="AH33" i="12"/>
  <c r="L112" i="11"/>
  <c r="AH102" i="12"/>
  <c r="N171" i="6"/>
  <c r="N180" i="6"/>
  <c r="Q66" i="11" s="1"/>
  <c r="Q69" i="11" s="1"/>
  <c r="Q128" i="11" s="1"/>
  <c r="Q129" i="11" s="1"/>
  <c r="N95" i="6"/>
  <c r="N100" i="6" s="1"/>
  <c r="P94" i="15"/>
  <c r="P128" i="11"/>
  <c r="P129" i="11" s="1"/>
  <c r="J30" i="17"/>
  <c r="L147" i="11"/>
  <c r="L156" i="11" s="1"/>
  <c r="L103" i="11"/>
  <c r="L132" i="11"/>
  <c r="L96" i="11"/>
  <c r="L95" i="11"/>
  <c r="C1820" i="4"/>
  <c r="C1834" i="4" s="1"/>
  <c r="L111" i="11"/>
  <c r="L115" i="11" s="1"/>
  <c r="L117" i="11" s="1"/>
  <c r="L119" i="11" s="1"/>
  <c r="I110" i="14"/>
  <c r="D7" i="13"/>
  <c r="D19" i="13" s="1"/>
  <c r="I44" i="14"/>
  <c r="Q44" i="14" s="1"/>
  <c r="I46" i="14"/>
  <c r="D24" i="16"/>
  <c r="K9" i="16" s="1"/>
  <c r="L193" i="6"/>
  <c r="L188" i="6"/>
  <c r="N198" i="11"/>
  <c r="O194" i="11"/>
  <c r="I28" i="17"/>
  <c r="AH105" i="12"/>
  <c r="M184" i="4"/>
  <c r="M187" i="4" s="1"/>
  <c r="O106" i="6"/>
  <c r="O135" i="6"/>
  <c r="K197" i="6"/>
  <c r="M112" i="15" s="1"/>
  <c r="M108" i="15"/>
  <c r="K199" i="6"/>
  <c r="M193" i="6" l="1"/>
  <c r="M188" i="6"/>
  <c r="L133" i="11"/>
  <c r="D27" i="16" s="1"/>
  <c r="K10" i="16" s="1"/>
  <c r="L158" i="11"/>
  <c r="I33" i="14" s="1"/>
  <c r="L206" i="11"/>
  <c r="R5" i="11"/>
  <c r="O99" i="6"/>
  <c r="O96" i="6"/>
  <c r="O185" i="6" s="1"/>
  <c r="O187" i="6" s="1"/>
  <c r="O102" i="6"/>
  <c r="O190" i="6"/>
  <c r="O101" i="6"/>
  <c r="M13" i="11"/>
  <c r="M24" i="11"/>
  <c r="M48" i="11"/>
  <c r="F355" i="4"/>
  <c r="F369" i="4" s="1"/>
  <c r="H638" i="4"/>
  <c r="I857" i="4"/>
  <c r="E1382" i="4"/>
  <c r="J38" i="17"/>
  <c r="M78" i="11"/>
  <c r="M72" i="11" s="1"/>
  <c r="H675" i="4"/>
  <c r="F1107" i="4"/>
  <c r="M14" i="11"/>
  <c r="M26" i="11"/>
  <c r="D1809" i="4"/>
  <c r="D1825" i="4" s="1"/>
  <c r="M135" i="11"/>
  <c r="M51" i="11"/>
  <c r="H474" i="4"/>
  <c r="H475" i="4" s="1"/>
  <c r="H477" i="4" s="1"/>
  <c r="F1224" i="4"/>
  <c r="M83" i="11"/>
  <c r="M122" i="11" s="1"/>
  <c r="I120" i="15"/>
  <c r="E6" i="13"/>
  <c r="E18" i="13" s="1"/>
  <c r="E19" i="16"/>
  <c r="E17" i="16"/>
  <c r="M15" i="11"/>
  <c r="K1226" i="4"/>
  <c r="R128" i="11"/>
  <c r="R129" i="11" s="1"/>
  <c r="O33" i="11"/>
  <c r="G1755" i="4" s="1"/>
  <c r="O38" i="11"/>
  <c r="O34" i="11"/>
  <c r="P194" i="11"/>
  <c r="O198" i="11"/>
  <c r="G480" i="4"/>
  <c r="G677" i="4"/>
  <c r="D1384" i="4"/>
  <c r="C1821" i="4"/>
  <c r="C1835" i="4" s="1"/>
  <c r="E1013" i="4"/>
  <c r="F727" i="4"/>
  <c r="C1591" i="4"/>
  <c r="J31" i="17"/>
  <c r="E1069" i="4"/>
  <c r="E1110" i="4" s="1"/>
  <c r="D1801" i="4"/>
  <c r="L107" i="11"/>
  <c r="E358" i="4"/>
  <c r="E372" i="4" s="1"/>
  <c r="L104" i="11"/>
  <c r="L106" i="11"/>
  <c r="E1230" i="4"/>
  <c r="D1435" i="4"/>
  <c r="L109" i="11"/>
  <c r="AH109" i="12" s="1"/>
  <c r="AH130" i="12" s="1"/>
  <c r="H124" i="15"/>
  <c r="D8" i="13"/>
  <c r="D20" i="13" s="1"/>
  <c r="D25" i="16"/>
  <c r="D26" i="16" s="1"/>
  <c r="I43" i="14"/>
  <c r="N172" i="6"/>
  <c r="N182" i="6"/>
  <c r="N183" i="6" s="1"/>
  <c r="O182" i="6"/>
  <c r="O183" i="6" s="1"/>
  <c r="O172" i="6"/>
  <c r="E1529" i="4"/>
  <c r="M34" i="11"/>
  <c r="M33" i="11"/>
  <c r="M38" i="11"/>
  <c r="L213" i="11"/>
  <c r="L160" i="11"/>
  <c r="L165" i="11" s="1"/>
  <c r="AH126" i="12"/>
  <c r="AH103" i="12"/>
  <c r="R150" i="11"/>
  <c r="L114" i="15"/>
  <c r="J203" i="6"/>
  <c r="J67" i="14" s="1"/>
  <c r="J200" i="6"/>
  <c r="L115" i="15" s="1"/>
  <c r="Q150" i="11"/>
  <c r="M114" i="15"/>
  <c r="K200" i="6"/>
  <c r="M115" i="15" s="1"/>
  <c r="K203" i="6"/>
  <c r="K67" i="14" s="1"/>
  <c r="E1108" i="4"/>
  <c r="E1109" i="4" s="1"/>
  <c r="L120" i="11"/>
  <c r="O100" i="6"/>
  <c r="L197" i="6"/>
  <c r="N112" i="15" s="1"/>
  <c r="N108" i="15"/>
  <c r="J49" i="17"/>
  <c r="N51" i="11"/>
  <c r="N13" i="11"/>
  <c r="N24" i="11"/>
  <c r="N48" i="11"/>
  <c r="J857" i="4"/>
  <c r="F1382" i="4"/>
  <c r="F1396" i="4" s="1"/>
  <c r="G1224" i="4"/>
  <c r="E1809" i="4"/>
  <c r="E1825" i="4" s="1"/>
  <c r="N135" i="11"/>
  <c r="N26" i="11"/>
  <c r="N83" i="11"/>
  <c r="J120" i="15"/>
  <c r="N78" i="11"/>
  <c r="N72" i="11" s="1"/>
  <c r="F17" i="16"/>
  <c r="G17" i="16" s="1"/>
  <c r="F6" i="13"/>
  <c r="F18" i="13" s="1"/>
  <c r="N14" i="11"/>
  <c r="F19" i="16"/>
  <c r="N15" i="11"/>
  <c r="N38" i="11"/>
  <c r="N33" i="11"/>
  <c r="N34" i="11"/>
  <c r="I30" i="17"/>
  <c r="AH106" i="12"/>
  <c r="AH107" i="12"/>
  <c r="AH110" i="12"/>
  <c r="AH125" i="12"/>
  <c r="AH129" i="12" s="1"/>
  <c r="AH131" i="12" s="1"/>
  <c r="Q5" i="11"/>
  <c r="N99" i="6"/>
  <c r="N96" i="6"/>
  <c r="N185" i="6" s="1"/>
  <c r="N187" i="6" s="1"/>
  <c r="N102" i="6"/>
  <c r="N190" i="6"/>
  <c r="N101" i="6"/>
  <c r="O14" i="11"/>
  <c r="O26" i="11"/>
  <c r="O51" i="11"/>
  <c r="O13" i="11"/>
  <c r="O24" i="11"/>
  <c r="O48" i="11"/>
  <c r="O135" i="11"/>
  <c r="H1224" i="4"/>
  <c r="O83" i="11"/>
  <c r="O78" i="11"/>
  <c r="O72" i="11" s="1"/>
  <c r="G6" i="13"/>
  <c r="G18" i="13" s="1"/>
  <c r="K120" i="15"/>
  <c r="O15" i="11"/>
  <c r="P7" i="11"/>
  <c r="O86" i="11" l="1"/>
  <c r="O87" i="11" s="1"/>
  <c r="L199" i="6"/>
  <c r="M123" i="11"/>
  <c r="E21" i="16"/>
  <c r="I123" i="15"/>
  <c r="J55" i="14"/>
  <c r="J57" i="14" s="1"/>
  <c r="E1810" i="4"/>
  <c r="F1755" i="4"/>
  <c r="F1383" i="4"/>
  <c r="F1397" i="4" s="1"/>
  <c r="N72" i="1"/>
  <c r="L20" i="16" s="1"/>
  <c r="N58" i="1"/>
  <c r="N71" i="1"/>
  <c r="L19" i="16" s="1"/>
  <c r="F356" i="4"/>
  <c r="F370" i="4" s="1"/>
  <c r="E1400" i="4"/>
  <c r="G1400" i="4" s="1"/>
  <c r="M27" i="11"/>
  <c r="M42" i="11"/>
  <c r="F1225" i="4"/>
  <c r="F1227" i="4" s="1"/>
  <c r="H676" i="4"/>
  <c r="E18" i="16"/>
  <c r="M70" i="11"/>
  <c r="I638" i="4"/>
  <c r="H639" i="4"/>
  <c r="O149" i="11"/>
  <c r="O113" i="11"/>
  <c r="O53" i="11"/>
  <c r="O151" i="11" s="1"/>
  <c r="O57" i="11"/>
  <c r="Q7" i="11"/>
  <c r="E1811" i="4"/>
  <c r="N40" i="11"/>
  <c r="N39" i="11"/>
  <c r="N86" i="11"/>
  <c r="E1525" i="4"/>
  <c r="E1524" i="4" s="1"/>
  <c r="E1530" i="4"/>
  <c r="M86" i="11"/>
  <c r="R7" i="11"/>
  <c r="P76" i="11"/>
  <c r="P32" i="11"/>
  <c r="P23" i="11"/>
  <c r="P12" i="11"/>
  <c r="P30" i="11"/>
  <c r="L121" i="15"/>
  <c r="L200" i="6"/>
  <c r="N115" i="15" s="1"/>
  <c r="L203" i="6"/>
  <c r="L67" i="14" s="1"/>
  <c r="N114" i="15"/>
  <c r="G8" i="17"/>
  <c r="K8" i="16"/>
  <c r="P72" i="1"/>
  <c r="P58" i="1"/>
  <c r="P71" i="1"/>
  <c r="H1225" i="4"/>
  <c r="H1227" i="4" s="1"/>
  <c r="O27" i="11"/>
  <c r="O42" i="11"/>
  <c r="O89" i="11"/>
  <c r="O70" i="11"/>
  <c r="O188" i="6"/>
  <c r="O193" i="6"/>
  <c r="F732" i="4"/>
  <c r="H824" i="4"/>
  <c r="D1398" i="4"/>
  <c r="D1385" i="4"/>
  <c r="E1410" i="4"/>
  <c r="E1420" i="4" s="1"/>
  <c r="L171" i="11"/>
  <c r="O1226" i="4"/>
  <c r="M1226" i="4"/>
  <c r="N1226" i="4"/>
  <c r="L208" i="11"/>
  <c r="H130" i="15"/>
  <c r="I50" i="14"/>
  <c r="I61" i="14"/>
  <c r="M36" i="11"/>
  <c r="E1756" i="4" s="1"/>
  <c r="M35" i="11"/>
  <c r="O39" i="11"/>
  <c r="O40" i="11"/>
  <c r="AH133" i="12"/>
  <c r="AH144" i="12"/>
  <c r="P1245" i="4" s="1"/>
  <c r="O72" i="1"/>
  <c r="M20" i="16" s="1"/>
  <c r="O58" i="1"/>
  <c r="O71" i="1"/>
  <c r="M19" i="16" s="1"/>
  <c r="F1400" i="4"/>
  <c r="N27" i="11"/>
  <c r="N42" i="11"/>
  <c r="G1225" i="4"/>
  <c r="G1227" i="4" s="1"/>
  <c r="F18" i="16"/>
  <c r="G18" i="16" s="1"/>
  <c r="N70" i="11"/>
  <c r="I31" i="17"/>
  <c r="AH111" i="12"/>
  <c r="AH115" i="12"/>
  <c r="F20" i="16"/>
  <c r="G19" i="16"/>
  <c r="J858" i="4"/>
  <c r="N153" i="11"/>
  <c r="N144" i="11"/>
  <c r="N141" i="11"/>
  <c r="N142" i="11" s="1"/>
  <c r="O141" i="11"/>
  <c r="O142" i="11" s="1"/>
  <c r="O153" i="11"/>
  <c r="O144" i="11"/>
  <c r="N122" i="11"/>
  <c r="N57" i="11"/>
  <c r="N58" i="11" s="1"/>
  <c r="N53" i="11"/>
  <c r="N151" i="11" s="1"/>
  <c r="L215" i="11"/>
  <c r="L214" i="11"/>
  <c r="I32" i="14" s="1"/>
  <c r="G1583" i="4"/>
  <c r="F1065" i="4"/>
  <c r="E1403" i="4"/>
  <c r="G1403" i="4" s="1"/>
  <c r="D1816" i="4"/>
  <c r="D1830" i="4" s="1"/>
  <c r="M113" i="11"/>
  <c r="I871" i="4"/>
  <c r="I872" i="4" s="1"/>
  <c r="M149" i="11"/>
  <c r="H134" i="15"/>
  <c r="D8" i="16"/>
  <c r="O122" i="11"/>
  <c r="N193" i="6"/>
  <c r="N188" i="6"/>
  <c r="M57" i="11"/>
  <c r="M58" i="11" s="1"/>
  <c r="M53" i="11"/>
  <c r="M151" i="11" s="1"/>
  <c r="E1231" i="4"/>
  <c r="E1228" i="4"/>
  <c r="D1591" i="4"/>
  <c r="D1592" i="4" s="1"/>
  <c r="E1591" i="4"/>
  <c r="C1592" i="4"/>
  <c r="Q194" i="11"/>
  <c r="P198" i="11"/>
  <c r="E20" i="16"/>
  <c r="G1585" i="4"/>
  <c r="M153" i="11"/>
  <c r="M144" i="11"/>
  <c r="I858" i="4"/>
  <c r="M141" i="11"/>
  <c r="E1396" i="4"/>
  <c r="K1382" i="4"/>
  <c r="F1409" i="4"/>
  <c r="F1419" i="4" s="1"/>
  <c r="D1811" i="4"/>
  <c r="M39" i="11"/>
  <c r="M40" i="11"/>
  <c r="N36" i="11"/>
  <c r="F1756" i="4" s="1"/>
  <c r="N35" i="11"/>
  <c r="E1816" i="4"/>
  <c r="E1830" i="4" s="1"/>
  <c r="N149" i="11"/>
  <c r="F1403" i="4"/>
  <c r="N113" i="11"/>
  <c r="E1755" i="4"/>
  <c r="F357" i="4"/>
  <c r="F371" i="4" s="1"/>
  <c r="E1383" i="4"/>
  <c r="E1397" i="4" s="1"/>
  <c r="D1810" i="4"/>
  <c r="O36" i="11"/>
  <c r="G1756" i="4" s="1"/>
  <c r="O35" i="11"/>
  <c r="M197" i="6"/>
  <c r="O112" i="15" s="1"/>
  <c r="O108" i="15"/>
  <c r="M199" i="6" l="1"/>
  <c r="M180" i="11"/>
  <c r="N180" i="11" s="1"/>
  <c r="O180" i="11" s="1"/>
  <c r="M142" i="11"/>
  <c r="O43" i="11"/>
  <c r="K122" i="15"/>
  <c r="P33" i="11"/>
  <c r="H1755" i="4" s="1"/>
  <c r="P38" i="11"/>
  <c r="P34" i="11"/>
  <c r="M43" i="11"/>
  <c r="I122" i="15"/>
  <c r="N197" i="6"/>
  <c r="P112" i="15" s="1"/>
  <c r="N199" i="6"/>
  <c r="P108" i="15"/>
  <c r="O91" i="11"/>
  <c r="O112" i="11" s="1"/>
  <c r="O101" i="11"/>
  <c r="AH134" i="12"/>
  <c r="AH136" i="12"/>
  <c r="AH137" i="12" s="1"/>
  <c r="P1244" i="4"/>
  <c r="AH120" i="12"/>
  <c r="AH122" i="12" s="1"/>
  <c r="AK115" i="12"/>
  <c r="AK116" i="12" s="1"/>
  <c r="BJ115" i="12"/>
  <c r="E1812" i="4"/>
  <c r="E1826" i="4"/>
  <c r="N123" i="11"/>
  <c r="K55" i="14"/>
  <c r="K57" i="14" s="1"/>
  <c r="F21" i="16"/>
  <c r="J123" i="15"/>
  <c r="R76" i="11"/>
  <c r="R32" i="11"/>
  <c r="R23" i="11"/>
  <c r="R12" i="11"/>
  <c r="R30" i="11"/>
  <c r="N121" i="15"/>
  <c r="J58" i="14"/>
  <c r="J59" i="14" s="1"/>
  <c r="F1401" i="4"/>
  <c r="F1404" i="4" s="1"/>
  <c r="E1817" i="4"/>
  <c r="N87" i="11"/>
  <c r="N89" i="11" s="1"/>
  <c r="M200" i="6"/>
  <c r="O115" i="15" s="1"/>
  <c r="M203" i="6"/>
  <c r="M67" i="14" s="1"/>
  <c r="O114" i="15"/>
  <c r="I51" i="14"/>
  <c r="I53" i="14" s="1"/>
  <c r="H133" i="15"/>
  <c r="I34" i="14"/>
  <c r="D7" i="16"/>
  <c r="D28" i="16" s="1"/>
  <c r="O197" i="6"/>
  <c r="Q112" i="15" s="1"/>
  <c r="Q108" i="15"/>
  <c r="P67" i="1"/>
  <c r="P78" i="1"/>
  <c r="P59" i="1"/>
  <c r="D1817" i="4"/>
  <c r="M87" i="11"/>
  <c r="M89" i="11" s="1"/>
  <c r="E1401" i="4"/>
  <c r="Q32" i="11"/>
  <c r="Q12" i="11"/>
  <c r="Q23" i="11"/>
  <c r="Q30" i="11"/>
  <c r="Q76" i="11"/>
  <c r="M121" i="15"/>
  <c r="N43" i="11"/>
  <c r="J122" i="15"/>
  <c r="O123" i="11"/>
  <c r="L55" i="14"/>
  <c r="L57" i="14" s="1"/>
  <c r="K123" i="15"/>
  <c r="O59" i="1"/>
  <c r="O67" i="1"/>
  <c r="O78" i="1"/>
  <c r="G9" i="17"/>
  <c r="K12" i="16"/>
  <c r="O58" i="11"/>
  <c r="N59" i="1"/>
  <c r="N67" i="1"/>
  <c r="N78" i="1"/>
  <c r="E23" i="16"/>
  <c r="E22" i="16"/>
  <c r="D1826" i="4"/>
  <c r="D1812" i="4"/>
  <c r="R194" i="11"/>
  <c r="R198" i="11" s="1"/>
  <c r="Q198" i="11"/>
  <c r="I1224" i="4"/>
  <c r="P14" i="11"/>
  <c r="P26" i="11"/>
  <c r="P51" i="11"/>
  <c r="P13" i="11"/>
  <c r="P24" i="11"/>
  <c r="P48" i="11"/>
  <c r="P122" i="11"/>
  <c r="P135" i="11"/>
  <c r="P78" i="11"/>
  <c r="P72" i="11" s="1"/>
  <c r="L120" i="15"/>
  <c r="P83" i="11"/>
  <c r="P15" i="11"/>
  <c r="O94" i="11" l="1"/>
  <c r="G1384" i="4"/>
  <c r="O111" i="11"/>
  <c r="O115" i="11" s="1"/>
  <c r="O117" i="11" s="1"/>
  <c r="O119" i="11" s="1"/>
  <c r="O120" i="11" s="1"/>
  <c r="O147" i="11"/>
  <c r="O156" i="11" s="1"/>
  <c r="O103" i="11"/>
  <c r="O96" i="11"/>
  <c r="O95" i="11"/>
  <c r="L110" i="14"/>
  <c r="G7" i="13"/>
  <c r="G19" i="13" s="1"/>
  <c r="O132" i="11"/>
  <c r="L46" i="14"/>
  <c r="L44" i="14"/>
  <c r="L201" i="6"/>
  <c r="N116" i="15" s="1"/>
  <c r="P86" i="11"/>
  <c r="P87" i="11" s="1"/>
  <c r="O68" i="1"/>
  <c r="O79" i="1"/>
  <c r="P68" i="1"/>
  <c r="P79" i="1"/>
  <c r="P36" i="11"/>
  <c r="H1756" i="4" s="1"/>
  <c r="P35" i="11"/>
  <c r="P40" i="11"/>
  <c r="P39" i="11"/>
  <c r="I38" i="14"/>
  <c r="D9" i="16"/>
  <c r="I47" i="14"/>
  <c r="I39" i="14"/>
  <c r="K4" i="16" s="1"/>
  <c r="I42" i="14"/>
  <c r="I40" i="14"/>
  <c r="K5" i="16" s="1"/>
  <c r="I41" i="14"/>
  <c r="K6" i="16" s="1"/>
  <c r="N68" i="1"/>
  <c r="N79" i="1"/>
  <c r="F23" i="16"/>
  <c r="G23" i="16" s="1"/>
  <c r="G21" i="16"/>
  <c r="F22" i="16"/>
  <c r="K58" i="14"/>
  <c r="K59" i="14" s="1"/>
  <c r="N200" i="6"/>
  <c r="P115" i="15" s="1"/>
  <c r="N203" i="6"/>
  <c r="N67" i="14" s="1"/>
  <c r="P114" i="15"/>
  <c r="R34" i="11"/>
  <c r="R33" i="11"/>
  <c r="R38" i="11"/>
  <c r="J1224" i="4"/>
  <c r="Q14" i="11"/>
  <c r="Q26" i="11"/>
  <c r="Q51" i="11"/>
  <c r="Q13" i="11"/>
  <c r="Q24" i="11"/>
  <c r="Q48" i="11"/>
  <c r="Q78" i="11"/>
  <c r="Q72" i="11" s="1"/>
  <c r="Q135" i="11"/>
  <c r="Q83" i="11"/>
  <c r="M120" i="15"/>
  <c r="Q15" i="11"/>
  <c r="Q34" i="11"/>
  <c r="Q33" i="11"/>
  <c r="I1755" i="4" s="1"/>
  <c r="Q38" i="11"/>
  <c r="O199" i="6"/>
  <c r="E1814" i="4"/>
  <c r="E1828" i="4" s="1"/>
  <c r="E1831" i="4"/>
  <c r="L58" i="14"/>
  <c r="L59" i="14" s="1"/>
  <c r="P149" i="11"/>
  <c r="P113" i="11"/>
  <c r="G1401" i="4"/>
  <c r="E1404" i="4"/>
  <c r="G1404" i="4" s="1"/>
  <c r="K1224" i="4"/>
  <c r="R14" i="11"/>
  <c r="R26" i="11"/>
  <c r="R51" i="11"/>
  <c r="R48" i="11"/>
  <c r="R78" i="11"/>
  <c r="R72" i="11" s="1"/>
  <c r="R24" i="11"/>
  <c r="R13" i="11"/>
  <c r="R83" i="11"/>
  <c r="R135" i="11"/>
  <c r="N120" i="15"/>
  <c r="R15" i="11"/>
  <c r="P123" i="11"/>
  <c r="M55" i="14"/>
  <c r="M57" i="14" s="1"/>
  <c r="L123" i="15"/>
  <c r="D1814" i="4"/>
  <c r="D1828" i="4" s="1"/>
  <c r="D1831" i="4"/>
  <c r="P53" i="11"/>
  <c r="P151" i="11" s="1"/>
  <c r="P57" i="11"/>
  <c r="P58" i="11" s="1"/>
  <c r="Q72" i="1"/>
  <c r="Q58" i="1"/>
  <c r="Q71" i="1"/>
  <c r="I1225" i="4"/>
  <c r="I1227" i="4" s="1"/>
  <c r="P89" i="11"/>
  <c r="P42" i="11"/>
  <c r="P27" i="11"/>
  <c r="P70" i="11"/>
  <c r="P141" i="11"/>
  <c r="P142" i="11" s="1"/>
  <c r="P153" i="11"/>
  <c r="P144" i="11"/>
  <c r="D1819" i="4"/>
  <c r="D1833" i="4" s="1"/>
  <c r="J39" i="17"/>
  <c r="M101" i="11"/>
  <c r="J40" i="17" s="1"/>
  <c r="M91" i="11"/>
  <c r="M112" i="11" s="1"/>
  <c r="M94" i="11"/>
  <c r="J50" i="17"/>
  <c r="E1819" i="4"/>
  <c r="E1833" i="4" s="1"/>
  <c r="N101" i="11"/>
  <c r="J51" i="17" s="1"/>
  <c r="N91" i="11"/>
  <c r="N112" i="11" s="1"/>
  <c r="R122" i="11" l="1"/>
  <c r="P180" i="11"/>
  <c r="R123" i="11"/>
  <c r="N123" i="15"/>
  <c r="O55" i="14"/>
  <c r="O57" i="14" s="1"/>
  <c r="P43" i="11"/>
  <c r="L122" i="15"/>
  <c r="P91" i="11"/>
  <c r="P112" i="11" s="1"/>
  <c r="P101" i="11"/>
  <c r="M1224" i="4"/>
  <c r="N1224" i="4"/>
  <c r="O1224" i="4"/>
  <c r="R72" i="1"/>
  <c r="R58" i="1"/>
  <c r="R71" i="1"/>
  <c r="Q27" i="11"/>
  <c r="Q42" i="11"/>
  <c r="J1225" i="4"/>
  <c r="J1227" i="4" s="1"/>
  <c r="Q70" i="11"/>
  <c r="Q67" i="1"/>
  <c r="Q78" i="1"/>
  <c r="Q59" i="1"/>
  <c r="R113" i="11"/>
  <c r="R149" i="11"/>
  <c r="Q40" i="11"/>
  <c r="Q39" i="11"/>
  <c r="Q113" i="11"/>
  <c r="Q149" i="11"/>
  <c r="R40" i="11"/>
  <c r="R39" i="11"/>
  <c r="H1230" i="4"/>
  <c r="O109" i="11"/>
  <c r="O107" i="11"/>
  <c r="K824" i="4" s="1"/>
  <c r="O104" i="11"/>
  <c r="O106" i="11"/>
  <c r="K124" i="15"/>
  <c r="G8" i="13"/>
  <c r="G20" i="13" s="1"/>
  <c r="O200" i="6"/>
  <c r="Q115" i="15" s="1"/>
  <c r="O203" i="6"/>
  <c r="O67" i="14" s="1"/>
  <c r="Q114" i="15"/>
  <c r="G7" i="17"/>
  <c r="K7" i="16"/>
  <c r="Q53" i="11"/>
  <c r="Q151" i="11" s="1"/>
  <c r="Q57" i="11"/>
  <c r="Q58" i="11" s="1"/>
  <c r="N94" i="11"/>
  <c r="Q141" i="11"/>
  <c r="Q142" i="11" s="1"/>
  <c r="Q144" i="11"/>
  <c r="Q153" i="11"/>
  <c r="Q36" i="11"/>
  <c r="I1756" i="4" s="1"/>
  <c r="Q35" i="11"/>
  <c r="R36" i="11"/>
  <c r="R35" i="11"/>
  <c r="M58" i="14"/>
  <c r="M59" i="14"/>
  <c r="Q122" i="11"/>
  <c r="R86" i="11"/>
  <c r="R87" i="11" s="1"/>
  <c r="R89" i="11" s="1"/>
  <c r="Q86" i="11"/>
  <c r="Q87" i="11" s="1"/>
  <c r="Q89" i="11" s="1"/>
  <c r="D1820" i="4"/>
  <c r="D1834" i="4" s="1"/>
  <c r="J41" i="17"/>
  <c r="M147" i="11"/>
  <c r="M156" i="11" s="1"/>
  <c r="M103" i="11"/>
  <c r="M132" i="11"/>
  <c r="M96" i="11"/>
  <c r="J70" i="17"/>
  <c r="M111" i="11"/>
  <c r="M115" i="11" s="1"/>
  <c r="M117" i="11" s="1"/>
  <c r="M119" i="11" s="1"/>
  <c r="M95" i="11"/>
  <c r="E7" i="13"/>
  <c r="E19" i="13" s="1"/>
  <c r="J44" i="14"/>
  <c r="AE1694" i="4" s="1"/>
  <c r="J46" i="14"/>
  <c r="J110" i="14"/>
  <c r="E24" i="16"/>
  <c r="L9" i="16" s="1"/>
  <c r="J201" i="6"/>
  <c r="L116" i="15" s="1"/>
  <c r="M206" i="11"/>
  <c r="R57" i="11"/>
  <c r="R53" i="11"/>
  <c r="R151" i="11" s="1"/>
  <c r="R141" i="11"/>
  <c r="R142" i="11" s="1"/>
  <c r="R153" i="11"/>
  <c r="R144" i="11"/>
  <c r="S72" i="1"/>
  <c r="S58" i="1"/>
  <c r="R27" i="11"/>
  <c r="R42" i="11"/>
  <c r="K1225" i="4"/>
  <c r="S71" i="1"/>
  <c r="R70" i="11"/>
  <c r="O158" i="11"/>
  <c r="O160" i="11" s="1"/>
  <c r="O133" i="11"/>
  <c r="Q180" i="11" l="1"/>
  <c r="R58" i="11"/>
  <c r="Q91" i="11"/>
  <c r="Q112" i="11" s="1"/>
  <c r="Q101" i="11"/>
  <c r="R101" i="11"/>
  <c r="R91" i="11"/>
  <c r="R112" i="11" s="1"/>
  <c r="J52" i="17"/>
  <c r="N111" i="11"/>
  <c r="N115" i="11" s="1"/>
  <c r="N117" i="11" s="1"/>
  <c r="N119" i="11" s="1"/>
  <c r="N120" i="11" s="1"/>
  <c r="N147" i="11"/>
  <c r="N156" i="11" s="1"/>
  <c r="T94" i="11"/>
  <c r="N103" i="11"/>
  <c r="N132" i="11"/>
  <c r="N95" i="11"/>
  <c r="E1820" i="4"/>
  <c r="E1834" i="4" s="1"/>
  <c r="K110" i="14"/>
  <c r="F7" i="13"/>
  <c r="F19" i="13" s="1"/>
  <c r="F24" i="16"/>
  <c r="N96" i="11"/>
  <c r="K44" i="14"/>
  <c r="K46" i="14"/>
  <c r="K201" i="6"/>
  <c r="M116" i="15" s="1"/>
  <c r="H1231" i="4"/>
  <c r="H1228" i="4"/>
  <c r="R43" i="11"/>
  <c r="N122" i="15"/>
  <c r="Q68" i="1"/>
  <c r="Q79" i="1"/>
  <c r="P94" i="11"/>
  <c r="AD1694" i="4"/>
  <c r="AE1698" i="4"/>
  <c r="N206" i="11"/>
  <c r="I130" i="15"/>
  <c r="J50" i="14"/>
  <c r="M208" i="11"/>
  <c r="R67" i="1"/>
  <c r="R78" i="1"/>
  <c r="R59" i="1"/>
  <c r="S67" i="1"/>
  <c r="S78" i="1"/>
  <c r="S59" i="1"/>
  <c r="F1108" i="4"/>
  <c r="F1109" i="4" s="1"/>
  <c r="M120" i="11"/>
  <c r="M1225" i="4"/>
  <c r="O1225" i="4"/>
  <c r="K1227" i="4"/>
  <c r="N1225" i="4"/>
  <c r="M160" i="11"/>
  <c r="M165" i="11" s="1"/>
  <c r="M213" i="11"/>
  <c r="R180" i="11"/>
  <c r="Q123" i="11"/>
  <c r="M123" i="15"/>
  <c r="N55" i="14"/>
  <c r="N57" i="14" s="1"/>
  <c r="O58" i="14"/>
  <c r="O59" i="14" s="1"/>
  <c r="M133" i="11"/>
  <c r="E27" i="16" s="1"/>
  <c r="L10" i="16" s="1"/>
  <c r="M158" i="11"/>
  <c r="J33" i="14" s="1"/>
  <c r="J61" i="14"/>
  <c r="H480" i="4"/>
  <c r="H677" i="4"/>
  <c r="E1384" i="4"/>
  <c r="D1821" i="4"/>
  <c r="D1835" i="4" s="1"/>
  <c r="F1013" i="4"/>
  <c r="G727" i="4"/>
  <c r="F358" i="4"/>
  <c r="F372" i="4" s="1"/>
  <c r="F1230" i="4"/>
  <c r="F1069" i="4"/>
  <c r="F1110" i="4" s="1"/>
  <c r="M109" i="11"/>
  <c r="M107" i="11"/>
  <c r="M104" i="11"/>
  <c r="M106" i="11"/>
  <c r="I124" i="15"/>
  <c r="E8" i="13"/>
  <c r="E20" i="13" s="1"/>
  <c r="J42" i="17"/>
  <c r="E25" i="16"/>
  <c r="E26" i="16" s="1"/>
  <c r="J43" i="14"/>
  <c r="D72" i="14"/>
  <c r="D73" i="14" s="1"/>
  <c r="D69" i="14"/>
  <c r="Q43" i="11"/>
  <c r="M122" i="15"/>
  <c r="O206" i="11" l="1"/>
  <c r="J130" i="15"/>
  <c r="K50" i="14"/>
  <c r="N208" i="11"/>
  <c r="G732" i="4"/>
  <c r="I824" i="4"/>
  <c r="R68" i="1"/>
  <c r="R79" i="1"/>
  <c r="AD1698" i="4"/>
  <c r="AC1694" i="4"/>
  <c r="M171" i="11"/>
  <c r="M1227" i="4"/>
  <c r="N1227" i="4"/>
  <c r="O1227" i="4"/>
  <c r="F1231" i="4"/>
  <c r="F1228" i="4"/>
  <c r="H9" i="17"/>
  <c r="L12" i="16"/>
  <c r="H1384" i="4"/>
  <c r="P95" i="11"/>
  <c r="P111" i="11"/>
  <c r="P115" i="11" s="1"/>
  <c r="P117" i="11" s="1"/>
  <c r="P119" i="11" s="1"/>
  <c r="P120" i="11" s="1"/>
  <c r="P147" i="11"/>
  <c r="P156" i="11" s="1"/>
  <c r="P132" i="11"/>
  <c r="P96" i="11"/>
  <c r="M44" i="14"/>
  <c r="M110" i="14"/>
  <c r="P103" i="11"/>
  <c r="M46" i="14"/>
  <c r="M201" i="6"/>
  <c r="O116" i="15" s="1"/>
  <c r="R94" i="11"/>
  <c r="N58" i="14"/>
  <c r="N59" i="14" s="1"/>
  <c r="I134" i="15"/>
  <c r="E8" i="16"/>
  <c r="K61" i="14"/>
  <c r="N158" i="11"/>
  <c r="K33" i="14" s="1"/>
  <c r="N133" i="11"/>
  <c r="F27" i="16" s="1"/>
  <c r="M10" i="16" s="1"/>
  <c r="F1384" i="4"/>
  <c r="E1821" i="4"/>
  <c r="E1835" i="4" s="1"/>
  <c r="J53" i="17"/>
  <c r="T103" i="11"/>
  <c r="N109" i="11"/>
  <c r="N107" i="11"/>
  <c r="J824" i="4" s="1"/>
  <c r="N104" i="11"/>
  <c r="T104" i="11" s="1"/>
  <c r="N106" i="11"/>
  <c r="G1230" i="4"/>
  <c r="J124" i="15"/>
  <c r="F8" i="13"/>
  <c r="F20" i="13" s="1"/>
  <c r="F25" i="16"/>
  <c r="K43" i="14"/>
  <c r="E1398" i="4"/>
  <c r="E1385" i="4"/>
  <c r="F1410" i="4"/>
  <c r="F1420" i="4" s="1"/>
  <c r="K1384" i="4"/>
  <c r="H8" i="17"/>
  <c r="L8" i="16"/>
  <c r="D74" i="14"/>
  <c r="D76" i="14" s="1"/>
  <c r="N213" i="11"/>
  <c r="M214" i="11"/>
  <c r="J32" i="14" s="1"/>
  <c r="M215" i="11"/>
  <c r="S68" i="1"/>
  <c r="S79" i="1"/>
  <c r="M9" i="16"/>
  <c r="G24" i="16"/>
  <c r="Q94" i="11"/>
  <c r="N160" i="11" l="1"/>
  <c r="N165" i="11" s="1"/>
  <c r="I8" i="17"/>
  <c r="M8" i="16"/>
  <c r="I9" i="17"/>
  <c r="M12" i="16"/>
  <c r="I1230" i="4"/>
  <c r="P109" i="11"/>
  <c r="P107" i="11"/>
  <c r="L824" i="4" s="1"/>
  <c r="M43" i="14"/>
  <c r="P106" i="11"/>
  <c r="L124" i="15"/>
  <c r="P104" i="11"/>
  <c r="Q96" i="11"/>
  <c r="Q95" i="11"/>
  <c r="Q111" i="11"/>
  <c r="Q115" i="11" s="1"/>
  <c r="Q117" i="11" s="1"/>
  <c r="Q119" i="11" s="1"/>
  <c r="Q120" i="11" s="1"/>
  <c r="I1384" i="4"/>
  <c r="Q103" i="11"/>
  <c r="Q132" i="11"/>
  <c r="N46" i="14"/>
  <c r="Q147" i="11"/>
  <c r="Q156" i="11" s="1"/>
  <c r="N110" i="14"/>
  <c r="N44" i="14"/>
  <c r="N201" i="6"/>
  <c r="P116" i="15" s="1"/>
  <c r="O213" i="11"/>
  <c r="N215" i="11"/>
  <c r="N214" i="11"/>
  <c r="K32" i="14" s="1"/>
  <c r="G1231" i="4"/>
  <c r="G1228" i="4"/>
  <c r="F1398" i="4"/>
  <c r="F1385" i="4"/>
  <c r="AC1698" i="4"/>
  <c r="AB1694" i="4"/>
  <c r="J134" i="15"/>
  <c r="F8" i="16"/>
  <c r="L33" i="14"/>
  <c r="K134" i="15" s="1"/>
  <c r="F26" i="16"/>
  <c r="G26" i="16" s="1"/>
  <c r="G25" i="16"/>
  <c r="J1384" i="4"/>
  <c r="L1384" i="4" s="1"/>
  <c r="R132" i="11"/>
  <c r="R96" i="11"/>
  <c r="R95" i="11"/>
  <c r="R111" i="11"/>
  <c r="R115" i="11" s="1"/>
  <c r="R117" i="11" s="1"/>
  <c r="R119" i="11" s="1"/>
  <c r="R120" i="11" s="1"/>
  <c r="R147" i="11"/>
  <c r="R156" i="11" s="1"/>
  <c r="R103" i="11"/>
  <c r="O44" i="14"/>
  <c r="O46" i="14"/>
  <c r="O110" i="14"/>
  <c r="D115" i="14" s="1"/>
  <c r="D116" i="14" s="1"/>
  <c r="O201" i="6"/>
  <c r="Q116" i="15" s="1"/>
  <c r="P158" i="11"/>
  <c r="P133" i="11"/>
  <c r="K130" i="15"/>
  <c r="L50" i="14"/>
  <c r="P206" i="11"/>
  <c r="O208" i="11"/>
  <c r="L61" i="14"/>
  <c r="J9" i="17" s="1"/>
  <c r="I133" i="15"/>
  <c r="J51" i="14"/>
  <c r="J53" i="14" s="1"/>
  <c r="E7" i="16"/>
  <c r="E28" i="16" s="1"/>
  <c r="J34" i="14"/>
  <c r="M33" i="14" l="1"/>
  <c r="L134" i="15" s="1"/>
  <c r="F7" i="16"/>
  <c r="F28" i="16" s="1"/>
  <c r="J133" i="15"/>
  <c r="K51" i="14"/>
  <c r="K53" i="14" s="1"/>
  <c r="K34" i="14"/>
  <c r="I1231" i="4"/>
  <c r="I1228" i="4"/>
  <c r="Q160" i="11"/>
  <c r="Q158" i="11"/>
  <c r="N33" i="14" s="1"/>
  <c r="M134" i="15" s="1"/>
  <c r="Q133" i="11"/>
  <c r="AB1698" i="4"/>
  <c r="AA1694" i="4"/>
  <c r="P213" i="11"/>
  <c r="O215" i="11"/>
  <c r="O214" i="11" s="1"/>
  <c r="L32" i="14" s="1"/>
  <c r="J1230" i="4"/>
  <c r="Q109" i="11"/>
  <c r="Q104" i="11"/>
  <c r="Q106" i="11"/>
  <c r="N43" i="14"/>
  <c r="M124" i="15"/>
  <c r="Q107" i="11"/>
  <c r="P160" i="11"/>
  <c r="O165" i="11"/>
  <c r="N171" i="11"/>
  <c r="R160" i="11"/>
  <c r="R158" i="11"/>
  <c r="O33" i="14" s="1"/>
  <c r="N134" i="15" s="1"/>
  <c r="R133" i="11"/>
  <c r="Q206" i="11"/>
  <c r="L130" i="15"/>
  <c r="M50" i="14"/>
  <c r="P208" i="11"/>
  <c r="M61" i="14"/>
  <c r="J39" i="14"/>
  <c r="L4" i="16" s="1"/>
  <c r="J41" i="14"/>
  <c r="L6" i="16" s="1"/>
  <c r="J38" i="14"/>
  <c r="E9" i="16"/>
  <c r="J47" i="14"/>
  <c r="J40" i="14"/>
  <c r="L5" i="16" s="1"/>
  <c r="J42" i="14"/>
  <c r="K1230" i="4"/>
  <c r="R107" i="11"/>
  <c r="R104" i="11"/>
  <c r="R106" i="11"/>
  <c r="R109" i="11"/>
  <c r="N124" i="15"/>
  <c r="O43" i="14"/>
  <c r="D112" i="14"/>
  <c r="D117" i="14" s="1"/>
  <c r="D119" i="14" s="1"/>
  <c r="G4" i="14" s="1"/>
  <c r="K133" i="15" l="1"/>
  <c r="L51" i="14"/>
  <c r="L53" i="14" s="1"/>
  <c r="L34" i="14"/>
  <c r="R206" i="11"/>
  <c r="N50" i="14"/>
  <c r="M130" i="15"/>
  <c r="Q208" i="11"/>
  <c r="N61" i="14"/>
  <c r="P215" i="11"/>
  <c r="P214" i="11"/>
  <c r="M32" i="14" s="1"/>
  <c r="Q213" i="11"/>
  <c r="AA1698" i="4"/>
  <c r="Z1694" i="4"/>
  <c r="K40" i="14"/>
  <c r="M5" i="16" s="1"/>
  <c r="K39" i="14"/>
  <c r="M4" i="16" s="1"/>
  <c r="K38" i="14"/>
  <c r="F9" i="16"/>
  <c r="K47" i="14"/>
  <c r="K42" i="14"/>
  <c r="K41" i="14"/>
  <c r="M6" i="16" s="1"/>
  <c r="M1230" i="4"/>
  <c r="O1230" i="4"/>
  <c r="N1230" i="4"/>
  <c r="K1231" i="4"/>
  <c r="K1228" i="4"/>
  <c r="G6" i="14"/>
  <c r="E4" i="14"/>
  <c r="H4" i="14"/>
  <c r="H6" i="14" s="1"/>
  <c r="H7" i="17"/>
  <c r="L7" i="16"/>
  <c r="C594" i="4"/>
  <c r="P165" i="11"/>
  <c r="O171" i="11"/>
  <c r="J1231" i="4"/>
  <c r="J1228" i="4"/>
  <c r="N130" i="15" l="1"/>
  <c r="O50" i="14"/>
  <c r="R208" i="11"/>
  <c r="O61" i="14"/>
  <c r="I7" i="17"/>
  <c r="M7" i="16"/>
  <c r="Q215" i="11"/>
  <c r="Q214" i="11"/>
  <c r="N32" i="14" s="1"/>
  <c r="R213" i="11"/>
  <c r="L41" i="14"/>
  <c r="L40" i="14"/>
  <c r="L39" i="14"/>
  <c r="L38" i="14"/>
  <c r="L43" i="14"/>
  <c r="J8" i="17" s="1"/>
  <c r="L42" i="14"/>
  <c r="J7" i="17" s="1"/>
  <c r="L47" i="14"/>
  <c r="Y1694" i="4"/>
  <c r="Z1698" i="4"/>
  <c r="Q165" i="11"/>
  <c r="P171" i="11"/>
  <c r="L133" i="15"/>
  <c r="M51" i="14"/>
  <c r="M53" i="14" s="1"/>
  <c r="M34" i="14"/>
  <c r="G10" i="14"/>
  <c r="G11" i="14" s="1"/>
  <c r="D120" i="14"/>
  <c r="M1228" i="4"/>
  <c r="N1228" i="4"/>
  <c r="O1228" i="4"/>
  <c r="Q171" i="11" l="1"/>
  <c r="R165" i="11"/>
  <c r="R171" i="11" s="1"/>
  <c r="R215" i="11"/>
  <c r="R214" i="11"/>
  <c r="O32" i="14" s="1"/>
  <c r="M133" i="15"/>
  <c r="N34" i="14"/>
  <c r="N51" i="14"/>
  <c r="N53" i="14" s="1"/>
  <c r="C11" i="17"/>
  <c r="G13" i="14"/>
  <c r="X1694" i="4"/>
  <c r="Y1698" i="4"/>
  <c r="M42" i="14"/>
  <c r="M41" i="14"/>
  <c r="M47" i="14"/>
  <c r="M40" i="14"/>
  <c r="M39" i="14"/>
  <c r="M38" i="14"/>
  <c r="O51" i="14" l="1"/>
  <c r="O53" i="14" s="1"/>
  <c r="O34" i="14"/>
  <c r="N133" i="15"/>
  <c r="W1694" i="4"/>
  <c r="X1698" i="4"/>
  <c r="N42" i="14"/>
  <c r="N47" i="14"/>
  <c r="N41" i="14"/>
  <c r="N40" i="14"/>
  <c r="N39" i="14"/>
  <c r="N38" i="14"/>
  <c r="V1694" i="4" l="1"/>
  <c r="W1698" i="4"/>
  <c r="O47" i="14"/>
  <c r="O42" i="14"/>
  <c r="O41" i="14"/>
  <c r="O40" i="14"/>
  <c r="O38" i="14"/>
  <c r="O39" i="14"/>
  <c r="V1698" i="4" l="1"/>
  <c r="U1694" i="4"/>
  <c r="U1698" i="4" l="1"/>
  <c r="T1694" i="4"/>
  <c r="T1698" i="4" l="1"/>
  <c r="S1694" i="4"/>
  <c r="S1698" i="4" l="1"/>
  <c r="R1694" i="4"/>
  <c r="Q1694" i="4" l="1"/>
  <c r="R1698" i="4"/>
  <c r="P1694" i="4" l="1"/>
  <c r="Q1698" i="4"/>
  <c r="O1694" i="4" l="1"/>
  <c r="P1698" i="4"/>
  <c r="N1694" i="4" l="1"/>
  <c r="O1698" i="4"/>
  <c r="N1698" i="4" l="1"/>
  <c r="M1694" i="4"/>
  <c r="M1698" i="4" l="1"/>
  <c r="L1694" i="4"/>
  <c r="L1698" i="4" l="1"/>
  <c r="K1694" i="4"/>
  <c r="K1698" i="4" l="1"/>
  <c r="J1694" i="4"/>
  <c r="I1694" i="4" l="1"/>
  <c r="J1698" i="4"/>
  <c r="H1694" i="4" l="1"/>
  <c r="I1698" i="4"/>
  <c r="G1694" i="4" l="1"/>
  <c r="H1698" i="4"/>
  <c r="F1694" i="4" l="1"/>
  <c r="G1698" i="4"/>
  <c r="F1698" i="4" l="1"/>
  <c r="E1694" i="4"/>
  <c r="E1698" i="4" s="1"/>
  <c r="S1250" i="4"/>
  <c r="T1250" i="4"/>
  <c r="S1251" i="4"/>
  <c r="T1251" i="4"/>
  <c r="R1266" i="4"/>
  <c r="S1266" i="4"/>
  <c r="R1268" i="4"/>
  <c r="S1268" i="4"/>
  <c r="R1269" i="4"/>
  <c r="S1269" i="4"/>
  <c r="R1271" i="4"/>
  <c r="S1271" i="4"/>
  <c r="R1274" i="4"/>
  <c r="S1274" i="4"/>
  <c r="M1369" i="4"/>
  <c r="N1369" i="4"/>
  <c r="M1370" i="4"/>
  <c r="N1370" i="4"/>
  <c r="M1371" i="4"/>
  <c r="N1371" i="4"/>
  <c r="G1509" i="4"/>
  <c r="G1510" i="4"/>
  <c r="G1513" i="4"/>
  <c r="G1515" i="4"/>
  <c r="G1516" i="4"/>
  <c r="G1519" i="4"/>
  <c r="G1521" i="4"/>
  <c r="G1522" i="4"/>
  <c r="G1525" i="4"/>
  <c r="G1527" i="4"/>
  <c r="G1528" i="4"/>
  <c r="G1529" i="4"/>
  <c r="G1530" i="4"/>
  <c r="G1531" i="4"/>
  <c r="M1546" i="4"/>
  <c r="N1546" i="4"/>
  <c r="M1547" i="4"/>
  <c r="N1547" i="4"/>
  <c r="M1548" i="4"/>
  <c r="N1548" i="4"/>
  <c r="M1551" i="4"/>
  <c r="N1551" i="4"/>
  <c r="J1724" i="4"/>
  <c r="K1724" i="4"/>
  <c r="N1724" i="4"/>
  <c r="O1724" i="4"/>
  <c r="I26" i="19"/>
  <c r="P26" i="19"/>
  <c r="H15" i="17"/>
  <c r="K137" i="11"/>
  <c r="L137" i="11"/>
  <c r="M137" i="11"/>
  <c r="N137" i="11"/>
  <c r="O137" i="11"/>
  <c r="P137" i="11"/>
  <c r="Q137" i="11"/>
  <c r="R137" i="11"/>
  <c r="K139" i="11"/>
  <c r="L139" i="11"/>
  <c r="M139" i="11"/>
  <c r="N139" i="11"/>
  <c r="O139" i="11"/>
  <c r="P139" i="11"/>
  <c r="Q139" i="11"/>
  <c r="R139" i="11"/>
  <c r="L179" i="11"/>
  <c r="M179" i="11"/>
  <c r="N179" i="11"/>
  <c r="O179" i="11"/>
  <c r="P179" i="11"/>
  <c r="Q179" i="11"/>
  <c r="R179" i="11"/>
  <c r="L181" i="11"/>
  <c r="M181" i="11"/>
  <c r="N181" i="11"/>
  <c r="O181" i="11"/>
  <c r="P181" i="11"/>
  <c r="Q181" i="11"/>
  <c r="R181" i="11"/>
  <c r="L183" i="11"/>
  <c r="M183" i="11"/>
  <c r="N183" i="11"/>
  <c r="O183" i="11"/>
  <c r="P183" i="11"/>
  <c r="Q183" i="11"/>
  <c r="R183" i="11"/>
  <c r="L209" i="11"/>
  <c r="M209" i="11"/>
  <c r="N209" i="11"/>
  <c r="O209" i="11"/>
  <c r="P209" i="11"/>
  <c r="Q209" i="11"/>
  <c r="R209" i="11"/>
  <c r="AG27" i="12"/>
  <c r="AH27" i="12"/>
  <c r="U39" i="12"/>
  <c r="U40" i="12"/>
  <c r="U41" i="12"/>
  <c r="Y41" i="12"/>
  <c r="AG43" i="12"/>
  <c r="AH43" i="12"/>
  <c r="AG44" i="12"/>
  <c r="AH44" i="12"/>
  <c r="AG45" i="12"/>
  <c r="AH45" i="12"/>
  <c r="AG47" i="12"/>
  <c r="AH47" i="12"/>
  <c r="AG48" i="12"/>
  <c r="AH48" i="12"/>
  <c r="AG79" i="12"/>
  <c r="AH79" i="12"/>
  <c r="AC203" i="12"/>
  <c r="AC205" i="12"/>
  <c r="AC207" i="12"/>
  <c r="AC208" i="12"/>
  <c r="AC216" i="12"/>
  <c r="AD216" i="12"/>
  <c r="AC217" i="12"/>
  <c r="AD217" i="12"/>
  <c r="AG224" i="12"/>
  <c r="AH224" i="12"/>
  <c r="AG232" i="12"/>
  <c r="AH232" i="12"/>
  <c r="AK232" i="12"/>
  <c r="AL232" i="12"/>
  <c r="AG233" i="12"/>
  <c r="AH233" i="12"/>
  <c r="AG289" i="12"/>
  <c r="AH289" i="12"/>
  <c r="AK289" i="12"/>
  <c r="AL289" i="12"/>
  <c r="AC294" i="12"/>
  <c r="AC296" i="12"/>
  <c r="AD296" i="12"/>
  <c r="AG296" i="12"/>
  <c r="AH296" i="12"/>
  <c r="AG298" i="12"/>
  <c r="AK298" i="12"/>
  <c r="AG299" i="12"/>
  <c r="AH299" i="12"/>
  <c r="AK299" i="12"/>
  <c r="AL299" i="12"/>
  <c r="AC305" i="12"/>
  <c r="AG305" i="12"/>
  <c r="AK305" i="12"/>
  <c r="AC306" i="12"/>
  <c r="AG309" i="12"/>
  <c r="AK309" i="12"/>
  <c r="AH311" i="12"/>
  <c r="AL311" i="12"/>
  <c r="AH312" i="12"/>
  <c r="AL312" i="12"/>
  <c r="AG313" i="12"/>
  <c r="AH313" i="12"/>
  <c r="AK313" i="12"/>
  <c r="AL313" i="12"/>
  <c r="AG323" i="12"/>
  <c r="AH323" i="12"/>
  <c r="AK323" i="12"/>
  <c r="AL323" i="12"/>
  <c r="AG324" i="12"/>
  <c r="AH324" i="12"/>
  <c r="AK324" i="12"/>
  <c r="AL324" i="12"/>
  <c r="AG327" i="12"/>
  <c r="AH327" i="12"/>
  <c r="AK327" i="12"/>
  <c r="AL327" i="12"/>
  <c r="AH328" i="12"/>
  <c r="AL328" i="12"/>
  <c r="AG333" i="12"/>
  <c r="AH333" i="12"/>
  <c r="AK333" i="12"/>
  <c r="AL333" i="12"/>
  <c r="AG334" i="12"/>
  <c r="AH334" i="12"/>
  <c r="AK334" i="12"/>
  <c r="AL334" i="12"/>
  <c r="AG337" i="12"/>
  <c r="AH337" i="12"/>
  <c r="AK337" i="12"/>
  <c r="AL337" i="12"/>
  <c r="AH338" i="12"/>
  <c r="AL338" i="12"/>
  <c r="AG340" i="12"/>
  <c r="AH340" i="12"/>
  <c r="AK340" i="12"/>
  <c r="AL340" i="12"/>
  <c r="AG341" i="12"/>
  <c r="AH341" i="12"/>
  <c r="AK341" i="12"/>
  <c r="AL341" i="12"/>
  <c r="H131" i="15"/>
  <c r="I131" i="15"/>
  <c r="J131" i="15"/>
  <c r="K131" i="15"/>
  <c r="L131" i="15"/>
  <c r="M131" i="15"/>
  <c r="N131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Soomit Datta</author>
  </authors>
  <commentList>
    <comment ref="H9" authorId="0" shapeId="0" xr:uid="{8D2D3E0A-F32E-4CC0-AE08-A5B9F6BC0C29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Device sales changed to one-time subscription payment, booked in Net revenue from Transaction Services from Q3 2019</t>
        </r>
      </text>
    </comment>
    <comment ref="J100" authorId="0" shapeId="0" xr:uid="{9FF88991-633C-40FB-887F-B7805F7BB92C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Provision reversals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Soomit Datta</author>
  </authors>
  <commentList>
    <comment ref="Z66" authorId="0" shapeId="0" xr:uid="{EA253E42-36D9-4B39-8230-0D5C460AA064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BRL42m reversal in Q4</t>
        </r>
      </text>
    </comment>
    <comment ref="V132" authorId="0" shapeId="0" xr:uid="{303A680B-5DCF-4F26-9D19-4495AA31E2C9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Pagphone inventory provision</t>
        </r>
      </text>
    </comment>
    <comment ref="AA177" authorId="0" shapeId="0" xr:uid="{5893834E-FD5F-476E-8DFD-3591DB4FE508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Estimate, not given in Q1 pressie</t>
        </r>
      </text>
    </comment>
    <comment ref="AB177" authorId="0" shapeId="0" xr:uid="{9F7C4D9A-5D42-45B1-89F0-34EE7CB9208B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Estimate, not given in Q1 pressie</t>
        </r>
      </text>
    </comment>
    <comment ref="AC177" authorId="0" shapeId="0" xr:uid="{E99F1414-44FC-41C5-9E2A-406CF1EFE220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Estimate, not given in Q1 pressie</t>
        </r>
      </text>
    </comment>
    <comment ref="AD177" authorId="0" shapeId="0" xr:uid="{462255C0-ACB0-4828-B286-EF2CB2EDEF53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Estimate, not given in Q1 pressie</t>
        </r>
      </text>
    </comment>
    <comment ref="V309" authorId="0" shapeId="0" xr:uid="{7037FC20-167D-4BF9-9834-711556F1D8E4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estimate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Soomit Datta</author>
  </authors>
  <commentList>
    <comment ref="D77" authorId="0" shapeId="0" xr:uid="{9A6739C8-0779-4412-B98F-C03051F1A912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Headline is 150bps, discounts on signing</t>
        </r>
      </text>
    </comment>
    <comment ref="E77" authorId="0" shapeId="0" xr:uid="{5432AAE0-96FF-4FE4-A915-9FD12F0F74CB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Headline is 150bps, discounts on signing</t>
        </r>
      </text>
    </comment>
    <comment ref="F77" authorId="0" shapeId="0" xr:uid="{0BE49708-1EFD-4F0E-892B-3113FDA78A50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Headline is 150bps, discounts on signing</t>
        </r>
      </text>
    </comment>
    <comment ref="G95" authorId="0" shapeId="0" xr:uid="{8F885BC8-7FD3-447F-BA39-3348F7B20137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New revenue definition</t>
        </r>
      </text>
    </comment>
    <comment ref="E199" authorId="0" shapeId="0" xr:uid="{7A1C5CB7-04DD-479F-860C-1DAC55633D71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From Q4 20 presentation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Soomit Datta</author>
  </authors>
  <commentList>
    <comment ref="I60" authorId="0" shapeId="0" xr:uid="{1F19BB8A-0AD4-4C7F-8EFD-05C4F703A7E8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from StoneCo</t>
        </r>
      </text>
    </comment>
    <comment ref="F106" authorId="0" shapeId="0" xr:uid="{3088B4D2-5B12-4101-9B90-396025B4C787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Estimate</t>
        </r>
      </text>
    </comment>
    <comment ref="G106" authorId="0" shapeId="0" xr:uid="{1D6479EB-B741-4F11-9063-7F7AB108C998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Estimate</t>
        </r>
      </text>
    </comment>
    <comment ref="H106" authorId="0" shapeId="0" xr:uid="{F6F477F1-B276-48C0-80A9-486A6A81DB21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Estimate</t>
        </r>
      </text>
    </comment>
    <comment ref="I106" authorId="0" shapeId="0" xr:uid="{78ACD5BF-FB8E-4D75-953D-91C1629B9E91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10-12% of Acquirer TPV before moip acquisition</t>
        </r>
      </text>
    </comment>
    <comment ref="J106" authorId="0" shapeId="0" xr:uid="{E3F4F907-5770-440A-910D-AA9B78F2E54A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estimate</t>
        </r>
      </text>
    </comment>
    <comment ref="K106" authorId="0" shapeId="0" xr:uid="{3A5A3AF2-C772-4C5D-B302-F2114F5756CB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estimate</t>
        </r>
      </text>
    </comment>
    <comment ref="L106" authorId="0" shapeId="0" xr:uid="{326403CA-8114-412A-A3F6-F5B69010A2EF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estimate</t>
        </r>
      </text>
    </comment>
    <comment ref="J108" authorId="0" shapeId="0" xr:uid="{5B83E6FF-578E-4513-8B01-D286FB62CD38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disconnections - estimate</t>
        </r>
      </text>
    </comment>
    <comment ref="B154" authorId="0" shapeId="0" xr:uid="{2488D63A-E4A7-4F67-84CB-2F6F2C2F70CD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Device itself is capitalised since 2020</t>
        </r>
      </text>
    </comment>
    <comment ref="H156" authorId="0" shapeId="0" xr:uid="{274CD61B-485E-4481-B73F-A17A0A8658BB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Moved from COGS to Other transaction costs as of Q3 2019</t>
        </r>
      </text>
    </comment>
    <comment ref="H159" authorId="0" shapeId="0" xr:uid="{939E901D-7EA6-42F1-8DC2-04AAA534D94A}">
      <text>
        <r>
          <rPr>
            <b/>
            <sz val="9"/>
            <color indexed="81"/>
            <rFont val="Tahoma"/>
            <family val="2"/>
          </rPr>
          <t>Soomit Datta:</t>
        </r>
        <r>
          <rPr>
            <sz val="9"/>
            <color indexed="81"/>
            <rFont val="Tahoma"/>
            <family val="2"/>
          </rPr>
          <t xml:space="preserve">
Only capitalised from Sept 1st, 2019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Eduardo</author>
  </authors>
  <commentList>
    <comment ref="B121" authorId="0" shapeId="0" xr:uid="{D730EB74-CA1F-4F95-B5B2-EF5071B8C3A1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PAGS and DLO report gross, so select a gross and net. Others report netPVH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Eduardo</author>
  </authors>
  <commentList>
    <comment ref="B4" authorId="0" shapeId="0" xr:uid="{271A710B-9504-47EB-BEDF-0E262A90AB50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6A</t>
        </r>
      </text>
    </comment>
    <comment ref="B10" authorId="0" shapeId="0" xr:uid="{E9096559-E9C9-4733-9367-5D58C7CDB1CD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6
</t>
        </r>
      </text>
    </comment>
    <comment ref="B16" authorId="0" shapeId="0" xr:uid="{4684382D-9964-4B67-AFE9-18B30088E06F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6B</t>
        </r>
      </text>
    </comment>
    <comment ref="B18" authorId="0" shapeId="0" xr:uid="{5DDC434D-1E29-4030-BF46-DFD0BAE46C51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8</t>
        </r>
      </text>
    </comment>
    <comment ref="B30" authorId="0" shapeId="0" xr:uid="{5AEF0A74-9634-4827-A436-A507BC53AE30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15A</t>
        </r>
      </text>
    </comment>
    <comment ref="B37" authorId="0" shapeId="0" xr:uid="{B70001A7-E3FD-4F5A-96EA-29C9EA0F32E3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15</t>
        </r>
      </text>
    </comment>
    <comment ref="B44" authorId="0" shapeId="0" xr:uid="{A26F92CC-1157-4636-AEA9-080D0863025A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17</t>
        </r>
      </text>
    </comment>
    <comment ref="B52" authorId="0" shapeId="0" xr:uid="{D8CAC631-DD61-48C9-A885-9EDD1DFC501A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18</t>
        </r>
      </text>
    </comment>
    <comment ref="B57" authorId="0" shapeId="0" xr:uid="{870EB974-9D3F-471B-8E5D-6ABAA387792A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5</t>
        </r>
      </text>
    </comment>
    <comment ref="B60" authorId="0" shapeId="0" xr:uid="{2681BB5D-3C1A-40E4-8207-D07DAC1B7522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5B</t>
        </r>
      </text>
    </comment>
    <comment ref="B64" authorId="0" shapeId="0" xr:uid="{0BCE64CB-EB7A-4AD0-B801-1DB5DF9D2393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Tabela 7</t>
        </r>
      </text>
    </comment>
    <comment ref="B75" authorId="0" shapeId="0" xr:uid="{4327F36A-B529-49B6-B279-A9FD186304F7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14</t>
        </r>
      </text>
    </comment>
    <comment ref="B79" authorId="0" shapeId="0" xr:uid="{4AF0D1D8-E6E6-46EC-8F16-2B23D701E028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14B</t>
        </r>
      </text>
    </comment>
    <comment ref="B82" authorId="0" shapeId="0" xr:uid="{DD25EE6A-C167-4DBC-8322-70F73123E79B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16</t>
        </r>
      </text>
    </comment>
    <comment ref="B91" authorId="0" shapeId="0" xr:uid="{650EF4FB-4313-410D-9A97-3C269D5D9886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1</t>
        </r>
      </text>
    </comment>
    <comment ref="B94" authorId="0" shapeId="0" xr:uid="{6C4BE133-1B14-45A2-87A5-47BECF8F3682}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Table 19</t>
        </r>
      </text>
    </comment>
  </commentList>
</comments>
</file>

<file path=xl/sharedStrings.xml><?xml version="1.0" encoding="utf-8"?>
<sst xmlns="http://schemas.openxmlformats.org/spreadsheetml/2006/main" count="4551" uniqueCount="3365">
  <si>
    <t>Cielo</t>
  </si>
  <si>
    <t>Rede</t>
  </si>
  <si>
    <t>Getnet</t>
  </si>
  <si>
    <t>STNE</t>
  </si>
  <si>
    <t>PAGS</t>
  </si>
  <si>
    <t>Other</t>
  </si>
  <si>
    <t>Market TPV</t>
  </si>
  <si>
    <t>% change</t>
  </si>
  <si>
    <t>Market share</t>
  </si>
  <si>
    <t>-</t>
  </si>
  <si>
    <t>Total Payment Volume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</si>
  <si>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</si>
  <si>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</si>
  <si>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</si>
  <si>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</si>
  <si>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</si>
  <si>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</si>
  <si>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</si>
  <si>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</si>
  <si>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</si>
  <si>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</si>
  <si>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</si>
  <si>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</si>
  <si>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</si>
  <si>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</si>
  <si>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</si>
  <si>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Adds</t>
  </si>
  <si>
    <t>MDR</t>
  </si>
  <si>
    <t>Interchange</t>
  </si>
  <si>
    <t>Gross %</t>
  </si>
  <si>
    <t>QR payments</t>
  </si>
  <si>
    <t>Account</t>
  </si>
  <si>
    <t>PIX</t>
  </si>
  <si>
    <t>Credit card</t>
  </si>
  <si>
    <t>Debit</t>
  </si>
  <si>
    <t xml:space="preserve">Credit </t>
  </si>
  <si>
    <t xml:space="preserve"> - Just in time</t>
  </si>
  <si>
    <t xml:space="preserve"> - 14 days</t>
  </si>
  <si>
    <t xml:space="preserve"> - 30 days</t>
  </si>
  <si>
    <t>Gross</t>
  </si>
  <si>
    <t>Profit</t>
  </si>
  <si>
    <t>Notes</t>
  </si>
  <si>
    <t>Mastercard branded; transfer from Pagbank to card to pay</t>
  </si>
  <si>
    <t>PAGS books</t>
  </si>
  <si>
    <t>~300</t>
  </si>
  <si>
    <t>(paid by PAGS)</t>
  </si>
  <si>
    <t>Higher income = higher interchange</t>
  </si>
  <si>
    <t>higher for Platinum, Black card</t>
  </si>
  <si>
    <t>Card mix</t>
  </si>
  <si>
    <t>Costs 150-170 bps all-in</t>
  </si>
  <si>
    <t>Interchange part passed on partly to Networks</t>
  </si>
  <si>
    <t>Q1 20</t>
  </si>
  <si>
    <t>VISA paid R$30m to PAGS in subsidies</t>
  </si>
  <si>
    <t>Acquirers pay also</t>
  </si>
  <si>
    <t>Fixed amount partly</t>
  </si>
  <si>
    <t>Volume component</t>
  </si>
  <si>
    <t>Subsidy, to promote the Network</t>
  </si>
  <si>
    <t>restaurant wants PAGS as acquirer</t>
  </si>
  <si>
    <t>need umbrellas for tables</t>
  </si>
  <si>
    <t>promote brands</t>
  </si>
  <si>
    <t>Pre-paid cards are 100% Mastercard</t>
  </si>
  <si>
    <t>Cash and credit cards are 100% VISA</t>
  </si>
  <si>
    <t>Network fee on cash cards lower than mPOS</t>
  </si>
  <si>
    <t>exposure to ELO</t>
  </si>
  <si>
    <t>ELO…biggest issuer</t>
  </si>
  <si>
    <t>40-50</t>
  </si>
  <si>
    <t>Vs VISA</t>
  </si>
  <si>
    <t>Owned by 3 largest banks, Bradesco, Banco do Brasil and Caixa</t>
  </si>
  <si>
    <t>New merchants</t>
  </si>
  <si>
    <t>MDR - don’t pay for first 3 months, or until reach R$1,500</t>
  </si>
  <si>
    <t>On either debit or credit</t>
  </si>
  <si>
    <t>Promotions</t>
  </si>
  <si>
    <t>PIX being charged at zero…for first 3 months or reach R$1,500</t>
  </si>
  <si>
    <t>Neil Desai</t>
  </si>
  <si>
    <t>Total SMB Corporate Credit</t>
  </si>
  <si>
    <t>Average rates</t>
  </si>
  <si>
    <t>(monthly interest)</t>
  </si>
  <si>
    <t>Default assumption</t>
  </si>
  <si>
    <t>Cost of capital</t>
  </si>
  <si>
    <t>Total Consumer</t>
  </si>
  <si>
    <t>Account fees/other</t>
  </si>
  <si>
    <t>Total TAM</t>
  </si>
  <si>
    <t>Fintech share</t>
  </si>
  <si>
    <t>Revolving credit ~300% annual</t>
  </si>
  <si>
    <t>Consumer split - credit cards</t>
  </si>
  <si>
    <t>as % loan book</t>
  </si>
  <si>
    <t>Revenue pool (net interest income)</t>
  </si>
  <si>
    <t>Interbank rate</t>
  </si>
  <si>
    <t>Mortgages</t>
  </si>
  <si>
    <t>7-15%</t>
  </si>
  <si>
    <t>Payroll loans</t>
  </si>
  <si>
    <t>7-12%</t>
  </si>
  <si>
    <t>Personal loans</t>
  </si>
  <si>
    <t>20%-100%</t>
  </si>
  <si>
    <t>Overdraft</t>
  </si>
  <si>
    <t>Credit cards (revolving credit)</t>
  </si>
  <si>
    <t>~300%</t>
  </si>
  <si>
    <t>Source: Emissores</t>
  </si>
  <si>
    <t>Average rates **</t>
  </si>
  <si>
    <t>Default ***</t>
  </si>
  <si>
    <t>Total issued credit cards, million ****</t>
  </si>
  <si>
    <t>**** Emissores</t>
  </si>
  <si>
    <t>Source/notes</t>
  </si>
  <si>
    <t>** Central Bank - August 2020</t>
  </si>
  <si>
    <t>*** Estimate to set ~20% interest income/loan book ratio</t>
  </si>
  <si>
    <t>PAGS analysis</t>
  </si>
  <si>
    <t>Fintech revenue pool</t>
  </si>
  <si>
    <t>R$ billion</t>
  </si>
  <si>
    <t>Credit book</t>
  </si>
  <si>
    <t>Credit card book</t>
  </si>
  <si>
    <t>Loan size *</t>
  </si>
  <si>
    <t>* PAGS database, 12m rolling to Sept-2020</t>
  </si>
  <si>
    <t>Total activated credit cards, million ****</t>
  </si>
  <si>
    <t>Credit / active card, R$</t>
  </si>
  <si>
    <t>USD/BRL</t>
  </si>
  <si>
    <t>Loan rates Brazil  (anecdotal from PAGS IR)</t>
  </si>
  <si>
    <t>Credit cards</t>
  </si>
  <si>
    <t xml:space="preserve"> - Revolving credit</t>
  </si>
  <si>
    <t xml:space="preserve"> - Instalments</t>
  </si>
  <si>
    <t xml:space="preserve"> - Paid off</t>
  </si>
  <si>
    <t>Pay roll</t>
  </si>
  <si>
    <t>Non-pay roll regular loans</t>
  </si>
  <si>
    <t>Earmarked</t>
  </si>
  <si>
    <t>Non-Earmarked</t>
  </si>
  <si>
    <t>Total household debt</t>
  </si>
  <si>
    <t>Vehicles</t>
  </si>
  <si>
    <t>Vehicle</t>
  </si>
  <si>
    <t>Households, balance R$ millions</t>
  </si>
  <si>
    <t>Total household Non-Earmarked resources</t>
  </si>
  <si>
    <t>Rural credit</t>
  </si>
  <si>
    <t>Real estate</t>
  </si>
  <si>
    <t>BNDES</t>
  </si>
  <si>
    <t>Total Earmarked resources</t>
  </si>
  <si>
    <t xml:space="preserve"> - Fixed capital</t>
  </si>
  <si>
    <t xml:space="preserve"> - Agriculture</t>
  </si>
  <si>
    <t>Corporations</t>
  </si>
  <si>
    <t>Working Capital</t>
  </si>
  <si>
    <t>Discounted credit card bills</t>
  </si>
  <si>
    <t>Discounted trade bills, credit receivables</t>
  </si>
  <si>
    <t>Non-Earmarked, balance R$ million</t>
  </si>
  <si>
    <t>Non-Earmarked, lending rate</t>
  </si>
  <si>
    <t>Household loan rates Brazil  (CB)</t>
  </si>
  <si>
    <t>Non-earmarked</t>
  </si>
  <si>
    <t>Total Non-earmarked</t>
  </si>
  <si>
    <t>Credit / active card, USD</t>
  </si>
  <si>
    <t>Brazil</t>
  </si>
  <si>
    <t>China</t>
  </si>
  <si>
    <t>Argentina</t>
  </si>
  <si>
    <t>India</t>
  </si>
  <si>
    <t>Mexico</t>
  </si>
  <si>
    <t>Peru</t>
  </si>
  <si>
    <t>UK</t>
  </si>
  <si>
    <t>US</t>
  </si>
  <si>
    <t>https://www.statista.com/statistics/675371/ownership-of-credit-cards-globally-by-country/</t>
  </si>
  <si>
    <t>Hong Kong</t>
  </si>
  <si>
    <t>Germany</t>
  </si>
  <si>
    <t>Canada</t>
  </si>
  <si>
    <t>Japan</t>
  </si>
  <si>
    <t>Turkey</t>
  </si>
  <si>
    <t>Source: Statista</t>
  </si>
  <si>
    <t xml:space="preserve">Earmarked </t>
  </si>
  <si>
    <t>Total corporation debt</t>
  </si>
  <si>
    <t>Total non-Earmarked</t>
  </si>
  <si>
    <t>Total Earmarked</t>
  </si>
  <si>
    <t xml:space="preserve"> - Working capital</t>
  </si>
  <si>
    <t>Total corporation lending</t>
  </si>
  <si>
    <t>Paid to Network</t>
  </si>
  <si>
    <t>VISA/Master</t>
  </si>
  <si>
    <t>Other cost</t>
  </si>
  <si>
    <t>(Processing)</t>
  </si>
  <si>
    <t>Basis points</t>
  </si>
  <si>
    <t>GAAP | R$ million</t>
  </si>
  <si>
    <t>Net Revenue from Transaction Activities and Other Services</t>
  </si>
  <si>
    <t>Net Revenue from Sales</t>
  </si>
  <si>
    <t>Financial Income</t>
  </si>
  <si>
    <t>Other Financial Income</t>
  </si>
  <si>
    <t>TOTAL REVENUE AND INCOME</t>
  </si>
  <si>
    <t>Interchange and Card Scheme Fee (ITC)</t>
  </si>
  <si>
    <t>TOTAL REVENUE AND INCOME (ex-ITC)</t>
  </si>
  <si>
    <t>Financial Expenses</t>
  </si>
  <si>
    <t>R$ million</t>
  </si>
  <si>
    <t>Cards issued</t>
  </si>
  <si>
    <t>Credit</t>
  </si>
  <si>
    <t>Pre-paid</t>
  </si>
  <si>
    <t>Number of cards, million</t>
  </si>
  <si>
    <t>Cards added</t>
  </si>
  <si>
    <t>Check:</t>
  </si>
  <si>
    <t>Credit cards active Brazil</t>
  </si>
  <si>
    <t>Debit cards active Brazil</t>
  </si>
  <si>
    <t>Additions</t>
  </si>
  <si>
    <t>Pre-paid cards</t>
  </si>
  <si>
    <t>Total cards in Brazil</t>
  </si>
  <si>
    <t>Pre-paid as %</t>
  </si>
  <si>
    <t>% of total PAGS cards</t>
  </si>
  <si>
    <t>as % pre-paid market</t>
  </si>
  <si>
    <t>% growth</t>
  </si>
  <si>
    <t>Pagbank users, million</t>
  </si>
  <si>
    <t>TPV/user/month, R$</t>
  </si>
  <si>
    <t>Assumed wallet take</t>
  </si>
  <si>
    <t>Pre-pay</t>
  </si>
  <si>
    <t>Card issuance</t>
  </si>
  <si>
    <t>(assume market average)</t>
  </si>
  <si>
    <t>Payment TPV</t>
  </si>
  <si>
    <t>12m to Sept 2020</t>
  </si>
  <si>
    <t>Debit card</t>
  </si>
  <si>
    <t>Active users</t>
  </si>
  <si>
    <t>million</t>
  </si>
  <si>
    <t>Spend per year</t>
  </si>
  <si>
    <t>R$</t>
  </si>
  <si>
    <t>USD</t>
  </si>
  <si>
    <t>end-19</t>
  </si>
  <si>
    <t>end-18</t>
  </si>
  <si>
    <t>end-20</t>
  </si>
  <si>
    <t>Revenue, R$ million</t>
  </si>
  <si>
    <t>Payment volumes, per card per month, R$</t>
  </si>
  <si>
    <t>Total payment volumes through cards</t>
  </si>
  <si>
    <t>Pagbank (Non-acquirer) TPV (inc. cards), R$ million</t>
  </si>
  <si>
    <t>Pagbank TPV, ex cards</t>
  </si>
  <si>
    <t>Loans</t>
  </si>
  <si>
    <t>Average loan value, USD m</t>
  </si>
  <si>
    <t xml:space="preserve">Interest </t>
  </si>
  <si>
    <t>Provision for default</t>
  </si>
  <si>
    <t>Funding cost (booked in financial expenses)</t>
  </si>
  <si>
    <t>Interchange billed, bps</t>
  </si>
  <si>
    <t>TPV credit</t>
  </si>
  <si>
    <t>Credit share</t>
  </si>
  <si>
    <t>Credit TPV</t>
  </si>
  <si>
    <t>as % total</t>
  </si>
  <si>
    <t>TPV as %</t>
  </si>
  <si>
    <t>Personal consumption exp</t>
  </si>
  <si>
    <t>Electronic payments as %</t>
  </si>
  <si>
    <t>Cash usage</t>
  </si>
  <si>
    <t>Korea</t>
  </si>
  <si>
    <t>Singapore</t>
  </si>
  <si>
    <t>Finland</t>
  </si>
  <si>
    <t>Sweden</t>
  </si>
  <si>
    <t>Netherlands</t>
  </si>
  <si>
    <t>Indonesia</t>
  </si>
  <si>
    <t>Malaysia</t>
  </si>
  <si>
    <t>Growth</t>
  </si>
  <si>
    <t>Consensus</t>
  </si>
  <si>
    <t xml:space="preserve"> - of which credit</t>
  </si>
  <si>
    <t xml:space="preserve"> - of which debit</t>
  </si>
  <si>
    <t>Total</t>
  </si>
  <si>
    <t>MDR revenue</t>
  </si>
  <si>
    <t>Factoring revenue</t>
  </si>
  <si>
    <t xml:space="preserve">Pagbank </t>
  </si>
  <si>
    <t>Finance (Factoring)</t>
  </si>
  <si>
    <t>Other finance</t>
  </si>
  <si>
    <t>Total revenue</t>
  </si>
  <si>
    <t>Pagbank revenue</t>
  </si>
  <si>
    <t>Costs</t>
  </si>
  <si>
    <t>Network fees</t>
  </si>
  <si>
    <t>Interchange + Network fees</t>
  </si>
  <si>
    <t>Total payment volumes, per year, R$ millon</t>
  </si>
  <si>
    <t>Revenue and income ex-ITC</t>
  </si>
  <si>
    <t>Take rate</t>
  </si>
  <si>
    <t>Net take</t>
  </si>
  <si>
    <t>as % of revs from transactions</t>
  </si>
  <si>
    <t>Active Merchants | 0001</t>
  </si>
  <si>
    <t>PagBank TPV2</t>
  </si>
  <si>
    <t>PagBank Active Users3 | 000</t>
  </si>
  <si>
    <t>2. TPV per Institution | R$ billion</t>
  </si>
  <si>
    <t>GetNet</t>
  </si>
  <si>
    <t>PagSeguro</t>
  </si>
  <si>
    <t>Stone</t>
  </si>
  <si>
    <t>Vero</t>
  </si>
  <si>
    <t>Others</t>
  </si>
  <si>
    <t>2.1. TPV per Institution | Market Share (%)</t>
  </si>
  <si>
    <t>3. Credit TPV per Institution | R$ billion</t>
  </si>
  <si>
    <t>Payments</t>
  </si>
  <si>
    <t>Financials</t>
  </si>
  <si>
    <t>Operationals</t>
  </si>
  <si>
    <t>y/y</t>
  </si>
  <si>
    <t>Pagbank capital</t>
  </si>
  <si>
    <t>TPV ex-Corona</t>
  </si>
  <si>
    <t>Corona TPV</t>
  </si>
  <si>
    <t>Active Pagbank user adds</t>
  </si>
  <si>
    <t>Debit TPV</t>
  </si>
  <si>
    <t>Other transaction costs</t>
  </si>
  <si>
    <t>Active cards</t>
  </si>
  <si>
    <t xml:space="preserve">Actvation rate </t>
  </si>
  <si>
    <t>Active credit</t>
  </si>
  <si>
    <t>Active debit</t>
  </si>
  <si>
    <t>Active cash cards</t>
  </si>
  <si>
    <t>Card spend as % total</t>
  </si>
  <si>
    <t>Wallet / other</t>
  </si>
  <si>
    <t>Total Active cards</t>
  </si>
  <si>
    <t>Loans, m (ex credit cards)</t>
  </si>
  <si>
    <t>Average loan value, R$m (ex credit cards)</t>
  </si>
  <si>
    <t>Funding cost</t>
  </si>
  <si>
    <t xml:space="preserve">TPV from credit </t>
  </si>
  <si>
    <t>- of which % multi-installments</t>
  </si>
  <si>
    <t>Multi-installment TPV</t>
  </si>
  <si>
    <t>Revenue</t>
  </si>
  <si>
    <t>Implied rate</t>
  </si>
  <si>
    <t xml:space="preserve">Costs (device logistics &amp; storage) </t>
  </si>
  <si>
    <t>Net device adds</t>
  </si>
  <si>
    <t>Activation rate</t>
  </si>
  <si>
    <t>Gross device adds</t>
  </si>
  <si>
    <t>Other (inc intercompany taxes)</t>
  </si>
  <si>
    <t>Device sales</t>
  </si>
  <si>
    <t>Subsidy rate</t>
  </si>
  <si>
    <t>Revenue per gross add</t>
  </si>
  <si>
    <t>Capex of device sales</t>
  </si>
  <si>
    <t>Expensed / device (logistics/storage)</t>
  </si>
  <si>
    <t>Revenue from device sales</t>
  </si>
  <si>
    <t>Net revenue from Sales</t>
  </si>
  <si>
    <t>Cost of Goods Sold</t>
  </si>
  <si>
    <t>Marketing and Advertising</t>
  </si>
  <si>
    <t>Personnel Expenses</t>
  </si>
  <si>
    <t>Chargebacks</t>
  </si>
  <si>
    <t>Depreciation and Amortization</t>
  </si>
  <si>
    <t xml:space="preserve">Other </t>
  </si>
  <si>
    <t>Pagbank funding cost</t>
  </si>
  <si>
    <t>Other fin expenses</t>
  </si>
  <si>
    <t>NPLs at Pagbank</t>
  </si>
  <si>
    <t>as % sales</t>
  </si>
  <si>
    <t>Costs and Expenses</t>
  </si>
  <si>
    <t>Total costs</t>
  </si>
  <si>
    <t>ex interchange</t>
  </si>
  <si>
    <t>Tax</t>
  </si>
  <si>
    <t>as % PBT</t>
  </si>
  <si>
    <t>Net income</t>
  </si>
  <si>
    <t>ASSETS</t>
  </si>
  <si>
    <t>CURRENT ASSETS</t>
  </si>
  <si>
    <t>Cash and Cash Equivalents</t>
  </si>
  <si>
    <t>Financial Investments</t>
  </si>
  <si>
    <t>Inventories</t>
  </si>
  <si>
    <t>Taxes Recoverable</t>
  </si>
  <si>
    <t>Other Receivables</t>
  </si>
  <si>
    <t>NON-CURRENT ASSETS</t>
  </si>
  <si>
    <t>Judicial Deposits</t>
  </si>
  <si>
    <t>Prepaid Expenses</t>
  </si>
  <si>
    <t>Deferred Income Tax and Social Contribution</t>
  </si>
  <si>
    <t>Investment</t>
  </si>
  <si>
    <t>Property and Equipment</t>
  </si>
  <si>
    <t>Intangible Assets</t>
  </si>
  <si>
    <t>LIABILITIES AND EQUITY</t>
  </si>
  <si>
    <t>CURRENT LIABILITIES</t>
  </si>
  <si>
    <t>Payables to Third Parties</t>
  </si>
  <si>
    <t>Trade Payables</t>
  </si>
  <si>
    <t>Payables to Related Parties</t>
  </si>
  <si>
    <t>Deposits</t>
  </si>
  <si>
    <t>Salaries and Social Charges</t>
  </si>
  <si>
    <t>Taxes and Contributions</t>
  </si>
  <si>
    <t>Provision for Contingencies</t>
  </si>
  <si>
    <t>Dividends Payable and Interest on own Capital</t>
  </si>
  <si>
    <t>Other Liabilities</t>
  </si>
  <si>
    <t>NON-CURRENT LIABILITIES</t>
  </si>
  <si>
    <t>EQUITY</t>
  </si>
  <si>
    <t>19% SMB is too loan</t>
  </si>
  <si>
    <t>Creditas, Agi bank…&gt;100% per year</t>
  </si>
  <si>
    <t>1/ 3.5% per month, 40% per year</t>
  </si>
  <si>
    <t>2/ Cost of capital</t>
  </si>
  <si>
    <t>2% interest rate, most profitable CD is 200% over interbank…3% per year</t>
  </si>
  <si>
    <t>WACC</t>
  </si>
  <si>
    <t xml:space="preserve">Cost of equity </t>
  </si>
  <si>
    <t>100% funded by equity today</t>
  </si>
  <si>
    <t>CDs interest rate</t>
  </si>
  <si>
    <t>1.9% through to 3%</t>
  </si>
  <si>
    <t>Dec 31st call</t>
  </si>
  <si>
    <t>Take-rates to come down</t>
  </si>
  <si>
    <t>30% of revs from Pagbank by 2025</t>
  </si>
  <si>
    <t>only guidance</t>
  </si>
  <si>
    <t>card issuance</t>
  </si>
  <si>
    <t>credit back from november</t>
  </si>
  <si>
    <t>new services</t>
  </si>
  <si>
    <t>payroll loans to guarulhos</t>
  </si>
  <si>
    <t>partnership with tick tock…bar compra</t>
  </si>
  <si>
    <t>pays a take rate to make Pagbank do payments to tick tock content developers</t>
  </si>
  <si>
    <t>bill payments, mobile top ups</t>
  </si>
  <si>
    <t>expect 100% growth in 2021, as per 2020</t>
  </si>
  <si>
    <t>new disbursements since March</t>
  </si>
  <si>
    <t>fully restore at prevous levels. R$80-100m R$ per Q</t>
  </si>
  <si>
    <t>base case assumption</t>
  </si>
  <si>
    <t>upside risk</t>
  </si>
  <si>
    <t>Average term of loans is 9 months</t>
  </si>
  <si>
    <t>could increase to 12 months</t>
  </si>
  <si>
    <t xml:space="preserve">Q4 </t>
  </si>
  <si>
    <t>card spending back</t>
  </si>
  <si>
    <t>credit disbursements</t>
  </si>
  <si>
    <t>Take rates</t>
  </si>
  <si>
    <t>Flat for 2020</t>
  </si>
  <si>
    <t>down a little for Acquirer</t>
  </si>
  <si>
    <t>up from Pagbank</t>
  </si>
  <si>
    <t>due to larger merchants</t>
  </si>
  <si>
    <t>financial income…160 bps down to 100 bps over TPV…this should return</t>
  </si>
  <si>
    <t>MDR and pre-payment</t>
  </si>
  <si>
    <t>Costs and expenses</t>
  </si>
  <si>
    <t>Other charge backs</t>
  </si>
  <si>
    <t>base off TPV</t>
  </si>
  <si>
    <t>Pagbank</t>
  </si>
  <si>
    <t>moip increasing as a %</t>
  </si>
  <si>
    <t>mid to high single digit pre moip…10-12% with moip</t>
  </si>
  <si>
    <t>TPV from on-line</t>
  </si>
  <si>
    <t>D&amp;A</t>
  </si>
  <si>
    <t>underestimating</t>
  </si>
  <si>
    <t>since accouniting change…capitalise POS acquisition</t>
  </si>
  <si>
    <t>went up a lot this year</t>
  </si>
  <si>
    <t>9m 20</t>
  </si>
  <si>
    <t>More than 1.5m POS at R$250. Depreciate over 5 years</t>
  </si>
  <si>
    <t>Effective tax rate</t>
  </si>
  <si>
    <t>Could distribute IOC also…tax shield as per Vivo and TIM</t>
  </si>
  <si>
    <t>No formal dividend policy</t>
  </si>
  <si>
    <t>Balance sheet</t>
  </si>
  <si>
    <t>Only debt is CDs</t>
  </si>
  <si>
    <t>used to be 100% funded from FCF, plus IPO proceeds</t>
  </si>
  <si>
    <t>not the best capital structure in terms of taxes</t>
  </si>
  <si>
    <t>other UOL group do not issue debt</t>
  </si>
  <si>
    <t>STNE has some credit lines…plus FDIC structure, can offload receivables</t>
  </si>
  <si>
    <t>2 for this, creating a third for this</t>
  </si>
  <si>
    <t>One FIDC…only for credit card receivables</t>
  </si>
  <si>
    <t>Through this, can optimise tax collection</t>
  </si>
  <si>
    <t>Pre-payment made through FIDC</t>
  </si>
  <si>
    <t>100% owned</t>
  </si>
  <si>
    <t>No not need to collect PIS/COFINS</t>
  </si>
  <si>
    <t>Fin income, pay higher PIS/COFINS, plus 40% on income tax</t>
  </si>
  <si>
    <t>FIDC can by-pass this</t>
  </si>
  <si>
    <t>ABS structure (asset back sec)</t>
  </si>
  <si>
    <t>No third party investors</t>
  </si>
  <si>
    <t>securitising this if other investors</t>
  </si>
  <si>
    <t>All cash funding FIDC is from Pagseguro</t>
  </si>
  <si>
    <t>Would likely set up another FIDC for loans. One for cc receivables (risk free), loans are quite different</t>
  </si>
  <si>
    <t>Loans FIDC might open up to third party investors</t>
  </si>
  <si>
    <t>i.e. offload part of the risk</t>
  </si>
  <si>
    <t xml:space="preserve">CD's issued: </t>
  </si>
  <si>
    <t>"Deposits" - R$200m in CDs at the end of Q3</t>
  </si>
  <si>
    <t>part is client investing into CDs</t>
  </si>
  <si>
    <t>issue different CDs for other companies</t>
  </si>
  <si>
    <t xml:space="preserve">corporate CDs </t>
  </si>
  <si>
    <t>Valuation</t>
  </si>
  <si>
    <t xml:space="preserve">DCF model </t>
  </si>
  <si>
    <t>Some do a DDM</t>
  </si>
  <si>
    <t>Some via multiples…global Fintech</t>
  </si>
  <si>
    <t>Acquiring</t>
  </si>
  <si>
    <t>DCF</t>
  </si>
  <si>
    <t>active clients, recurrency, potential value creation</t>
  </si>
  <si>
    <t>Closer to ROE as per traditional bank</t>
  </si>
  <si>
    <t>Consensus valuations on Pagbank</t>
  </si>
  <si>
    <t>Key question…how do you value Pagbank</t>
  </si>
  <si>
    <t>US sell side analysts</t>
  </si>
  <si>
    <t>multiples</t>
  </si>
  <si>
    <t>vs equity</t>
  </si>
  <si>
    <t>Book loan, run NII (net interest income), after provisions, after funding costs, plus revenue from fees</t>
  </si>
  <si>
    <t>Bradesco</t>
  </si>
  <si>
    <t>Banco Next</t>
  </si>
  <si>
    <t>$1000 per sub valuation</t>
  </si>
  <si>
    <t>For Pag…clients are merchants</t>
  </si>
  <si>
    <t>Capex</t>
  </si>
  <si>
    <t>PPE could start to slow down from 2021</t>
  </si>
  <si>
    <t>reduce net and gross adds…as market matures</t>
  </si>
  <si>
    <t>merchants could start to use smartphones instead of mpos</t>
  </si>
  <si>
    <t>could write off fixed assets</t>
  </si>
  <si>
    <t>cash flow - less money being spent on pos acquisition</t>
  </si>
  <si>
    <t>Smartphones</t>
  </si>
  <si>
    <t>can all be done via Pagbank App</t>
  </si>
  <si>
    <t>but driven by cards today, experience needs to change a lot</t>
  </si>
  <si>
    <t>R$2bn of capex in 2020</t>
  </si>
  <si>
    <t>Notes - Dec 31st 2020 call</t>
  </si>
  <si>
    <t>Pagbank as % total</t>
  </si>
  <si>
    <t>2022e</t>
  </si>
  <si>
    <t>TPV</t>
  </si>
  <si>
    <t>NSR</t>
  </si>
  <si>
    <t>Net % margin</t>
  </si>
  <si>
    <t>Total Current</t>
  </si>
  <si>
    <t>Total Non-Current</t>
  </si>
  <si>
    <t>Total Current liablities</t>
  </si>
  <si>
    <t>Total Non-current</t>
  </si>
  <si>
    <t>Cash flow</t>
  </si>
  <si>
    <t>Net financial income</t>
  </si>
  <si>
    <t>Income from pre-payment</t>
  </si>
  <si>
    <t>Other fin income</t>
  </si>
  <si>
    <t>Financial expense (inc funding cost of Pagbank)</t>
  </si>
  <si>
    <t>Total transaction costs</t>
  </si>
  <si>
    <t>Current Income Tax and Social Contribution</t>
  </si>
  <si>
    <t>PBT</t>
  </si>
  <si>
    <t>% margin</t>
  </si>
  <si>
    <t>Square</t>
  </si>
  <si>
    <t>Cash App</t>
  </si>
  <si>
    <t>P2P</t>
  </si>
  <si>
    <t>free</t>
  </si>
  <si>
    <t>charged to the business</t>
  </si>
  <si>
    <t>Transfer to bank a/c</t>
  </si>
  <si>
    <t xml:space="preserve"> - Via App</t>
  </si>
  <si>
    <t xml:space="preserve"> - Pre-paid cash card</t>
  </si>
  <si>
    <t xml:space="preserve">PAGS is at </t>
  </si>
  <si>
    <t>0.99-1.89%</t>
  </si>
  <si>
    <t>Notes and comp with PAGS</t>
  </si>
  <si>
    <t xml:space="preserve"> - Credit card</t>
  </si>
  <si>
    <t>Buy bitcoin</t>
  </si>
  <si>
    <t>up to 1.76%</t>
  </si>
  <si>
    <t>Plus makes 1-4% spread</t>
  </si>
  <si>
    <t>(Post Network fees)</t>
  </si>
  <si>
    <t>~3%</t>
  </si>
  <si>
    <t>Wallet take at PAGS/MELI much lower due to high utillity fee payments??</t>
  </si>
  <si>
    <t>BRL million</t>
  </si>
  <si>
    <t>Dividend</t>
  </si>
  <si>
    <t>Payout ratio</t>
  </si>
  <si>
    <t>Accounts receivable</t>
  </si>
  <si>
    <t>as % Acquirer TPV</t>
  </si>
  <si>
    <t xml:space="preserve"> of which PPE</t>
  </si>
  <si>
    <t xml:space="preserve"> of which intangibles</t>
  </si>
  <si>
    <t xml:space="preserve"> as % revenue</t>
  </si>
  <si>
    <t>Capex vs D&amp;A</t>
  </si>
  <si>
    <t xml:space="preserve"> - of which MPOS devices</t>
  </si>
  <si>
    <t xml:space="preserve"> - of which other</t>
  </si>
  <si>
    <t>as % revs</t>
  </si>
  <si>
    <t xml:space="preserve"> - tangible</t>
  </si>
  <si>
    <t xml:space="preserve"> - intangible</t>
  </si>
  <si>
    <t xml:space="preserve"> of which amort</t>
  </si>
  <si>
    <t>Book value of MPOS</t>
  </si>
  <si>
    <t>Depreciation (3.5 years)</t>
  </si>
  <si>
    <t>Accumulated depreciation</t>
  </si>
  <si>
    <t>Implied cost per gross add</t>
  </si>
  <si>
    <t>Net MPOS</t>
  </si>
  <si>
    <t xml:space="preserve"> of which depr of MPOS</t>
  </si>
  <si>
    <t xml:space="preserve"> of which depr of other</t>
  </si>
  <si>
    <t xml:space="preserve"> of which total depr</t>
  </si>
  <si>
    <t>Charge backs</t>
  </si>
  <si>
    <t xml:space="preserve">as % </t>
  </si>
  <si>
    <t>LTIP</t>
  </si>
  <si>
    <t>Less</t>
  </si>
  <si>
    <t>Change</t>
  </si>
  <si>
    <t>Accounts payables</t>
  </si>
  <si>
    <t>Working Capital adjs</t>
  </si>
  <si>
    <t>Add-back</t>
  </si>
  <si>
    <t>Buy-back / issuance</t>
  </si>
  <si>
    <t>Change in net debt</t>
  </si>
  <si>
    <t>check</t>
  </si>
  <si>
    <t>Cash flow statement</t>
  </si>
  <si>
    <t>Balance sheet, BRL m</t>
  </si>
  <si>
    <t>TPV/ Pagbank user/month</t>
  </si>
  <si>
    <t>Net debt</t>
  </si>
  <si>
    <t>Equity</t>
  </si>
  <si>
    <t>Invested Capital</t>
  </si>
  <si>
    <t>Class A</t>
  </si>
  <si>
    <t>Votes per share</t>
  </si>
  <si>
    <t xml:space="preserve">Class B </t>
  </si>
  <si>
    <t>Total votes</t>
  </si>
  <si>
    <t>UOL shares</t>
  </si>
  <si>
    <t>UOL votes</t>
  </si>
  <si>
    <t>Issuance</t>
  </si>
  <si>
    <t>Share price, USD</t>
  </si>
  <si>
    <t>USD / BRL</t>
  </si>
  <si>
    <t>EV</t>
  </si>
  <si>
    <t>EV/Revenue</t>
  </si>
  <si>
    <t>EV/EBITDA</t>
  </si>
  <si>
    <t>Effective tax</t>
  </si>
  <si>
    <t>Where does the Pagbank loan book sit on the Pagseguro BS?</t>
  </si>
  <si>
    <t>How to think about Pagbank net income over time</t>
  </si>
  <si>
    <t>Versus</t>
  </si>
  <si>
    <t>Other banks…what's the norm?</t>
  </si>
  <si>
    <t>Other parent co</t>
  </si>
  <si>
    <t>Deferred taxes</t>
  </si>
  <si>
    <t>NOPLAT</t>
  </si>
  <si>
    <t>EBIT</t>
  </si>
  <si>
    <t>EBIT + Pre-pay income</t>
  </si>
  <si>
    <t>Normalised tax</t>
  </si>
  <si>
    <t>ROIC</t>
  </si>
  <si>
    <t>SHOUT, millions</t>
  </si>
  <si>
    <t>Where do the charge backs (added back to cash flow) get adjusted on the BS</t>
  </si>
  <si>
    <t>`</t>
  </si>
  <si>
    <t>Earmarked real estate</t>
  </si>
  <si>
    <t>Earmarked rural credit</t>
  </si>
  <si>
    <t>Other Earmarked</t>
  </si>
  <si>
    <t>Household Non-Earmarked loans</t>
  </si>
  <si>
    <t>Total Earmarked loans</t>
  </si>
  <si>
    <t>SMB Non-Earmarked Consumer loans</t>
  </si>
  <si>
    <t>Total SMB</t>
  </si>
  <si>
    <t>Regular loans</t>
  </si>
  <si>
    <t>Dis. credit card bills</t>
  </si>
  <si>
    <t>Dis. receivables</t>
  </si>
  <si>
    <t>Consumer loans breakdown, R$ billion</t>
  </si>
  <si>
    <t>SMB loans breakdown, R$ billion</t>
  </si>
  <si>
    <t>Total Non-Earmarked Consumer</t>
  </si>
  <si>
    <t>Adjusted TAM</t>
  </si>
  <si>
    <t>Pagbank revenue split</t>
  </si>
  <si>
    <t xml:space="preserve">mPOS </t>
  </si>
  <si>
    <t>VISA branded; links direct to Pagbank (effectively a debit card)</t>
  </si>
  <si>
    <t>On promotion for 3m at zero*. MELI charging 99 bps</t>
  </si>
  <si>
    <t>Card issuer pays Networks on per transaction basis, Acquirers pay on a more volume agnostic basis</t>
  </si>
  <si>
    <t xml:space="preserve">Cash cards have a slightly lower pay away than debit or credit as they are VISA &amp; Mastercard only. The other main Network in Brazil is ELO which has higher fees </t>
  </si>
  <si>
    <t>than the 2 big global names and which pushes up the average interchange</t>
  </si>
  <si>
    <t>* Promotions often involve MDR charged to merchants for debit or credit for either, 1/ the first 3 months, or 2/ Up to R$1,500 spend. PAGS has extended to include PIX payments</t>
  </si>
  <si>
    <t>PAGBANK</t>
  </si>
  <si>
    <t>PAGSEGURO (ACQUIRER)</t>
  </si>
  <si>
    <t>50 bps interchange on debIt is capped by regulation</t>
  </si>
  <si>
    <t>Pen</t>
  </si>
  <si>
    <t xml:space="preserve">hold constant </t>
  </si>
  <si>
    <r>
      <t xml:space="preserve">based on </t>
    </r>
    <r>
      <rPr>
        <i/>
        <sz val="11"/>
        <color theme="1"/>
        <rFont val="Trebuchet MS"/>
        <family val="2"/>
      </rPr>
      <t>Statista</t>
    </r>
  </si>
  <si>
    <t>Credit cards, millions</t>
  </si>
  <si>
    <t>POPS, millions</t>
  </si>
  <si>
    <t>Card holders, million</t>
  </si>
  <si>
    <t>Cards/card holder</t>
  </si>
  <si>
    <t>Loan book</t>
  </si>
  <si>
    <t>MELI</t>
  </si>
  <si>
    <t>PAGS, R$ m</t>
  </si>
  <si>
    <t>PAGS, USD million</t>
  </si>
  <si>
    <t>Q3 20 TPV, USD million</t>
  </si>
  <si>
    <t>Net margin</t>
  </si>
  <si>
    <t xml:space="preserve"> - Average (inc. paid &lt; month)</t>
  </si>
  <si>
    <t>Cards/holder</t>
  </si>
  <si>
    <t>Customers holding credit cards</t>
  </si>
  <si>
    <t>Credit card penetration</t>
  </si>
  <si>
    <t>POPs</t>
  </si>
  <si>
    <t>Deflator</t>
  </si>
  <si>
    <t>as % market</t>
  </si>
  <si>
    <t>Credit card TPV</t>
  </si>
  <si>
    <t>Central Bank receivables, BS</t>
  </si>
  <si>
    <t>receivables as % 12m TPV</t>
  </si>
  <si>
    <t>Questions (Jan 12th call)</t>
  </si>
  <si>
    <t>What does the street value Pagbank at?</t>
  </si>
  <si>
    <t>Crypto thinking</t>
  </si>
  <si>
    <t>CEO, better than early Jan</t>
  </si>
  <si>
    <t>Have a NDR in Feb</t>
  </si>
  <si>
    <t>By end of month - Jan 28//29</t>
  </si>
  <si>
    <t>a little more long-term</t>
  </si>
  <si>
    <t>some guidance on Q4 at Q3 numbers</t>
  </si>
  <si>
    <t>results will not be a surprise</t>
  </si>
  <si>
    <t>released Nov-20</t>
  </si>
  <si>
    <t>Late February…FY results</t>
  </si>
  <si>
    <t>Trying to run a SOP</t>
  </si>
  <si>
    <t>Q3 trying to give some steer</t>
  </si>
  <si>
    <t>PE multiple for Acquirer</t>
  </si>
  <si>
    <t>Some rev multiple for Pagbank</t>
  </si>
  <si>
    <t>old fashioned Cielo, Rede - DCF</t>
  </si>
  <si>
    <t>tech brokers…PE</t>
  </si>
  <si>
    <t>use an average of the market. PEG</t>
  </si>
  <si>
    <t>higher val through PE</t>
  </si>
  <si>
    <t>not incorporating Pagbank</t>
  </si>
  <si>
    <t xml:space="preserve">LT - recover margins of </t>
  </si>
  <si>
    <t>pandemic</t>
  </si>
  <si>
    <t>Pagbank start up</t>
  </si>
  <si>
    <t xml:space="preserve">Pag same as </t>
  </si>
  <si>
    <t>mid to high 20%s</t>
  </si>
  <si>
    <t>Int rates</t>
  </si>
  <si>
    <t xml:space="preserve"> a touch higher</t>
  </si>
  <si>
    <t>when raise</t>
  </si>
  <si>
    <t>higher</t>
  </si>
  <si>
    <t>100% for CDI over rates</t>
  </si>
  <si>
    <t>commercial deposits could make lower</t>
  </si>
  <si>
    <t>other sources of funding, FIDC</t>
  </si>
  <si>
    <t>would also help</t>
  </si>
  <si>
    <t>Bull cases</t>
  </si>
  <si>
    <t>Bear</t>
  </si>
  <si>
    <t>Monetising clients</t>
  </si>
  <si>
    <t>How to make profitable</t>
  </si>
  <si>
    <t>Could be profitable without investing today</t>
  </si>
  <si>
    <t>Visibility not there</t>
  </si>
  <si>
    <t>Susquehanna - up to BRL70</t>
  </si>
  <si>
    <t>Merchant monetising</t>
  </si>
  <si>
    <t>Consumer accelerating a lot</t>
  </si>
  <si>
    <t>want to develop a strong experience</t>
  </si>
  <si>
    <t>then start to monetise...cards and lending</t>
  </si>
  <si>
    <t>before consumer</t>
  </si>
  <si>
    <t>credit cards are all merchant</t>
  </si>
  <si>
    <t>Cryptos</t>
  </si>
  <si>
    <t>Not yet being offered</t>
  </si>
  <si>
    <t>no real urgency, millenials</t>
  </si>
  <si>
    <t>other important products</t>
  </si>
  <si>
    <t>Current accounts</t>
  </si>
  <si>
    <t>Private CDs</t>
  </si>
  <si>
    <t>Multi market funds</t>
  </si>
  <si>
    <t>Diversify</t>
  </si>
  <si>
    <t>receivables</t>
  </si>
  <si>
    <t>NPL</t>
  </si>
  <si>
    <t>v small for credit</t>
  </si>
  <si>
    <t>tranactional charge back - cancelling transaction</t>
  </si>
  <si>
    <t>Pagbank revenue (LHS)</t>
  </si>
  <si>
    <t>as % Group (RHS)</t>
  </si>
  <si>
    <t>Cards</t>
  </si>
  <si>
    <t>Pre-paid cash "credit"</t>
  </si>
  <si>
    <t>Cash "debit" card</t>
  </si>
  <si>
    <t>VISA branded</t>
  </si>
  <si>
    <t>Total Credit</t>
  </si>
  <si>
    <t>Membership one-off's</t>
  </si>
  <si>
    <t>Revenue (in transactions)</t>
  </si>
  <si>
    <t>Coronavoucher adjustment</t>
  </si>
  <si>
    <t>Take-rate</t>
  </si>
  <si>
    <t>Online TPV</t>
  </si>
  <si>
    <t>MPOS TPV</t>
  </si>
  <si>
    <t>% diff</t>
  </si>
  <si>
    <t>TPV, BRL billion</t>
  </si>
  <si>
    <t>BRL billion</t>
  </si>
  <si>
    <t>PAGS Acquirer TPV</t>
  </si>
  <si>
    <t>Share of merchants</t>
  </si>
  <si>
    <t>Adds, 000s</t>
  </si>
  <si>
    <t>Credit as % PAGS TPV</t>
  </si>
  <si>
    <t>Take-rate MDRs, bps</t>
  </si>
  <si>
    <t>PAGS active merchants</t>
  </si>
  <si>
    <t>Pago Group (12m activity)</t>
  </si>
  <si>
    <t>Brazil (split by Pago TPV split)</t>
  </si>
  <si>
    <t>Pago Group (disclosed, 3m activity)</t>
  </si>
  <si>
    <t>PAGS active merchants (12m activity)</t>
  </si>
  <si>
    <t>Pago Brasil</t>
  </si>
  <si>
    <t>Assume Brazil Pago TPV as total Brazil TPV</t>
  </si>
  <si>
    <t>Rest of MELI</t>
  </si>
  <si>
    <t>Merchant Services Brazil</t>
  </si>
  <si>
    <t>Rest of MELI Pago</t>
  </si>
  <si>
    <t>Rest of MELI Merchant Services</t>
  </si>
  <si>
    <t>Pago vs Merchant Services</t>
  </si>
  <si>
    <t>Assume Brazil Pago TPV as % Pago TPV</t>
  </si>
  <si>
    <t>Brazil Pago to Merchant ratio</t>
  </si>
  <si>
    <t>Q2 20</t>
  </si>
  <si>
    <t>Q3 20</t>
  </si>
  <si>
    <t>Interchange fees, bps</t>
  </si>
  <si>
    <t>MDR revenue (Take x TPV)</t>
  </si>
  <si>
    <t>Price, USD</t>
  </si>
  <si>
    <t>Market Cap</t>
  </si>
  <si>
    <t>PE</t>
  </si>
  <si>
    <t>Cumulative dividend</t>
  </si>
  <si>
    <t>Dividend yield</t>
  </si>
  <si>
    <t>Returns</t>
  </si>
  <si>
    <t>EBITDA</t>
  </si>
  <si>
    <t>Financial metrics</t>
  </si>
  <si>
    <t>Financial/Operational</t>
  </si>
  <si>
    <t>Gross profit</t>
  </si>
  <si>
    <t>Operating income</t>
  </si>
  <si>
    <t>EPS</t>
  </si>
  <si>
    <t>DPS</t>
  </si>
  <si>
    <t>Net debt/EBITDA</t>
  </si>
  <si>
    <t>Revs (inc fin income)</t>
  </si>
  <si>
    <t>BRL m</t>
  </si>
  <si>
    <t>Pagbank users</t>
  </si>
  <si>
    <t>Acquirer TPV</t>
  </si>
  <si>
    <t>Acquirer</t>
  </si>
  <si>
    <t>Pagbank TPV</t>
  </si>
  <si>
    <t>Loan size (ex credit cards)</t>
  </si>
  <si>
    <t>Pago</t>
  </si>
  <si>
    <t>Q4 19</t>
  </si>
  <si>
    <t>Q3 19</t>
  </si>
  <si>
    <t>No of clients, 000s</t>
  </si>
  <si>
    <t>Credit portfolio, $ m</t>
  </si>
  <si>
    <t>Loan size, R$</t>
  </si>
  <si>
    <t>Loan size, USD</t>
  </si>
  <si>
    <t>Stone credit book</t>
  </si>
  <si>
    <t>as % Group net income</t>
  </si>
  <si>
    <t xml:space="preserve"> - of which Credit cards</t>
  </si>
  <si>
    <t>Working capital / other</t>
  </si>
  <si>
    <t>Cash cards</t>
  </si>
  <si>
    <t>Credit card penetration (LHS)</t>
  </si>
  <si>
    <t>PAGS % share of total credit cards (RHS)</t>
  </si>
  <si>
    <t>Wallet TPV</t>
  </si>
  <si>
    <t>Card issuance TPV</t>
  </si>
  <si>
    <t>Wallet spend/Pagbank user/month</t>
  </si>
  <si>
    <t>as % active Pagbank users</t>
  </si>
  <si>
    <t>as % active Merchants</t>
  </si>
  <si>
    <t>Metric</t>
  </si>
  <si>
    <t>Forecast</t>
  </si>
  <si>
    <t>Multiple</t>
  </si>
  <si>
    <t>% of EV</t>
  </si>
  <si>
    <t>Total value</t>
  </si>
  <si>
    <t>Value per share</t>
  </si>
  <si>
    <t>Price</t>
  </si>
  <si>
    <t>Upside</t>
  </si>
  <si>
    <t>100% EV</t>
  </si>
  <si>
    <t>Pagbank DCF</t>
  </si>
  <si>
    <t>FCF to equity</t>
  </si>
  <si>
    <t>Assumed FCF to equity</t>
  </si>
  <si>
    <t>Cost of equity</t>
  </si>
  <si>
    <t>NPV FCF</t>
  </si>
  <si>
    <t>TV</t>
  </si>
  <si>
    <t>growth</t>
  </si>
  <si>
    <t>PV TV</t>
  </si>
  <si>
    <t>EV, R$ billion</t>
  </si>
  <si>
    <t>EV, USD billion</t>
  </si>
  <si>
    <t>EV/sub multiples</t>
  </si>
  <si>
    <t>Implied value</t>
  </si>
  <si>
    <t>Stake</t>
  </si>
  <si>
    <t>Number of subs, million</t>
  </si>
  <si>
    <t>Pagseguro DCF</t>
  </si>
  <si>
    <t>Fin income</t>
  </si>
  <si>
    <t>Total revenue, USD</t>
  </si>
  <si>
    <t>NPV NOPLAT</t>
  </si>
  <si>
    <t>EV/sub, USD</t>
  </si>
  <si>
    <t>EV/revenue</t>
  </si>
  <si>
    <t>EV/sub, BRL</t>
  </si>
  <si>
    <t>C6,  BRL million</t>
  </si>
  <si>
    <t>Creditas, USD million</t>
  </si>
  <si>
    <t>2020e revenue (guide), BRL million</t>
  </si>
  <si>
    <t>2020e revenue (guide), USD million</t>
  </si>
  <si>
    <t>Implied value, USD million</t>
  </si>
  <si>
    <t>C6</t>
  </si>
  <si>
    <t>Creditas</t>
  </si>
  <si>
    <t>2020e EV/revenue</t>
  </si>
  <si>
    <t>Nubank,  USD million</t>
  </si>
  <si>
    <t>Number of subs, million (Jun-20)</t>
  </si>
  <si>
    <t>Dragoneer, Ribbit Capital)</t>
  </si>
  <si>
    <t>(incs LGT Lightstone, Tarsadia, Wellington, Advent)</t>
  </si>
  <si>
    <t>(incs TCV, Tencent, DST Global, Sequoia,</t>
  </si>
  <si>
    <t>Funding round (&gt;40 investors) - Dec 20</t>
  </si>
  <si>
    <t>Funding round - Dec 20</t>
  </si>
  <si>
    <t>Funding round - Jul 19</t>
  </si>
  <si>
    <t>Nubank</t>
  </si>
  <si>
    <t>USD EV/sub</t>
  </si>
  <si>
    <t>Date</t>
  </si>
  <si>
    <t>Comps</t>
  </si>
  <si>
    <t>USD million</t>
  </si>
  <si>
    <t>Average Precedent</t>
  </si>
  <si>
    <t>Precedent multiples for Pagbank</t>
  </si>
  <si>
    <t>PYPS</t>
  </si>
  <si>
    <t>MELI Group</t>
  </si>
  <si>
    <t>MELI Fintech</t>
  </si>
  <si>
    <t>SQ *</t>
  </si>
  <si>
    <t>* ex-bitcoin revenue, 140% inc bitcoin</t>
  </si>
  <si>
    <t>Other factor adj</t>
  </si>
  <si>
    <t>Net income (GAAP)</t>
  </si>
  <si>
    <t>Total costs (inc interchange, other transaction, GAAP)</t>
  </si>
  <si>
    <t>Net income (non GAAP)</t>
  </si>
  <si>
    <t>Admin expenses</t>
  </si>
  <si>
    <t>Cost of sales</t>
  </si>
  <si>
    <t>Profit before tax (GAAP)</t>
  </si>
  <si>
    <t>PBT (Non GAAP)</t>
  </si>
  <si>
    <t>Non GAAP net income</t>
  </si>
  <si>
    <t>EBITDA  (pre fin inc)</t>
  </si>
  <si>
    <t>UBS</t>
  </si>
  <si>
    <t>GS</t>
  </si>
  <si>
    <t>Risk free rate</t>
  </si>
  <si>
    <t>Risk premium</t>
  </si>
  <si>
    <t>Beta</t>
  </si>
  <si>
    <t>Tax rate</t>
  </si>
  <si>
    <t>Debt / equity</t>
  </si>
  <si>
    <t>C of E calc</t>
  </si>
  <si>
    <t>Used</t>
  </si>
  <si>
    <t>Multiple used</t>
  </si>
  <si>
    <t>US risk free</t>
  </si>
  <si>
    <t>Brazil premium</t>
  </si>
  <si>
    <t>Inflation differential</t>
  </si>
  <si>
    <t>BTG</t>
  </si>
  <si>
    <t>HSBC</t>
  </si>
  <si>
    <t>Melvin</t>
  </si>
  <si>
    <t>Selling out of PAGS</t>
  </si>
  <si>
    <t>Gamestock exposure</t>
  </si>
  <si>
    <t>End-Sept - zero</t>
  </si>
  <si>
    <t>Heard from brokers…bought some shares by YE 2020</t>
  </si>
  <si>
    <t>Had 2m shares</t>
  </si>
  <si>
    <t>Non GAAP adjs (stock options)</t>
  </si>
  <si>
    <t>Implied stock options provision</t>
  </si>
  <si>
    <t>Online merchants</t>
  </si>
  <si>
    <t>Online TPV/merchant</t>
  </si>
  <si>
    <t>Online adds</t>
  </si>
  <si>
    <t>Active Pagseguro merchant adds</t>
  </si>
  <si>
    <t>mPOS</t>
  </si>
  <si>
    <t>Online (Wirecard, moip) TPV</t>
  </si>
  <si>
    <t>Total merchants, 000s</t>
  </si>
  <si>
    <t>Online as % total PAGS TPV</t>
  </si>
  <si>
    <t>mPOS TPV</t>
  </si>
  <si>
    <t>mPOS merchants, 000s</t>
  </si>
  <si>
    <t>mPOS adds</t>
  </si>
  <si>
    <t>mPOS TPV/merchant</t>
  </si>
  <si>
    <t>TPV/merchant, BRL</t>
  </si>
  <si>
    <t>Brazil merchants, 000s</t>
  </si>
  <si>
    <t>On-line</t>
  </si>
  <si>
    <t>9m 2019</t>
  </si>
  <si>
    <t>9m 2020</t>
  </si>
  <si>
    <t>Pandemic</t>
  </si>
  <si>
    <t>Reported net income</t>
  </si>
  <si>
    <t>Reported revenue</t>
  </si>
  <si>
    <t>margin</t>
  </si>
  <si>
    <t>Adj revenue</t>
  </si>
  <si>
    <t>Adj net income</t>
  </si>
  <si>
    <t>Credit mix and Pagbank costs</t>
  </si>
  <si>
    <t>Online</t>
  </si>
  <si>
    <t>Credit as % TPV</t>
  </si>
  <si>
    <t>Net debt (adj receivables)</t>
  </si>
  <si>
    <t>Cash</t>
  </si>
  <si>
    <t>Fin investments</t>
  </si>
  <si>
    <t>Receivables</t>
  </si>
  <si>
    <t>Payables</t>
  </si>
  <si>
    <t>SOP target EV</t>
  </si>
  <si>
    <t>&lt; 30 days</t>
  </si>
  <si>
    <t>31-120 days</t>
  </si>
  <si>
    <t>121-180</t>
  </si>
  <si>
    <t>181-360</t>
  </si>
  <si>
    <t>&gt;360</t>
  </si>
  <si>
    <t>Implied annual factoring revs</t>
  </si>
  <si>
    <t>4Q20</t>
  </si>
  <si>
    <t>4Q 20</t>
  </si>
  <si>
    <t>Active Pagseguro merchant adds (ex moip)</t>
  </si>
  <si>
    <t>From moip</t>
  </si>
  <si>
    <t>diff (options)</t>
  </si>
  <si>
    <t>Consumers</t>
  </si>
  <si>
    <t>Merchants</t>
  </si>
  <si>
    <t>Consumers as %</t>
  </si>
  <si>
    <t>R$250/person month for 4 months</t>
  </si>
  <si>
    <t>Coronavoucher to be restored</t>
  </si>
  <si>
    <t>Those on the scheme will be unbanked</t>
  </si>
  <si>
    <t>Lockdowns coming back in Brazil</t>
  </si>
  <si>
    <t>New merchant promos in Q3</t>
  </si>
  <si>
    <t>Don’t pay until reach R$10,000/merchant…takes</t>
  </si>
  <si>
    <t>Hub strategy, different to the long-tail</t>
  </si>
  <si>
    <t>Hubs</t>
  </si>
  <si>
    <t>Stone moving down…PAGS moving up</t>
  </si>
  <si>
    <t>Main losses will come from incumbents</t>
  </si>
  <si>
    <t>Easier to move up, then move down</t>
  </si>
  <si>
    <t>Long-tail profitability needs scale…to reduce average cost of POS</t>
  </si>
  <si>
    <t>PAGS largest buyer of POS's in Brazil</t>
  </si>
  <si>
    <t>7m active clients</t>
  </si>
  <si>
    <t>STNE has 0.5 million</t>
  </si>
  <si>
    <t>Hiring a sales team, training, POS same day activation</t>
  </si>
  <si>
    <t>Cielo, GET</t>
  </si>
  <si>
    <t>Don't have good POS</t>
  </si>
  <si>
    <t>Don't have software solutions</t>
  </si>
  <si>
    <t>STNE has the software know-how</t>
  </si>
  <si>
    <t>Acquired Zigo, CRM/loyalty program</t>
  </si>
  <si>
    <t>0.5 million software subs</t>
  </si>
  <si>
    <t>small compared to STNE</t>
  </si>
  <si>
    <t>250-300 hubs</t>
  </si>
  <si>
    <t>4-5</t>
  </si>
  <si>
    <t>Merchants/"hunter" = 100-300</t>
  </si>
  <si>
    <t>1000 merchants/hub</t>
  </si>
  <si>
    <t>250-300k merchants</t>
  </si>
  <si>
    <t>If long-tail is so big, why chase hubs?</t>
  </si>
  <si>
    <t>Natural evolution</t>
  </si>
  <si>
    <t>3rd party investment</t>
  </si>
  <si>
    <t>Insurance</t>
  </si>
  <si>
    <t>R$300-400k</t>
  </si>
  <si>
    <t>Target is R$100-200k revs per merchant</t>
  </si>
  <si>
    <t>5 million</t>
  </si>
  <si>
    <t>R$700 billion</t>
  </si>
  <si>
    <t>30-35 milliom</t>
  </si>
  <si>
    <t>5 million SMBs</t>
  </si>
  <si>
    <t>25-30m</t>
  </si>
  <si>
    <t>Local fund</t>
  </si>
  <si>
    <t>Investment fund, hashdex.xom</t>
  </si>
  <si>
    <t>Deferred revenue</t>
  </si>
  <si>
    <t>Deferred income tax</t>
  </si>
  <si>
    <t>For cash balance</t>
  </si>
  <si>
    <t>Net cash</t>
  </si>
  <si>
    <t>Fin income as % Acquirer volume</t>
  </si>
  <si>
    <t>Consensus Estimates</t>
  </si>
  <si>
    <t>Overview</t>
  </si>
  <si>
    <t>Key Metrics | R$ million</t>
  </si>
  <si>
    <t>Broker / Company / Research</t>
  </si>
  <si>
    <t>New Street Research</t>
  </si>
  <si>
    <t>Lead Analyst</t>
  </si>
  <si>
    <t>Soomit Data</t>
  </si>
  <si>
    <t>P/E</t>
  </si>
  <si>
    <t>ROE</t>
  </si>
  <si>
    <t>Rating</t>
  </si>
  <si>
    <t>12-M Target Price</t>
  </si>
  <si>
    <t>Acquiring TPV</t>
  </si>
  <si>
    <t>Active Merchants | mn</t>
  </si>
  <si>
    <t>non-Acquiring TPV</t>
  </si>
  <si>
    <t>Cost of Equity</t>
  </si>
  <si>
    <t>PagBank Active Users | mn</t>
  </si>
  <si>
    <t>Total Net Revenue and Income</t>
  </si>
  <si>
    <t>Long-term growth rate</t>
  </si>
  <si>
    <t>Net Income | GAAP</t>
  </si>
  <si>
    <t>Equity Risk Premium</t>
  </si>
  <si>
    <t>Net Income | non-GAAP</t>
  </si>
  <si>
    <t>Risk Free Rate</t>
  </si>
  <si>
    <t>1Q21</t>
  </si>
  <si>
    <t>2Q21</t>
  </si>
  <si>
    <t>3Q21</t>
  </si>
  <si>
    <t>4Q21</t>
  </si>
  <si>
    <t>Brazilian Risk Rate</t>
  </si>
  <si>
    <t>Inflation Differential with the US</t>
  </si>
  <si>
    <t>1Q22</t>
  </si>
  <si>
    <t>1Q23</t>
  </si>
  <si>
    <t>2Q23</t>
  </si>
  <si>
    <t>3Q23</t>
  </si>
  <si>
    <t>4Q23</t>
  </si>
  <si>
    <t>1Q24</t>
  </si>
  <si>
    <t>2Q24</t>
  </si>
  <si>
    <t>3Q24</t>
  </si>
  <si>
    <t>4Q24</t>
  </si>
  <si>
    <t>1Q25</t>
  </si>
  <si>
    <t>2Q25</t>
  </si>
  <si>
    <t>3Q25</t>
  </si>
  <si>
    <t>4Q25</t>
  </si>
  <si>
    <t xml:space="preserve"> - of which LTIP exp</t>
  </si>
  <si>
    <t>Notes:</t>
  </si>
  <si>
    <t>Credit portfolio is booked in Accounts Receivable</t>
  </si>
  <si>
    <t>Pagbank CDs are booked in Deposits (and not reflected in net cash)</t>
  </si>
  <si>
    <t>Volumes up 50% y/y</t>
  </si>
  <si>
    <t>Last couple of weeks, tightening lockdowns</t>
  </si>
  <si>
    <t>All non-essential services</t>
  </si>
  <si>
    <t>Second half easier comps but, offset a little</t>
  </si>
  <si>
    <t>Nothing relevant yet, re 40% guide for FY</t>
  </si>
  <si>
    <t>TPV up to 55-60%</t>
  </si>
  <si>
    <t>Market more bullish than formal consensus</t>
  </si>
  <si>
    <t>Credit vs debit…slight improvement…</t>
  </si>
  <si>
    <t>related to corona</t>
  </si>
  <si>
    <t>2.30% take in Q4…ex-Coron was 2.44%</t>
  </si>
  <si>
    <t>improvement of this magnitude</t>
  </si>
  <si>
    <t>rebate subsidy for Mastercard</t>
  </si>
  <si>
    <t>transaction to TPV was 1.45%</t>
  </si>
  <si>
    <t xml:space="preserve">5-7 bps vs </t>
  </si>
  <si>
    <t>paid to PAGS</t>
  </si>
  <si>
    <t>targets, such as cards issued</t>
  </si>
  <si>
    <t>Visa paid R$30m in Q1 20 for subsidies</t>
  </si>
  <si>
    <t>R$40m paid in</t>
  </si>
  <si>
    <t>these are recurring in reality</t>
  </si>
  <si>
    <t>Hub strategy being reviewed</t>
  </si>
  <si>
    <t>Lockdowns…</t>
  </si>
  <si>
    <t>PAGS continued to be aggressive</t>
  </si>
  <si>
    <t>others pulled back subsidies and promotions to merchants</t>
  </si>
  <si>
    <t>PAGS continued</t>
  </si>
  <si>
    <t>Cielo and Rede pulled back from long-tail</t>
  </si>
  <si>
    <t>STNE pulled back on TON until H2</t>
  </si>
  <si>
    <t>MELI pulled back on subsidies and promos to micro merchants</t>
  </si>
  <si>
    <t>In 2020</t>
  </si>
  <si>
    <t>Home broker still happening</t>
  </si>
  <si>
    <t xml:space="preserve">Credit underwriting </t>
  </si>
  <si>
    <t>under review</t>
  </si>
  <si>
    <t>NPL trends are encouraging</t>
  </si>
  <si>
    <t xml:space="preserve">which merchants have higher exposure </t>
  </si>
  <si>
    <t>those with less -keep lending</t>
  </si>
  <si>
    <t>Feb - highest one month credit dispersal</t>
  </si>
  <si>
    <t>Expenses</t>
  </si>
  <si>
    <t>Other - software and consulting</t>
  </si>
  <si>
    <t>Hiring a lot here</t>
  </si>
  <si>
    <t>Personnel</t>
  </si>
  <si>
    <t>3rd party funding</t>
  </si>
  <si>
    <t>share the risk, but share the rewards</t>
  </si>
  <si>
    <t>CDs funding</t>
  </si>
  <si>
    <t>1. Market likes "no balance sheet risk"</t>
  </si>
  <si>
    <t>2. MELI and STNE - can't offer CD, PAGS has a full licence</t>
  </si>
  <si>
    <t>One day completely interrupted PAGS for one day</t>
  </si>
  <si>
    <t>2014/15 - securitised receivables 100% through Itau</t>
  </si>
  <si>
    <t>Could launch a second FIDC to launch</t>
  </si>
  <si>
    <t>One FIDC could do credit card receivables, as well as credit book/loans</t>
  </si>
  <si>
    <t>Credit risk much lower</t>
  </si>
  <si>
    <t>STNE did FIDC just for loan book</t>
  </si>
  <si>
    <t>FIDC is also a tax management</t>
  </si>
  <si>
    <t>other acquirers cannot target these receivables</t>
  </si>
  <si>
    <t>Not eligible for PIS/COFINS</t>
  </si>
  <si>
    <t>Other receivables for Cielo etc can be used to back loans</t>
  </si>
  <si>
    <t>Profitability under some pressure this year</t>
  </si>
  <si>
    <t>Vols</t>
  </si>
  <si>
    <t>Products/user</t>
  </si>
  <si>
    <t>Revs</t>
  </si>
  <si>
    <t>Net margins for H1 17-18%, non GAAP</t>
  </si>
  <si>
    <t>H2 should restore take-rates</t>
  </si>
  <si>
    <t>Jan/Feb call</t>
  </si>
  <si>
    <t>Second round of Coronavouchers</t>
  </si>
  <si>
    <t>Matter of time</t>
  </si>
  <si>
    <t>April and July…R$44 billion</t>
  </si>
  <si>
    <t>Brazilians looking for digital wallets - Picpay and Mercado Pago - subacquirers</t>
  </si>
  <si>
    <t>this helped Stone, processed for these guys and some others</t>
  </si>
  <si>
    <t>PAGS targeted last year</t>
  </si>
  <si>
    <t>Cash back for Pagbank clients</t>
  </si>
  <si>
    <t>Make deposit, R$10/20 to customers. Did that late</t>
  </si>
  <si>
    <t>QR can differentiate</t>
  </si>
  <si>
    <t>Pag users for Pag spending</t>
  </si>
  <si>
    <t>Coronavouchers</t>
  </si>
  <si>
    <t>R$2.7 billion in Q3 - can track this</t>
  </si>
  <si>
    <t>R$1.5</t>
  </si>
  <si>
    <t>PAG client, elect to spend (anywhere)</t>
  </si>
  <si>
    <t>Bill payments, wire transfers</t>
  </si>
  <si>
    <t>Or transactions through POS</t>
  </si>
  <si>
    <t>Nothing in for guidance TPV &gt;40% guidance</t>
  </si>
  <si>
    <t>This compares to 2020:</t>
  </si>
  <si>
    <t>R$600 May and Sept</t>
  </si>
  <si>
    <t>Oct-Dec R$300</t>
  </si>
  <si>
    <t xml:space="preserve">Now </t>
  </si>
  <si>
    <t>Q2</t>
  </si>
  <si>
    <t>Q3</t>
  </si>
  <si>
    <t>Q4</t>
  </si>
  <si>
    <t>revs</t>
  </si>
  <si>
    <t>tpv</t>
  </si>
  <si>
    <t>net</t>
  </si>
  <si>
    <t>19.7% in non GAAP</t>
  </si>
  <si>
    <t>gaap</t>
  </si>
  <si>
    <t>74% Buy</t>
  </si>
  <si>
    <t>Sell-side</t>
  </si>
  <si>
    <t>JPM and GS Buy</t>
  </si>
  <si>
    <t>Bradesco BVI</t>
  </si>
  <si>
    <t>Itau</t>
  </si>
  <si>
    <t>Hold</t>
  </si>
  <si>
    <t>Sell</t>
  </si>
  <si>
    <t>Take rate trends</t>
  </si>
  <si>
    <t>Marketing</t>
  </si>
  <si>
    <t>145 bp transaction costs over volumes for FY</t>
  </si>
  <si>
    <t>Adj</t>
  </si>
  <si>
    <t>EV/Revenue (net)</t>
  </si>
  <si>
    <t>Coronavoucher</t>
  </si>
  <si>
    <t>Q4 20</t>
  </si>
  <si>
    <t>Q1 21</t>
  </si>
  <si>
    <t>Q2 21</t>
  </si>
  <si>
    <t>as % debit</t>
  </si>
  <si>
    <t>Net revs (ex-interchange)</t>
  </si>
  <si>
    <t>Buy</t>
  </si>
  <si>
    <t>mPOS TPV/merchant/month</t>
  </si>
  <si>
    <t>Deposits (incs CDs, Corporate issuances)</t>
  </si>
  <si>
    <t>Accounts Receivable (incs Credit portfolio)</t>
  </si>
  <si>
    <t xml:space="preserve">Accounts Receivable </t>
  </si>
  <si>
    <t>1Q 21</t>
  </si>
  <si>
    <t>Cons</t>
  </si>
  <si>
    <t>Net income GAAP</t>
  </si>
  <si>
    <t>Net income non GAAP</t>
  </si>
  <si>
    <t>Pagbank credit book</t>
  </si>
  <si>
    <t>Revenue ex-ITC</t>
  </si>
  <si>
    <t xml:space="preserve"> - of which interchange</t>
  </si>
  <si>
    <t xml:space="preserve"> - of which card fees</t>
  </si>
  <si>
    <t>as % TPV</t>
  </si>
  <si>
    <t xml:space="preserve"> - Acquirer revenue</t>
  </si>
  <si>
    <t>Q1 21 follow up</t>
  </si>
  <si>
    <t>Pagbank revenue…how to think about recovery from here</t>
  </si>
  <si>
    <t>Double check the credit / debit mix</t>
  </si>
  <si>
    <t>Competitive landscape…any impact from TON?</t>
  </si>
  <si>
    <t>Any Coronavoucher contributions in Q2 (Apr or May)</t>
  </si>
  <si>
    <t>Acquirer TPV/merchant/month</t>
  </si>
  <si>
    <t>Software subs</t>
  </si>
  <si>
    <t>as %</t>
  </si>
  <si>
    <t>Book credit revenue like Stone? i.e. upfront?</t>
  </si>
  <si>
    <t>Check the presentation chart</t>
  </si>
  <si>
    <t>Registry of receivables</t>
  </si>
  <si>
    <t xml:space="preserve"> </t>
  </si>
  <si>
    <t>Edinburgh funds</t>
  </si>
  <si>
    <t>JP Morgan</t>
  </si>
  <si>
    <t>Pelham</t>
  </si>
  <si>
    <t>65% of Pagbank BRL55 billion</t>
  </si>
  <si>
    <t>Lower cash</t>
  </si>
  <si>
    <t>30% decline, BRL7 / withdrawal</t>
  </si>
  <si>
    <t>Cash withdrawals</t>
  </si>
  <si>
    <t>Lower price</t>
  </si>
  <si>
    <t>using for bill payments, utility bills</t>
  </si>
  <si>
    <t>P&amp;L - revenue</t>
  </si>
  <si>
    <t>NPLs</t>
  </si>
  <si>
    <t>- runs through costs</t>
  </si>
  <si>
    <t>Feel comfortable with credit</t>
  </si>
  <si>
    <t>STNE - issue with the credit model</t>
  </si>
  <si>
    <t>More than a pandemic issue</t>
  </si>
  <si>
    <t>Accelerate loans - new credit has lower NPLs</t>
  </si>
  <si>
    <t>FIDC - from CVM</t>
  </si>
  <si>
    <t xml:space="preserve">April </t>
  </si>
  <si>
    <t>BRL2.3 billion</t>
  </si>
  <si>
    <t xml:space="preserve">NPL </t>
  </si>
  <si>
    <t>Provision for losses</t>
  </si>
  <si>
    <t>24% of total book loan</t>
  </si>
  <si>
    <t>Up to 8% (7.6%)</t>
  </si>
  <si>
    <t>After one day, NPL 8%</t>
  </si>
  <si>
    <t>Provision for losses in April</t>
  </si>
  <si>
    <t>2 FIDCs</t>
  </si>
  <si>
    <t>(combined)</t>
  </si>
  <si>
    <t>BRL0.5 billion in April</t>
  </si>
  <si>
    <t>Accelerated credit during origination</t>
  </si>
  <si>
    <t>Quite reckless at Stone?</t>
  </si>
  <si>
    <t>Can renegotiate NPLs</t>
  </si>
  <si>
    <t>Credit instalments…duration is lower than it used to be</t>
  </si>
  <si>
    <t>Debit is 43% in Q1</t>
  </si>
  <si>
    <t>Credit is 57%</t>
  </si>
  <si>
    <t>Duration of 5-6 months, 2-4 months</t>
  </si>
  <si>
    <t>24% is credit in one instalment</t>
  </si>
  <si>
    <t>38-30% in multple instalments</t>
  </si>
  <si>
    <t>debit in Q4 was 50%</t>
  </si>
  <si>
    <t>PAGS offering credit</t>
  </si>
  <si>
    <t>Stone and Inter, conflict of interest</t>
  </si>
  <si>
    <t>reduce funding cost…is expensive</t>
  </si>
  <si>
    <t>cheaper funding, Inter will provide the lending</t>
  </si>
  <si>
    <t>Rising rates</t>
  </si>
  <si>
    <t>structural oppo relating to Brazil</t>
  </si>
  <si>
    <t>full banking licence, cheaper funding, several initiatives</t>
  </si>
  <si>
    <t>not just working capital</t>
  </si>
  <si>
    <t>y/y change</t>
  </si>
  <si>
    <t xml:space="preserve">Ex-Pagbank </t>
  </si>
  <si>
    <t>Q3 21</t>
  </si>
  <si>
    <t>Q4 21</t>
  </si>
  <si>
    <t>Net % margin (on net revenue)</t>
  </si>
  <si>
    <t>2Q 21</t>
  </si>
  <si>
    <t>Brazil share of Fintech revenue</t>
  </si>
  <si>
    <t>Equity (market capitalisation)</t>
  </si>
  <si>
    <t>2Q 22E</t>
  </si>
  <si>
    <t>Total TPV</t>
  </si>
  <si>
    <t xml:space="preserve">Merchants </t>
  </si>
  <si>
    <t>Effective tax low?</t>
  </si>
  <si>
    <t>Interchange / credit / remittances</t>
  </si>
  <si>
    <t>Oppo form Registry of Receivables</t>
  </si>
  <si>
    <t>Conf call</t>
  </si>
  <si>
    <t>Q&amp;A</t>
  </si>
  <si>
    <t>June-21, &gt;11m Pagbanks subs</t>
  </si>
  <si>
    <t>10m log ins per day</t>
  </si>
  <si>
    <t>Take rate stable…and for coming quarters</t>
  </si>
  <si>
    <t>1/ Cell phone insurance</t>
  </si>
  <si>
    <t>2/ Pagbank All Seasons. Invest offer</t>
  </si>
  <si>
    <t xml:space="preserve">3/ Brazil Treasury bond trading </t>
  </si>
  <si>
    <t>4/ Overdraft</t>
  </si>
  <si>
    <t>Pagbank revenue stable despite v strong Credit…?</t>
  </si>
  <si>
    <t>Banco BV?</t>
  </si>
  <si>
    <t>80% of GDP with ~300 Hubs</t>
  </si>
  <si>
    <t>Software</t>
  </si>
  <si>
    <t>Charge for software</t>
  </si>
  <si>
    <t>BRL1.1 billion</t>
  </si>
  <si>
    <t>Operated for 3 years</t>
  </si>
  <si>
    <t>**</t>
  </si>
  <si>
    <t>100% booked in balance sheet</t>
  </si>
  <si>
    <t>Reg of receivables</t>
  </si>
  <si>
    <t>Not a parachute for poor credit underwriting</t>
  </si>
  <si>
    <t>Net income for Pagbank</t>
  </si>
  <si>
    <t>How much as % of total by YE</t>
  </si>
  <si>
    <t>Net adds in Acquiring slowed a little</t>
  </si>
  <si>
    <t>How finding competitive intensity</t>
  </si>
  <si>
    <t>Some competitors increasing prices</t>
  </si>
  <si>
    <t>Acquiring business</t>
  </si>
  <si>
    <t>&gt;1m in 2021 is still feasible</t>
  </si>
  <si>
    <t>Trends as SMB hubs</t>
  </si>
  <si>
    <t>Fin expense going forward</t>
  </si>
  <si>
    <t>Slightly better mix in long tail</t>
  </si>
  <si>
    <t>Take rate holding up better?</t>
  </si>
  <si>
    <t>Lending products</t>
  </si>
  <si>
    <t>IFRS9</t>
  </si>
  <si>
    <t>Provision right at the beginning…increase credit, might not help credit so much in short-term</t>
  </si>
  <si>
    <t>TPV growth v high</t>
  </si>
  <si>
    <t>Larger working capital needs</t>
  </si>
  <si>
    <t>Brazil rates up increasing cost of CDs</t>
  </si>
  <si>
    <t>Expect 7% by YE</t>
  </si>
  <si>
    <t>Q3 higher than Q2, Q4 higher than Q2</t>
  </si>
  <si>
    <t>Can increase prices if necessary to SMBs</t>
  </si>
  <si>
    <t>Don’t plan to increase LT prices just yet</t>
  </si>
  <si>
    <t>Some peers having problems with credit product</t>
  </si>
  <si>
    <t>Inorganic growth</t>
  </si>
  <si>
    <t>More disbursements this year, due to better cohorts, more sophisticated models, doesn't consider Chamber of receivables incorporating this</t>
  </si>
  <si>
    <t>Chamber could help potentially</t>
  </si>
  <si>
    <t>No intention/agreements as regards BV</t>
  </si>
  <si>
    <t>Continue to talk to lots of players</t>
  </si>
  <si>
    <t>Chamber</t>
  </si>
  <si>
    <t>Will be an additional way to collect</t>
  </si>
  <si>
    <t>Complex project</t>
  </si>
  <si>
    <t>Lots of progress in the last weeks, should work in the next week</t>
  </si>
  <si>
    <t>will be good and helpful for credit</t>
  </si>
  <si>
    <t>91% transacting through other Acquirers</t>
  </si>
  <si>
    <t>1/ POS</t>
  </si>
  <si>
    <t>2/ R&amp;D</t>
  </si>
  <si>
    <t>Both are viewed as supporting growth</t>
  </si>
  <si>
    <t>Lower guide now, as better view of year</t>
  </si>
  <si>
    <t>Coming in better than anticipated</t>
  </si>
  <si>
    <t>Top of 6-11% range</t>
  </si>
  <si>
    <t>Net income margin</t>
  </si>
  <si>
    <t>14.1%.. Where should this be going forward?</t>
  </si>
  <si>
    <t>Probably higher than 11%</t>
  </si>
  <si>
    <t>&gt;15% for FY</t>
  </si>
  <si>
    <t>Higher in Q3 and higher again in Q4</t>
  </si>
  <si>
    <t>~24% ex fees and Network fees</t>
  </si>
  <si>
    <t>2.24% take</t>
  </si>
  <si>
    <t>Tailwinds</t>
  </si>
  <si>
    <t>TPV up from economy and from Hubs</t>
  </si>
  <si>
    <t>&gt;50% of small merchants not taking cards yet</t>
  </si>
  <si>
    <t>300k/Q still good into 2021</t>
  </si>
  <si>
    <t>Cut in costs</t>
  </si>
  <si>
    <t>SAC</t>
  </si>
  <si>
    <t>20% in 2020 (30% ex Covid…why half the level in 2021)</t>
  </si>
  <si>
    <t>Hubs is the driver today</t>
  </si>
  <si>
    <t>Invs in Pagbank</t>
  </si>
  <si>
    <t>Higher D&amp;A is a big driver of this</t>
  </si>
  <si>
    <t>Rising fin expenses</t>
  </si>
  <si>
    <t>Q1 digital account losses…already solved</t>
  </si>
  <si>
    <t>Boa Compra</t>
  </si>
  <si>
    <t>Cross border</t>
  </si>
  <si>
    <t>What’s the oppo today? Small part of TPV, already had it for a few years</t>
  </si>
  <si>
    <t>Some liked to be served by other companies in Latin America</t>
  </si>
  <si>
    <t>Industry wide figures -</t>
  </si>
  <si>
    <t>debit accelerating, CAGR 21/19 Apr/May/Jun seems surprising</t>
  </si>
  <si>
    <t>credit used to be 63%, down to 61%</t>
  </si>
  <si>
    <t>Debit volumes..</t>
  </si>
  <si>
    <t>Larger base of debit cards in Brazil</t>
  </si>
  <si>
    <t>Not seeing much PIX penetration</t>
  </si>
  <si>
    <t>Incs PIX, but v small</t>
  </si>
  <si>
    <t>Composition of revenue here</t>
  </si>
  <si>
    <t>Picked up a lot in Q1 21 (Dig Account losses), stll elevated in Q2</t>
  </si>
  <si>
    <t>Growing</t>
  </si>
  <si>
    <t>2.1m clients, mainly consumers, don’t have cash-in</t>
  </si>
  <si>
    <t>Delay with money coming through</t>
  </si>
  <si>
    <t>Some promotions for some clients</t>
  </si>
  <si>
    <t>Withdrawal fees, not charing for some of those for more engagement</t>
  </si>
  <si>
    <t>Swapping ST revs for LT engagement</t>
  </si>
  <si>
    <t>12m of write-off provision up front</t>
  </si>
  <si>
    <t>IFRS9 credit provisions</t>
  </si>
  <si>
    <t>82% of merchants are now Pagbank</t>
  </si>
  <si>
    <t>diff</t>
  </si>
  <si>
    <t>Overdraft for consumers for credit</t>
  </si>
  <si>
    <t>pilots for credit cards</t>
  </si>
  <si>
    <t>Pagbank / consumers</t>
  </si>
  <si>
    <t>2.1m client adds</t>
  </si>
  <si>
    <t>405,000 Active cards</t>
  </si>
  <si>
    <t>Wire transfers to send and cards to make purchase/withdraw money</t>
  </si>
  <si>
    <t>Most popular use cases</t>
  </si>
  <si>
    <t>Not the main bank for majority of clients</t>
  </si>
  <si>
    <t>Implied H2</t>
  </si>
  <si>
    <t>H2 2020</t>
  </si>
  <si>
    <t>4.5x</t>
  </si>
  <si>
    <t>Average TPV/Hub merchant (per annum)</t>
  </si>
  <si>
    <t>Hubs TPV for 2021, BRL billion</t>
  </si>
  <si>
    <t>Total Acquiring TPV guide for FY 21, BRL billion (&gt;)</t>
  </si>
  <si>
    <t>YE share of TPV from Hubs (above 6-11% range)</t>
  </si>
  <si>
    <t>Implied Hub merchants, YE 21</t>
  </si>
  <si>
    <t>TPV/merchant vs average PAGS "long-tail"</t>
  </si>
  <si>
    <t>Follow up call</t>
  </si>
  <si>
    <t>Use receivables…why not at all?</t>
  </si>
  <si>
    <t>Is it all unsecured?</t>
  </si>
  <si>
    <t>EBITDA / net income?</t>
  </si>
  <si>
    <t>Elevated - history?</t>
  </si>
  <si>
    <t>New credit products</t>
  </si>
  <si>
    <t>Debit vs credit mix</t>
  </si>
  <si>
    <t>Confirm where today</t>
  </si>
  <si>
    <t>last few quarters</t>
  </si>
  <si>
    <t>Hubs success</t>
  </si>
  <si>
    <t>Provisions running through..</t>
  </si>
  <si>
    <t>Number of cards?</t>
  </si>
  <si>
    <t>momentum here</t>
  </si>
  <si>
    <t>3rd party lending at all?</t>
  </si>
  <si>
    <t>credit cards for consumers?</t>
  </si>
  <si>
    <t>Why subs adds so strong…why doing/using</t>
  </si>
  <si>
    <t>overdraft</t>
  </si>
  <si>
    <t>Check, should step up next few Qs</t>
  </si>
  <si>
    <t>Economics update</t>
  </si>
  <si>
    <t>Yields</t>
  </si>
  <si>
    <t>% yield of 3.5-4.0pp per month, 40-50%</t>
  </si>
  <si>
    <t>150% of CDI… funding costs, fully backed</t>
  </si>
  <si>
    <t>high single digit</t>
  </si>
  <si>
    <t>Funding</t>
  </si>
  <si>
    <t>Same as Stone</t>
  </si>
  <si>
    <t>Claiming Chamber is the driver</t>
  </si>
  <si>
    <t>Last year, many analysts criticised 2020 credit underwriting at PAGS</t>
  </si>
  <si>
    <t>1/ preservied liquidity</t>
  </si>
  <si>
    <t>3/ reduced for consumers, SMBs</t>
  </si>
  <si>
    <t>4/ increased for large corps</t>
  </si>
  <si>
    <t>2/ increased collateralisation</t>
  </si>
  <si>
    <t>5/ increased provisions</t>
  </si>
  <si>
    <t>Lending to 3 years to micros, with sophisticated model</t>
  </si>
  <si>
    <t>Chamber of Receivables issue to be well expected</t>
  </si>
  <si>
    <t>Diversified credit portfolio, 50% through WC, rest credit cards, backed by Pagbank CDs</t>
  </si>
  <si>
    <t>Payrolls to public servants</t>
  </si>
  <si>
    <t>3 tailwinds</t>
  </si>
  <si>
    <t>2/ create optimised offerings for merchants</t>
  </si>
  <si>
    <t>1/ accelerate underwriting for merchants WC with collateral</t>
  </si>
  <si>
    <t>3/ leverage, pre-pay receivbles for other acquirers</t>
  </si>
  <si>
    <t>directly collateralised for credit cards</t>
  </si>
  <si>
    <t>working cap loans</t>
  </si>
  <si>
    <t>small credits</t>
  </si>
  <si>
    <t>nothing "extraordinary" aside from in 2020</t>
  </si>
  <si>
    <t>Net income in 2022</t>
  </si>
  <si>
    <t>EBITDA break-even through 2021</t>
  </si>
  <si>
    <t>Strong brand recognition</t>
  </si>
  <si>
    <t>New products almost every week…closing gap</t>
  </si>
  <si>
    <t>overdraft loans for best cohorts</t>
  </si>
  <si>
    <t>direct debit</t>
  </si>
  <si>
    <t>scheduled wire transfers</t>
  </si>
  <si>
    <t>demanded for merchants</t>
  </si>
  <si>
    <t>Brazilian Treasury Bond retail platform</t>
  </si>
  <si>
    <t>70 retailers</t>
  </si>
  <si>
    <t>Brazilian lottery through Pagbank</t>
  </si>
  <si>
    <t>Partnership with TikTok</t>
  </si>
  <si>
    <t>content developers received within 1 day through Pagbank. 5 days otherwise</t>
  </si>
  <si>
    <t>Boa Compra, which provides cross border transactions</t>
  </si>
  <si>
    <t>Sticking to 1m net adds per Q even though</t>
  </si>
  <si>
    <t>Public program from govt which allows citizens to purchase a share of a bond, starting with $5</t>
  </si>
  <si>
    <t xml:space="preserve">Average amount per bond is BRL1,000 </t>
  </si>
  <si>
    <t>2, 5, 10, 30 year tenures also</t>
  </si>
  <si>
    <t>Commercial Deposits sit within Pagbank</t>
  </si>
  <si>
    <t>Different products</t>
  </si>
  <si>
    <t>As a customer, depends on index. Treasury Bond, one to IDCA (Br inflation), Br interest rate, pre-fixed rate</t>
  </si>
  <si>
    <t>Comm Deposits indexed to interest rate in Br</t>
  </si>
  <si>
    <t>Home broker platform</t>
  </si>
  <si>
    <t>Trade equities</t>
  </si>
  <si>
    <t>Cash back of BRL600 for next 36 months, for pay cheques into Pagbank</t>
  </si>
  <si>
    <t>Top drivers</t>
  </si>
  <si>
    <t>Could drive payroll loans</t>
  </si>
  <si>
    <t>Pagbank CD, Cert of Deposits, 200% of interbank rate</t>
  </si>
  <si>
    <t>for 6 months, normally 100-120%</t>
  </si>
  <si>
    <t>how manage when rates are going up?</t>
  </si>
  <si>
    <t>tenure of CDs is 3 months. Can be reviewed</t>
  </si>
  <si>
    <t>Tiktok has been helping attract more diversified clients</t>
  </si>
  <si>
    <t>mainly young unbanked population</t>
  </si>
  <si>
    <t xml:space="preserve">After 12m of receiving pay check, BRL200, 24m BRL200, BRL200 </t>
  </si>
  <si>
    <t>CAC has gone up by higher marketing…Pagbank CDs</t>
  </si>
  <si>
    <t xml:space="preserve">CAC - </t>
  </si>
  <si>
    <t>assume 40-50% of marketing expenses of PagSeguro merchants</t>
  </si>
  <si>
    <t>50-60% of Pagbank go to market</t>
  </si>
  <si>
    <t>fin expenses…20% of fin expenses as accrued interest on CDs</t>
  </si>
  <si>
    <t>Will come through over time</t>
  </si>
  <si>
    <t>Excluding ATM fees</t>
  </si>
  <si>
    <t>Most merchants used a lot</t>
  </si>
  <si>
    <t>2021, around BRL80-BRL100m was the previous estimate</t>
  </si>
  <si>
    <t>Used to be BRL1bn of 2021 FY revs for Pagbank</t>
  </si>
  <si>
    <t>This subsequently came out</t>
  </si>
  <si>
    <t>BRL8-900m is the new target</t>
  </si>
  <si>
    <t>PIS/COFINs</t>
  </si>
  <si>
    <t>related to FIDC</t>
  </si>
  <si>
    <t>if accrued, this might change</t>
  </si>
  <si>
    <t>banking structure…income tax for banks</t>
  </si>
  <si>
    <t>may move into this</t>
  </si>
  <si>
    <t>financial income</t>
  </si>
  <si>
    <t>gross and net difference</t>
  </si>
  <si>
    <t>100% of prepayments are being done through FIDC</t>
  </si>
  <si>
    <t>receivables flow into the FIDC</t>
  </si>
  <si>
    <t>as receiving from issuers and converting into cash, book into P&amp;L which generates fin income revenue</t>
  </si>
  <si>
    <t>corp tax rate</t>
  </si>
  <si>
    <t>can this be passed onto merchants?</t>
  </si>
  <si>
    <t>as rates up, pressuring spreads down</t>
  </si>
  <si>
    <t>if regs approved, additional taxes</t>
  </si>
  <si>
    <t>6m - trend is down</t>
  </si>
  <si>
    <t>now - seeing some price increases…from other peers</t>
  </si>
  <si>
    <t>Pago in br - prepayment fees up</t>
  </si>
  <si>
    <t>interchange is higher</t>
  </si>
  <si>
    <t>Stone and Sumup - MDR prices differentiated for Visa, Master, for ELO or other prices are higher</t>
  </si>
  <si>
    <t>currently, don’t pay 4.6-5% on PIS/COFINS</t>
  </si>
  <si>
    <t>can pre-pay through banking licence</t>
  </si>
  <si>
    <t>OR through acquiring licence</t>
  </si>
  <si>
    <t>FIDC is most common BUT if not the most efficient tax structure</t>
  </si>
  <si>
    <t>Could revisit prices…trying to gain share right now</t>
  </si>
  <si>
    <t>will assess in the future</t>
  </si>
  <si>
    <t>Gross finanical income</t>
  </si>
  <si>
    <t>Current</t>
  </si>
  <si>
    <t xml:space="preserve">% rate corporate </t>
  </si>
  <si>
    <t xml:space="preserve"> new rate impact</t>
  </si>
  <si>
    <t xml:space="preserve"> new "banking revenue" tax offset</t>
  </si>
  <si>
    <t>New tax rate</t>
  </si>
  <si>
    <t>Total impact to non GAAP net income</t>
  </si>
  <si>
    <t>Intra company dividend impact</t>
  </si>
  <si>
    <t>STONE</t>
  </si>
  <si>
    <t xml:space="preserve"> - of which prepaid</t>
  </si>
  <si>
    <t xml:space="preserve"> - of which not (receive D+28, pay D+30)</t>
  </si>
  <si>
    <t xml:space="preserve">FIDC balance </t>
  </si>
  <si>
    <t>FIDC as % total (2)</t>
  </si>
  <si>
    <t>Deduction as % gross fin income (3)</t>
  </si>
  <si>
    <t>Deductions, inc PIS/COFINS (1) x (2) x (3)</t>
  </si>
  <si>
    <t>Tax reform</t>
  </si>
  <si>
    <t xml:space="preserve"> - of which prepayment (1)</t>
  </si>
  <si>
    <t>6m</t>
  </si>
  <si>
    <t>Individual (other)</t>
  </si>
  <si>
    <t>Total micromerchants</t>
  </si>
  <si>
    <t>Limited liability company</t>
  </si>
  <si>
    <t>Micromerchants</t>
  </si>
  <si>
    <t>FCF</t>
  </si>
  <si>
    <t>Receivables for prepayment</t>
  </si>
  <si>
    <t>USD market cap</t>
  </si>
  <si>
    <t>SME revenue</t>
  </si>
  <si>
    <t>Individual (limited liability)</t>
  </si>
  <si>
    <t>Credit as % total</t>
  </si>
  <si>
    <t xml:space="preserve"> - credit as %</t>
  </si>
  <si>
    <t xml:space="preserve"> - of which debit / other</t>
  </si>
  <si>
    <t>Total Brazil market TPV</t>
  </si>
  <si>
    <t>Cash and invests</t>
  </si>
  <si>
    <t>CDs</t>
  </si>
  <si>
    <t>Deposits/balance</t>
  </si>
  <si>
    <t>BS</t>
  </si>
  <si>
    <t>Interest</t>
  </si>
  <si>
    <t>CDI</t>
  </si>
  <si>
    <t>(booked through Pagbank in transaction)</t>
  </si>
  <si>
    <t>Net</t>
  </si>
  <si>
    <t>Total liability</t>
  </si>
  <si>
    <t>Total asset</t>
  </si>
  <si>
    <t>EV/Net revenue</t>
  </si>
  <si>
    <t>EV/Revenue (gross)</t>
  </si>
  <si>
    <t>Soomit Datta</t>
  </si>
  <si>
    <t xml:space="preserve">+44 20 7375 9128 </t>
  </si>
  <si>
    <t>soomit@newstreetresearch.com</t>
  </si>
  <si>
    <t>Ticker</t>
  </si>
  <si>
    <t>Target Price</t>
  </si>
  <si>
    <t>PagSeguro (PAGS)</t>
  </si>
  <si>
    <t>Other (Rede)</t>
  </si>
  <si>
    <t>Rede (est)</t>
  </si>
  <si>
    <t>New Street</t>
  </si>
  <si>
    <t>Lending/wallet</t>
  </si>
  <si>
    <t>Acquiring/non-Pagank</t>
  </si>
  <si>
    <t>Group</t>
  </si>
  <si>
    <t>% contribution</t>
  </si>
  <si>
    <t xml:space="preserve">After-tax cut from Interchange </t>
  </si>
  <si>
    <t>Interchange as % net income (GAAP)</t>
  </si>
  <si>
    <t>Pre-paid TPV</t>
  </si>
  <si>
    <t>Earn @ CDI</t>
  </si>
  <si>
    <t>30 days</t>
  </si>
  <si>
    <t>Earnt</t>
  </si>
  <si>
    <t>Eric</t>
  </si>
  <si>
    <t>2018 - average debit card cap of 50 bps</t>
  </si>
  <si>
    <t>Settlement</t>
  </si>
  <si>
    <t>D + 28 to D +2 for prepaid cards</t>
  </si>
  <si>
    <t>billion R$</t>
  </si>
  <si>
    <t>Prepaid</t>
  </si>
  <si>
    <t>40% is debit</t>
  </si>
  <si>
    <t>Acquiring TPV on debit 40-44% share of TPV</t>
  </si>
  <si>
    <t>Average on debit interchange is 60 bps</t>
  </si>
  <si>
    <t>VISA  for instance offers 50 bps, but some above some below</t>
  </si>
  <si>
    <t>PAGS is launching a hybrid debit/credit cards in next few weeks</t>
  </si>
  <si>
    <t>5-7% of total TPV</t>
  </si>
  <si>
    <t>Pre-paid card TPV for PAGS</t>
  </si>
  <si>
    <t>50-60% of Pagbank</t>
  </si>
  <si>
    <t>ATM</t>
  </si>
  <si>
    <t>Prepaid (ITC)</t>
  </si>
  <si>
    <t>Lower transaction costs in Acquiring business</t>
  </si>
  <si>
    <t>1. Lower debit card costs</t>
  </si>
  <si>
    <t>2. Lower prepaid card costs</t>
  </si>
  <si>
    <t>Headwinds</t>
  </si>
  <si>
    <t>1. Lower prepaid ITC</t>
  </si>
  <si>
    <t>2. Lower prepaid card float</t>
  </si>
  <si>
    <t>Results</t>
  </si>
  <si>
    <t>Immaterial impact on EPS</t>
  </si>
  <si>
    <t>If prepaid card issuer….have or hold 28 days</t>
  </si>
  <si>
    <t>If cut to 2, float passed through the Acquirer….receives faster card tranaction</t>
  </si>
  <si>
    <t>3. Higher float revenue due to pre-paid cards as settlement period night be reduced from D28 to D2 - (Acquirer business benefits)</t>
  </si>
  <si>
    <t>PagSeguro…not if but when will prices be passed on</t>
  </si>
  <si>
    <t>need to be tactical, to explore weaknesses of competitors with higher funding costs</t>
  </si>
  <si>
    <t>2022 perhaps</t>
  </si>
  <si>
    <t>Mercado Pago - increased MDRs and prepayment in micro space</t>
  </si>
  <si>
    <t>&gt;40%</t>
  </si>
  <si>
    <t>Micros</t>
  </si>
  <si>
    <t>deliquency</t>
  </si>
  <si>
    <t>high single digit, low teens</t>
  </si>
  <si>
    <t>No ability to force operators to pass on cuts</t>
  </si>
  <si>
    <t>broadly equal impact</t>
  </si>
  <si>
    <t>Outcome - natural hedge</t>
  </si>
  <si>
    <t>Sell side in a rush to run maths</t>
  </si>
  <si>
    <t>Low single digit at EPS for 2022</t>
  </si>
  <si>
    <t>6 weeks ago</t>
  </si>
  <si>
    <t>Float income - "Other fin income"</t>
  </si>
  <si>
    <t>Nov 11th</t>
  </si>
  <si>
    <t>Nov 18th</t>
  </si>
  <si>
    <t>virtual</t>
  </si>
  <si>
    <t>Q4 21e</t>
  </si>
  <si>
    <t>Debt + payables</t>
  </si>
  <si>
    <t>Cash + receivables</t>
  </si>
  <si>
    <t>n</t>
  </si>
  <si>
    <t>Colombia</t>
  </si>
  <si>
    <t>3Q 21</t>
  </si>
  <si>
    <t>Total Acquiring TPV guide for FY 21,BRL billion (&gt;)</t>
  </si>
  <si>
    <t>TPV/merchant vs average PAGS "long tail"</t>
  </si>
  <si>
    <t>USDBRL</t>
  </si>
  <si>
    <t>Pagbank losses (est), BRL m</t>
  </si>
  <si>
    <t>PAGS net income, BRL m</t>
  </si>
  <si>
    <t>2022 revenue, BRL m</t>
  </si>
  <si>
    <t>PAGS equity cap, $ m</t>
  </si>
  <si>
    <t>Implied equity Payment Co, $ m</t>
  </si>
  <si>
    <t>Payment earnings , BRL m</t>
  </si>
  <si>
    <t>Implied PE of Pagbank</t>
  </si>
  <si>
    <t>Pagbank net margin (est)</t>
  </si>
  <si>
    <t>Payment earnings , USD m</t>
  </si>
  <si>
    <t>Implied payment margin</t>
  </si>
  <si>
    <t>Target EV, BRL M</t>
  </si>
  <si>
    <t>Target EV, $ m</t>
  </si>
  <si>
    <t>Digital banking multiple (vs 2022 revenue)</t>
  </si>
  <si>
    <t>Revenue, BRL</t>
  </si>
  <si>
    <t>Revenue, share</t>
  </si>
  <si>
    <t>EV/Gross profit</t>
  </si>
  <si>
    <t>Gross profit (NSR)</t>
  </si>
  <si>
    <t>Funding costs</t>
  </si>
  <si>
    <t>NPLs are mid to high-single digit</t>
  </si>
  <si>
    <t>Pandemic impacted asset quality</t>
  </si>
  <si>
    <t>Doubt for investors</t>
  </si>
  <si>
    <t>Pass through price increases</t>
  </si>
  <si>
    <t>Elasticity of LT</t>
  </si>
  <si>
    <t>No evidence leading to TPV slowing, or higher churn</t>
  </si>
  <si>
    <t>Price increases</t>
  </si>
  <si>
    <t>Done so, so far</t>
  </si>
  <si>
    <t>most volumes pre-paid</t>
  </si>
  <si>
    <t>for those not, increasing prices. Marketplaces hiring PAGS</t>
  </si>
  <si>
    <t>according to daily interest</t>
  </si>
  <si>
    <t>clusters, primarily in LT</t>
  </si>
  <si>
    <t>SMB soon</t>
  </si>
  <si>
    <t>Hoping to rise prices for most</t>
  </si>
  <si>
    <t>increased 1 month ago</t>
  </si>
  <si>
    <t>wait and see</t>
  </si>
  <si>
    <t>raised a lot of money</t>
  </si>
  <si>
    <t>3-6 months</t>
  </si>
  <si>
    <t>mid to high teens annual</t>
  </si>
  <si>
    <t>H2 was higher, due to</t>
  </si>
  <si>
    <t>1/ acquisition of Wirecard Br. Conc late Nov</t>
  </si>
  <si>
    <t>2/ SMBs in difficulty</t>
  </si>
  <si>
    <t>Churn</t>
  </si>
  <si>
    <t>Pressure net adds in Q4</t>
  </si>
  <si>
    <t>Pressurising best capitalisation for company</t>
  </si>
  <si>
    <t>Representatives</t>
  </si>
  <si>
    <t>Use POS with promotional prices</t>
  </si>
  <si>
    <t>Activation is lower vs digital channels</t>
  </si>
  <si>
    <t>Life time value is shorter</t>
  </si>
  <si>
    <t>Focused more on digital channels</t>
  </si>
  <si>
    <t>Capex at BRL2 billion, cut to BRL1.7-1.8 billion</t>
  </si>
  <si>
    <t>Clients with best LTV/CAC</t>
  </si>
  <si>
    <t>SMB</t>
  </si>
  <si>
    <t>Taking clients from incumbents</t>
  </si>
  <si>
    <t>Getnet - revenue yield going down</t>
  </si>
  <si>
    <t>300 Hubs</t>
  </si>
  <si>
    <t>80% of geography of Br</t>
  </si>
  <si>
    <t xml:space="preserve">1.5-2.0% </t>
  </si>
  <si>
    <t>around the mid-point</t>
  </si>
  <si>
    <t>quite stable</t>
  </si>
  <si>
    <t>Get net - Q3…lost market share</t>
  </si>
  <si>
    <t>stealing key accounts from Stone, Rede</t>
  </si>
  <si>
    <t>13th salary paid…TPV mix drives up</t>
  </si>
  <si>
    <t>lower take-rates</t>
  </si>
  <si>
    <t>more debit…</t>
  </si>
  <si>
    <t>Consolidated take-rate should be flat in Q4</t>
  </si>
  <si>
    <t>Credit..</t>
  </si>
  <si>
    <t>Pagbank revs</t>
  </si>
  <si>
    <t>ARPU low vs Nubank, Inter?</t>
  </si>
  <si>
    <t>PAG</t>
  </si>
  <si>
    <t>Inter</t>
  </si>
  <si>
    <t>mortgages, other</t>
  </si>
  <si>
    <t>credit cards</t>
  </si>
  <si>
    <t>longer path…grow applications, now done</t>
  </si>
  <si>
    <t>2022 for consumer</t>
  </si>
  <si>
    <t>Credit launched (hybrid)</t>
  </si>
  <si>
    <t>Last 2 weeks, more focused on merchants</t>
  </si>
  <si>
    <t>Want Pagbank to be primary</t>
  </si>
  <si>
    <t>Merchants wanted</t>
  </si>
  <si>
    <t>1/ Bank ac using corp tax ID</t>
  </si>
  <si>
    <t>2/ Access to a hybrid card</t>
  </si>
  <si>
    <t>2m merchants which are using corp tax IDs</t>
  </si>
  <si>
    <t>Yes, did offer a credit card to LT relationship accounts</t>
  </si>
  <si>
    <t>Speed up credit to merchants</t>
  </si>
  <si>
    <t>Credits to consumers</t>
  </si>
  <si>
    <t>payroll loans</t>
  </si>
  <si>
    <t>Credit cards?</t>
  </si>
  <si>
    <t>Pre-paid/credit - 65-75% is pre-paid, 25% credit cards</t>
  </si>
  <si>
    <t>activation is similar to market</t>
  </si>
  <si>
    <t>No additional risk to credit expansion…</t>
  </si>
  <si>
    <t>Add credit more slowly</t>
  </si>
  <si>
    <t>Advs to Pagbank</t>
  </si>
  <si>
    <t>CD - allows for a credit card</t>
  </si>
  <si>
    <t>otherwise, pre-approved by PAGS</t>
  </si>
  <si>
    <t>Net profit</t>
  </si>
  <si>
    <t>Implied PE on Acquiring business</t>
  </si>
  <si>
    <t>BRL 200m of net losses</t>
  </si>
  <si>
    <r>
      <t>B</t>
    </r>
    <r>
      <rPr>
        <sz val="12"/>
        <color theme="1"/>
        <rFont val="Calibri"/>
        <family val="2"/>
        <scheme val="minor"/>
      </rPr>
      <t>ears</t>
    </r>
  </si>
  <si>
    <t>D&amp;A running high</t>
  </si>
  <si>
    <t>POS devices</t>
  </si>
  <si>
    <t>PAX components</t>
  </si>
  <si>
    <t>Trans City</t>
  </si>
  <si>
    <t>Implied Pagbank PE</t>
  </si>
  <si>
    <t>Guidance (Q3 21)</t>
  </si>
  <si>
    <t>FY 21</t>
  </si>
  <si>
    <t>50-53%</t>
  </si>
  <si>
    <t>~1.7</t>
  </si>
  <si>
    <t>0.8-0.9</t>
  </si>
  <si>
    <t>01/12/2021 (again)</t>
  </si>
  <si>
    <t>Interest expenses</t>
  </si>
  <si>
    <t>Take rate in 2022</t>
  </si>
  <si>
    <t>Up…? Pagbank coming on, offset by underlying??</t>
  </si>
  <si>
    <t>Net earnings lift</t>
  </si>
  <si>
    <t>loss from interchange</t>
  </si>
  <si>
    <t>Increase in prices</t>
  </si>
  <si>
    <t>Ex price increases, flattish</t>
  </si>
  <si>
    <t>exclude banking, take rate slightly lower</t>
  </si>
  <si>
    <t>Prices</t>
  </si>
  <si>
    <t>December not a good month to take a decision. All merchants focused on selling</t>
  </si>
  <si>
    <t>Will lift across all segments</t>
  </si>
  <si>
    <t>(SMEs and Micros)</t>
  </si>
  <si>
    <t>No increase in churn where prices up in certain clusters</t>
  </si>
  <si>
    <t>Jan and Feb will be key</t>
  </si>
  <si>
    <t>Let's see how each acquirer acts</t>
  </si>
  <si>
    <t>Margins might be flattish</t>
  </si>
  <si>
    <t>Base case</t>
  </si>
  <si>
    <t>Margins not flattish</t>
  </si>
  <si>
    <t>Worst case</t>
  </si>
  <si>
    <t>Can't push through prices</t>
  </si>
  <si>
    <t>Best</t>
  </si>
  <si>
    <t>Capex over last Qs….20% per year…write off of some fixed/int</t>
  </si>
  <si>
    <t>write off</t>
  </si>
  <si>
    <t>1.2-1.3</t>
  </si>
  <si>
    <t>1.8-2.0</t>
  </si>
  <si>
    <t>2025, capex/sales to mid-high digit</t>
  </si>
  <si>
    <t>Q4 expenses…up again</t>
  </si>
  <si>
    <t>100 bps, BRL100m annual</t>
  </si>
  <si>
    <t>Could be as high 1.7 to 1.8</t>
  </si>
  <si>
    <t>Interest rates</t>
  </si>
  <si>
    <t>CB much more hawkish</t>
  </si>
  <si>
    <t>Margins flat/up slightly</t>
  </si>
  <si>
    <t>if prices up….and better operational leverage</t>
  </si>
  <si>
    <t>charge backs..</t>
  </si>
  <si>
    <t>loss of BRL74m due to implementation of new product (in y/y comps)</t>
  </si>
  <si>
    <t>as improve security, KYC better, charge backs should come back</t>
  </si>
  <si>
    <t>better tech…nothing changes for merchant</t>
  </si>
  <si>
    <t>Consensus is too high</t>
  </si>
  <si>
    <t>JPM</t>
  </si>
  <si>
    <t>Timeline on interchange regs</t>
  </si>
  <si>
    <t>Public consultation done</t>
  </si>
  <si>
    <t>CB needs to take a decision</t>
  </si>
  <si>
    <t>50% to credit</t>
  </si>
  <si>
    <t>10-15% to other fees (bill payments, top ups etc)</t>
  </si>
  <si>
    <t>35-40%</t>
  </si>
  <si>
    <t>cards</t>
  </si>
  <si>
    <t>not 100% related to pre-pay cards</t>
  </si>
  <si>
    <t>Issuing different cards</t>
  </si>
  <si>
    <t>credit or debit hybrid, plus other products</t>
  </si>
  <si>
    <t>EV/Acquiring TPV</t>
  </si>
  <si>
    <t>100 bps fall = BRL100m annually</t>
  </si>
  <si>
    <t>Other / op leverage</t>
  </si>
  <si>
    <t>Depreciation</t>
  </si>
  <si>
    <t>PE (non-GAAP)</t>
  </si>
  <si>
    <t>Best case</t>
  </si>
  <si>
    <t>Pricing</t>
  </si>
  <si>
    <t>Comment</t>
  </si>
  <si>
    <t>Up</t>
  </si>
  <si>
    <t>2022 margins</t>
  </si>
  <si>
    <t>No change</t>
  </si>
  <si>
    <t>Modest up</t>
  </si>
  <si>
    <t>Significant up</t>
  </si>
  <si>
    <t xml:space="preserve"> - Pricing up, better costs</t>
  </si>
  <si>
    <t xml:space="preserve"> - Pricing up</t>
  </si>
  <si>
    <t>Flat</t>
  </si>
  <si>
    <t>Down</t>
  </si>
  <si>
    <t>Base Case</t>
  </si>
  <si>
    <t>CEO steer at Investor Day - seen as optimistic</t>
  </si>
  <si>
    <t xml:space="preserve">Flat </t>
  </si>
  <si>
    <t>Segment mix taking take-rates lower, downside to consensus</t>
  </si>
  <si>
    <t>Acq. take-rate</t>
  </si>
  <si>
    <t>Current consensus outlook</t>
  </si>
  <si>
    <t>Current mkt outlook, higher prices offset higher TPV take-rates</t>
  </si>
  <si>
    <t>EV/Acq TPV</t>
  </si>
  <si>
    <t>Pagbank revenue contribution</t>
  </si>
  <si>
    <t>WC</t>
  </si>
  <si>
    <t>DLO</t>
  </si>
  <si>
    <t>GET</t>
  </si>
  <si>
    <t>BIDI</t>
  </si>
  <si>
    <t>SQ</t>
  </si>
  <si>
    <t>PYPL</t>
  </si>
  <si>
    <t>MA</t>
  </si>
  <si>
    <t>V</t>
  </si>
  <si>
    <t>WISE</t>
  </si>
  <si>
    <t>ADYEN</t>
  </si>
  <si>
    <t>Difference</t>
  </si>
  <si>
    <t>Net income*</t>
  </si>
  <si>
    <t>Value in terminal yeat</t>
  </si>
  <si>
    <t>NU</t>
  </si>
  <si>
    <t>3Q 20</t>
  </si>
  <si>
    <t>2Q 20</t>
  </si>
  <si>
    <t>1Q 20</t>
  </si>
  <si>
    <t>Stable/up slightly*</t>
  </si>
  <si>
    <t>Up slightly</t>
  </si>
  <si>
    <t>Down slightly on FY 21</t>
  </si>
  <si>
    <t>*on Q3 21 levels of 9%</t>
  </si>
  <si>
    <t>Debit mix</t>
  </si>
  <si>
    <t>share of debit</t>
  </si>
  <si>
    <t>MDR on debit</t>
  </si>
  <si>
    <t>Debit MDR</t>
  </si>
  <si>
    <t>Cost of debit</t>
  </si>
  <si>
    <t>as % net revenue</t>
  </si>
  <si>
    <t>Acquirer revenue</t>
  </si>
  <si>
    <t>21-25e CAGR</t>
  </si>
  <si>
    <t>Q1 22E</t>
  </si>
  <si>
    <t>Q2 22E</t>
  </si>
  <si>
    <t>Q3 22E</t>
  </si>
  <si>
    <t>Q4 22E</t>
  </si>
  <si>
    <t>Q1 23E</t>
  </si>
  <si>
    <t>Q2 23E</t>
  </si>
  <si>
    <t>Q3 23E</t>
  </si>
  <si>
    <t>Q4 23E</t>
  </si>
  <si>
    <t>New</t>
  </si>
  <si>
    <t>Old</t>
  </si>
  <si>
    <t>Gross revs</t>
  </si>
  <si>
    <t>Net revs</t>
  </si>
  <si>
    <t>21-26 CAGR</t>
  </si>
  <si>
    <t>Net income (non-GAAP)</t>
  </si>
  <si>
    <t>Acquiring revenue</t>
  </si>
  <si>
    <t>Pre-payment rates</t>
  </si>
  <si>
    <t>PAGS - BRL</t>
  </si>
  <si>
    <t>Gross revenue</t>
  </si>
  <si>
    <t xml:space="preserve">Net revenue </t>
  </si>
  <si>
    <t>Subscribers (registered)</t>
  </si>
  <si>
    <t>Subscribers (active)</t>
  </si>
  <si>
    <t>ARPU (active)</t>
  </si>
  <si>
    <t>Acquiring TPV (for Payment cos)</t>
  </si>
  <si>
    <t>Shareholders equity</t>
  </si>
  <si>
    <t>Total assets (average)</t>
  </si>
  <si>
    <t>Share count (SHOUT)</t>
  </si>
  <si>
    <t>Net debt (relevant for Payment companies)</t>
  </si>
  <si>
    <t>+ Other EV adjustments, if relevant</t>
  </si>
  <si>
    <t>4Q 21</t>
  </si>
  <si>
    <t>Credit - slow growth</t>
  </si>
  <si>
    <t>Target</t>
  </si>
  <si>
    <t>IR / management</t>
  </si>
  <si>
    <t>merchants</t>
  </si>
  <si>
    <t>take rate ex pagbank</t>
  </si>
  <si>
    <t>Acquirer TPV / growth</t>
  </si>
  <si>
    <t>Net profit margin</t>
  </si>
  <si>
    <t>Revenue (net)</t>
  </si>
  <si>
    <t>PAGS TPV/Merchant and growth split</t>
  </si>
  <si>
    <t>Total Revenues and Income</t>
  </si>
  <si>
    <t>Adjusted EBITDA</t>
  </si>
  <si>
    <t>Reconciliation | R$ Million</t>
  </si>
  <si>
    <t>Reconciliation + Float + CoF | R$ Million</t>
  </si>
  <si>
    <t>Net Interest Income</t>
  </si>
  <si>
    <t>Gross Profit</t>
  </si>
  <si>
    <t>Interchange / card schemes</t>
  </si>
  <si>
    <t>Pagbank revenue definition?</t>
  </si>
  <si>
    <t>loan duration</t>
  </si>
  <si>
    <t>cc 6 weeks?</t>
  </si>
  <si>
    <t>book fall in 2022?</t>
  </si>
  <si>
    <t>Why charge backs up so much?</t>
  </si>
  <si>
    <t>Fin expenses - increase prop to CDI and take-rate</t>
  </si>
  <si>
    <t>include NPLs at Pagbank right?</t>
  </si>
  <si>
    <t>especially in Q4</t>
  </si>
  <si>
    <t>Derivative financial instruments</t>
  </si>
  <si>
    <t>Borrowings</t>
  </si>
  <si>
    <t>NII</t>
  </si>
  <si>
    <t>After funding is the lower one? What else?</t>
  </si>
  <si>
    <t>Which one guiding to?</t>
  </si>
  <si>
    <t>Check NII definition</t>
  </si>
  <si>
    <t>Check EBITDA</t>
  </si>
  <si>
    <t>Implied Other opex</t>
  </si>
  <si>
    <t>difference (other opex) widening</t>
  </si>
  <si>
    <t>Assumed coupon on loan (net of funding)</t>
  </si>
  <si>
    <t>Admin / other</t>
  </si>
  <si>
    <t>as % revenue</t>
  </si>
  <si>
    <t>Guidance for break-even is at EBITDA (22/23)?</t>
  </si>
  <si>
    <t>What about net?</t>
  </si>
  <si>
    <t>Interchange fees going down?</t>
  </si>
  <si>
    <t>From when, how much?</t>
  </si>
  <si>
    <t>Fin exp as % TPV</t>
  </si>
  <si>
    <t>Interchange/Card as % TPV</t>
  </si>
  <si>
    <t>Q1</t>
  </si>
  <si>
    <t>Net take net of (all) funding</t>
  </si>
  <si>
    <t>Old (pre-Q4 21)</t>
  </si>
  <si>
    <t>Take after funding</t>
  </si>
  <si>
    <t>New vs Old (Apr-22)</t>
  </si>
  <si>
    <t>Take-rate afer funding</t>
  </si>
  <si>
    <t>SMB/micro take-rate</t>
  </si>
  <si>
    <t>After funding</t>
  </si>
  <si>
    <t>STONE (ex-credit)</t>
  </si>
  <si>
    <t>PAGS (ex-Pagbank)</t>
  </si>
  <si>
    <t>Gross profit (PAGS)</t>
  </si>
  <si>
    <t>BRL</t>
  </si>
  <si>
    <t>StoneCo</t>
  </si>
  <si>
    <t>PAGS (on net revs)</t>
  </si>
  <si>
    <t>as % Transactions</t>
  </si>
  <si>
    <t>TPV increase</t>
  </si>
  <si>
    <t>Anticipated TPV increase</t>
  </si>
  <si>
    <t>Stone SME</t>
  </si>
  <si>
    <t>SME TPV</t>
  </si>
  <si>
    <t>SME take</t>
  </si>
  <si>
    <t>Implied PAGS long-tail take</t>
  </si>
  <si>
    <t>Stone micro/SMB</t>
  </si>
  <si>
    <t>PagSeguro TPV</t>
  </si>
  <si>
    <t>NEW</t>
  </si>
  <si>
    <t>OLD</t>
  </si>
  <si>
    <t>CHANGE</t>
  </si>
  <si>
    <t>Revenue, BRL m</t>
  </si>
  <si>
    <t>Revenue ex ITC, BRL m</t>
  </si>
  <si>
    <t>Net income, non GAAP, BRL m</t>
  </si>
  <si>
    <t>PicPay</t>
  </si>
  <si>
    <t>Credit products, personal loans</t>
  </si>
  <si>
    <t>charging consumers</t>
  </si>
  <si>
    <t>March CB</t>
  </si>
  <si>
    <t>March, P2B up top 18%, up 60 bps…not the most relevant use case yet</t>
  </si>
  <si>
    <t>UX not great in-store</t>
  </si>
  <si>
    <t>P2M is more for E-Comm</t>
  </si>
  <si>
    <t>credit card have to type, paying through boleto (issue bank slip)</t>
  </si>
  <si>
    <t>Merchants…Klarna style products</t>
  </si>
  <si>
    <t>Don't need BNPL through PIX rails</t>
  </si>
  <si>
    <t>Online sales</t>
  </si>
  <si>
    <t>PIX Parcelado</t>
  </si>
  <si>
    <t>See more transaction…charge the consumer</t>
  </si>
  <si>
    <t>consumer will be financing in multiple instalments</t>
  </si>
  <si>
    <t>in merchants where could not use traditionally</t>
  </si>
  <si>
    <t>Merchant gets money right away</t>
  </si>
  <si>
    <t>CB for March</t>
  </si>
  <si>
    <t>70% of POPs are &lt;39 years old, millenials. Never had a credit card before</t>
  </si>
  <si>
    <t>E-Comm</t>
  </si>
  <si>
    <t>Credit or prepaid, or boletos</t>
  </si>
  <si>
    <t>Acquirers can sometimes capture a small fee. Different rails - CIP</t>
  </si>
  <si>
    <t>Issuing bank goes under, card schemes are the ultimate layers providing the guarantee</t>
  </si>
  <si>
    <t>PicPay credit risk</t>
  </si>
  <si>
    <t>Taken through partner banks</t>
  </si>
  <si>
    <t>Credit cards are unsecured personal loans</t>
  </si>
  <si>
    <t>as  % group</t>
  </si>
  <si>
    <t>Santander</t>
  </si>
  <si>
    <t>Rates</t>
  </si>
  <si>
    <t>Convenience fee 3.99%</t>
  </si>
  <si>
    <t>Instalment fee 3.99%</t>
  </si>
  <si>
    <t>Instalment fee 3.09%</t>
  </si>
  <si>
    <t>Instalment fee from 2.5%</t>
  </si>
  <si>
    <t>Depends on credit history</t>
  </si>
  <si>
    <t>Min amount BRL15</t>
  </si>
  <si>
    <t>Instalments</t>
  </si>
  <si>
    <t>&lt;12</t>
  </si>
  <si>
    <t>&lt;24</t>
  </si>
  <si>
    <t xml:space="preserve">Customers may repay the </t>
  </si>
  <si>
    <t>loan from 60 days</t>
  </si>
  <si>
    <t>Digio (Bradesco)</t>
  </si>
  <si>
    <t>Convert credit card balance</t>
  </si>
  <si>
    <t>Credit card rates ~10%</t>
  </si>
  <si>
    <t>1Q 22</t>
  </si>
  <si>
    <t>Q1 22</t>
  </si>
  <si>
    <t>non GAAP margin</t>
  </si>
  <si>
    <t>Net income non-GAAP</t>
  </si>
  <si>
    <t>Consolidation in Acquiring space</t>
  </si>
  <si>
    <t>Pagbank / credit outlook</t>
  </si>
  <si>
    <t>NPLs trend</t>
  </si>
  <si>
    <t>Other transaction costs very low?</t>
  </si>
  <si>
    <t>Interchange &amp; card schemes</t>
  </si>
  <si>
    <t>Payroll and FTTS up to 10%</t>
  </si>
  <si>
    <t>More focus on collateralised loans - credit cards with CDs</t>
  </si>
  <si>
    <t>Lending</t>
  </si>
  <si>
    <t>Staying cautious</t>
  </si>
  <si>
    <t>Questions</t>
  </si>
  <si>
    <t>April increase</t>
  </si>
  <si>
    <t>flat in 2021 at BRL1.5 billion? (annualised H1 and guide)</t>
  </si>
  <si>
    <t>higher volumes should lead to better income going forward</t>
  </si>
  <si>
    <t>Up in Q2 on a gross basis… but not on a net, ex funding</t>
  </si>
  <si>
    <t>prepayment and MDR moving up?</t>
  </si>
  <si>
    <t>both yes</t>
  </si>
  <si>
    <t>MDR more so on credit typically</t>
  </si>
  <si>
    <t>largest price move has taken place</t>
  </si>
  <si>
    <t>Small deterioration, as expected, not worrying</t>
  </si>
  <si>
    <t>Don't expect it to grow very much</t>
  </si>
  <si>
    <t>FGTS product (government guarantee)</t>
  </si>
  <si>
    <t>Payroll</t>
  </si>
  <si>
    <t>Transtion to collateralised taking more share</t>
  </si>
  <si>
    <t>If asset quality better, this would support a higher net income</t>
  </si>
  <si>
    <t>Trying to work out when to accelerate again</t>
  </si>
  <si>
    <t>Merchants and consumers</t>
  </si>
  <si>
    <t>Provisioning could be stable going forward</t>
  </si>
  <si>
    <t>Not expecting huge changes in the future</t>
  </si>
  <si>
    <t>Based on IFRS 9, expected losses looking at next 12 months</t>
  </si>
  <si>
    <t>APRs charged….have been increased, to maintain spreads based on provisioning</t>
  </si>
  <si>
    <t>So what is main driver of net income expansion?</t>
  </si>
  <si>
    <t>Pricing is ongoing, yes majority done due to move to 13%</t>
  </si>
  <si>
    <t>Less long-tail competition</t>
  </si>
  <si>
    <t>Than perhaps 1.5 years ago</t>
  </si>
  <si>
    <t>More rationality</t>
  </si>
  <si>
    <t>Hubs TPV</t>
  </si>
  <si>
    <t>Long-tail</t>
  </si>
  <si>
    <t>16-20% tax rate</t>
  </si>
  <si>
    <t>PIS COFINS in FIDC, increases difference between gross and net revenue</t>
  </si>
  <si>
    <t>Assume this for the next 3-4 years</t>
  </si>
  <si>
    <t>SME merchants</t>
  </si>
  <si>
    <t>Long tail</t>
  </si>
  <si>
    <t>Long tail merchants</t>
  </si>
  <si>
    <t>Why Pagbank EBITDA down?</t>
  </si>
  <si>
    <t>Just reporting gross going forward?</t>
  </si>
  <si>
    <t>Long-tail take</t>
  </si>
  <si>
    <t>Merchants break down</t>
  </si>
  <si>
    <t>SME</t>
  </si>
  <si>
    <t>SME vs long tail</t>
  </si>
  <si>
    <t>Total merchants</t>
  </si>
  <si>
    <t>TPV, BRL million</t>
  </si>
  <si>
    <t>TPV / merchant / month, BRL</t>
  </si>
  <si>
    <t>Active merchants, 000s</t>
  </si>
  <si>
    <t>SME (from Stone)</t>
  </si>
  <si>
    <t>Total take</t>
  </si>
  <si>
    <t>Other transaction costs?</t>
  </si>
  <si>
    <t>Effective rate</t>
  </si>
  <si>
    <t>Consolidation?</t>
  </si>
  <si>
    <t>Possible?</t>
  </si>
  <si>
    <t>Adj EBITDA (GAAP)</t>
  </si>
  <si>
    <t>Adj EBITDA (non-GAAP)</t>
  </si>
  <si>
    <t>% margin (on net)</t>
  </si>
  <si>
    <t>Adj recurring EBITDA (non-GAAP)</t>
  </si>
  <si>
    <t>Non-recurring expenses</t>
  </si>
  <si>
    <t>GAAP net income adj</t>
  </si>
  <si>
    <t>Income Tax and Social Contribution</t>
  </si>
  <si>
    <t>Other Financial Income, Net</t>
  </si>
  <si>
    <t>Non GAAP expenses</t>
  </si>
  <si>
    <t>Adjs (provisions etc)</t>
  </si>
  <si>
    <t>Non GAAP net income recurring</t>
  </si>
  <si>
    <t>EBITDA calc</t>
  </si>
  <si>
    <t>This is after funding costs?</t>
  </si>
  <si>
    <t>June 16 2022 chat</t>
  </si>
  <si>
    <t>Gross profit also after funding….which is the better metric to track?</t>
  </si>
  <si>
    <t>Stone is pre-funding expenses…why the difference?</t>
  </si>
  <si>
    <t>Condusing for investors having different definitions</t>
  </si>
  <si>
    <t>EBITDA analysis (after funding)</t>
  </si>
  <si>
    <t>Adj recurring EBITDA (non-GAAP, pre funding)</t>
  </si>
  <si>
    <t>EBITDA margin</t>
  </si>
  <si>
    <t>Investors</t>
  </si>
  <si>
    <t>Negatives</t>
  </si>
  <si>
    <t>Burning cash</t>
  </si>
  <si>
    <t>BRL300m</t>
  </si>
  <si>
    <t>explain in release…earlier purchase of POS to avoid future lockdowns</t>
  </si>
  <si>
    <t>Capex/sales ration to be lower in 2022 than 2021</t>
  </si>
  <si>
    <t>2019: 13%</t>
  </si>
  <si>
    <t>2020:30%</t>
  </si>
  <si>
    <t>2021: 17%</t>
  </si>
  <si>
    <t>2022e: ~14-16%</t>
  </si>
  <si>
    <t>Firstly:</t>
  </si>
  <si>
    <t>Secondly:</t>
  </si>
  <si>
    <t>Pricing, "not done"</t>
  </si>
  <si>
    <t>Increased in April and May</t>
  </si>
  <si>
    <t>higher take rates in Q2 than Q1</t>
  </si>
  <si>
    <t>Thirdly</t>
  </si>
  <si>
    <t>Net adds, active merchants</t>
  </si>
  <si>
    <t>Q2 onwards</t>
  </si>
  <si>
    <t>Accelerate depreciation &amp; amort</t>
  </si>
  <si>
    <t>Margins could be higher without this</t>
  </si>
  <si>
    <t>Margins</t>
  </si>
  <si>
    <t>Operational leverage</t>
  </si>
  <si>
    <t>will still beat guidance</t>
  </si>
  <si>
    <t>5 year cycles…POS should be written off</t>
  </si>
  <si>
    <t>LT clients - not as recurrent as SMBs</t>
  </si>
  <si>
    <t>Use 3-6 months, don’t use, do something else…start using again</t>
  </si>
  <si>
    <t>one transaction last 12 months</t>
  </si>
  <si>
    <t>PPE in Q1 BRL2.6 billion, intangibes at BRL1.8 billion</t>
  </si>
  <si>
    <t>Before taking decision, suggesting D&amp;A BRL1.1-1.2 billion</t>
  </si>
  <si>
    <t xml:space="preserve">Capex </t>
  </si>
  <si>
    <t>Some tax efficiences mean nearer to BRL1.2 billion</t>
  </si>
  <si>
    <t>Peak 2022-23</t>
  </si>
  <si>
    <t>Maybe 3-4 years, or write offs</t>
  </si>
  <si>
    <t>Tax rate 20% in Q2, up from 16% in Q1</t>
  </si>
  <si>
    <t>PIS/COFINS of 4% from Jan-22</t>
  </si>
  <si>
    <t>Gross vs net</t>
  </si>
  <si>
    <t>Other financial income is key</t>
  </si>
  <si>
    <t>FIDC revenue booked in fin. Income</t>
  </si>
  <si>
    <t>income recognised in a certain way</t>
  </si>
  <si>
    <t>collect 4.65% of taxes</t>
  </si>
  <si>
    <t>accounting income negatively affected</t>
  </si>
  <si>
    <t>now as an investment</t>
  </si>
  <si>
    <t xml:space="preserve">FIDC in Cayman </t>
  </si>
  <si>
    <t>effective rate for coming years ~20%</t>
  </si>
  <si>
    <t xml:space="preserve">FIDC income - </t>
  </si>
  <si>
    <t>(5 years)</t>
  </si>
  <si>
    <t>Consolidation</t>
  </si>
  <si>
    <t>PAGS to acquire Stone</t>
  </si>
  <si>
    <t>Both new players</t>
  </si>
  <si>
    <t>NU - no payents, BTG has PAN (not a digital bank)</t>
  </si>
  <si>
    <t>Synergies</t>
  </si>
  <si>
    <t>Massive</t>
  </si>
  <si>
    <t>Pagbank to Stone clients</t>
  </si>
  <si>
    <t>Bundle Pagar.me (online)</t>
  </si>
  <si>
    <t>Software solutions… not Linx, but smaller software</t>
  </si>
  <si>
    <t>Corporate</t>
  </si>
  <si>
    <t>Salesforce - Stone have 450 hubs, PAGS has 300. Could get rid of half</t>
  </si>
  <si>
    <t>15000 employees</t>
  </si>
  <si>
    <t>3000 salesforce</t>
  </si>
  <si>
    <t>4500 salesforce</t>
  </si>
  <si>
    <t>8-10 salesforce per Hub</t>
  </si>
  <si>
    <t>Purchasing power…to reduce POS device cost</t>
  </si>
  <si>
    <t>POS device… BRL-400-800</t>
  </si>
  <si>
    <t>TON has been aggessive, giving POS devices for free</t>
  </si>
  <si>
    <t>Taxes also</t>
  </si>
  <si>
    <t>Eduardo Pontes</t>
  </si>
  <si>
    <t>Swapped voting for economic</t>
  </si>
  <si>
    <t>Read shareholder agreement</t>
  </si>
  <si>
    <t>keeping control</t>
  </si>
  <si>
    <t>15% of shares still</t>
  </si>
  <si>
    <t>High credit provisioning</t>
  </si>
  <si>
    <t>ECL vs NPL</t>
  </si>
  <si>
    <t>tax efficiencies</t>
  </si>
  <si>
    <t>will write off at some point</t>
  </si>
  <si>
    <t>NPLs running at high teens</t>
  </si>
  <si>
    <t>Working capital and credit card receivables</t>
  </si>
  <si>
    <t>Other - Payroll, FGPS</t>
  </si>
  <si>
    <t>Even with lower provision</t>
  </si>
  <si>
    <t>Replacement cycle as %</t>
  </si>
  <si>
    <t>Replacement POS</t>
  </si>
  <si>
    <t>Total new POS</t>
  </si>
  <si>
    <t>D&amp;A period (years)</t>
  </si>
  <si>
    <t>Previous</t>
  </si>
  <si>
    <t>Merger scenario</t>
  </si>
  <si>
    <t>Hub</t>
  </si>
  <si>
    <t>Charge</t>
  </si>
  <si>
    <t>charge / head, BRL</t>
  </si>
  <si>
    <t>charge / head, $</t>
  </si>
  <si>
    <t>FTE</t>
  </si>
  <si>
    <t>Cost per FTE</t>
  </si>
  <si>
    <t xml:space="preserve">Cut by </t>
  </si>
  <si>
    <t>Employees/Hub</t>
  </si>
  <si>
    <t>Saving</t>
  </si>
  <si>
    <t>Employees saved</t>
  </si>
  <si>
    <t>Personnel PAGS</t>
  </si>
  <si>
    <t>Personnel Stone</t>
  </si>
  <si>
    <t xml:space="preserve"> of which</t>
  </si>
  <si>
    <t>Sales</t>
  </si>
  <si>
    <t>Tech / research</t>
  </si>
  <si>
    <t>Operations</t>
  </si>
  <si>
    <t>Admin</t>
  </si>
  <si>
    <t>Personnel charge</t>
  </si>
  <si>
    <t>average/FTE</t>
  </si>
  <si>
    <t>2021 FTE</t>
  </si>
  <si>
    <t>Why personnel charge at PAGS so high? Lots of outsourcing?</t>
  </si>
  <si>
    <t>Assumed salesforce cost</t>
  </si>
  <si>
    <t>Employees</t>
  </si>
  <si>
    <t>After-tax</t>
  </si>
  <si>
    <t>after tax</t>
  </si>
  <si>
    <t>Revenue - offer Pagbank</t>
  </si>
  <si>
    <t>Pagbank ARPAC</t>
  </si>
  <si>
    <t>Revenue lift from TON</t>
  </si>
  <si>
    <t>HQ / admin savings</t>
  </si>
  <si>
    <t>POS savings</t>
  </si>
  <si>
    <t>PE multiple</t>
  </si>
  <si>
    <t>BRL million synergy</t>
  </si>
  <si>
    <t>Post-synergies net income</t>
  </si>
  <si>
    <t>June-22 estimates</t>
  </si>
  <si>
    <t>USD million synergy</t>
  </si>
  <si>
    <t>Total post-tax saving</t>
  </si>
  <si>
    <t>Combined</t>
  </si>
  <si>
    <t>Saving as %</t>
  </si>
  <si>
    <t>2021 Hubs salesforce</t>
  </si>
  <si>
    <t>Total combined</t>
  </si>
  <si>
    <t>Admin / HQ</t>
  </si>
  <si>
    <t>Depreciation (POS)</t>
  </si>
  <si>
    <t>Saving pre-tax</t>
  </si>
  <si>
    <t>Assumed saving</t>
  </si>
  <si>
    <t>Comments:</t>
  </si>
  <si>
    <t xml:space="preserve">We assume a 3.5 year POS depreciation cycle </t>
  </si>
  <si>
    <t>We weight the POS depreciation at Stone based on no of merchants</t>
  </si>
  <si>
    <t>Simplified depreciation</t>
  </si>
  <si>
    <t>(Actual depreciation)</t>
  </si>
  <si>
    <t>Tax eff/other depr impact</t>
  </si>
  <si>
    <t>NII margin</t>
  </si>
  <si>
    <t>Revenue lift from SME</t>
  </si>
  <si>
    <t>Comments</t>
  </si>
  <si>
    <t>Scaled to SME/TON TPV ratio</t>
  </si>
  <si>
    <t>Credit losses</t>
  </si>
  <si>
    <t>Credit losses as %</t>
  </si>
  <si>
    <t>TON merchants, 000s</t>
  </si>
  <si>
    <t>SME merchants, 000s</t>
  </si>
  <si>
    <t>Estimate</t>
  </si>
  <si>
    <t>Banking uplift</t>
  </si>
  <si>
    <t xml:space="preserve"> - of which Wire transfer/PIX Pay in</t>
  </si>
  <si>
    <t xml:space="preserve"> - of which Other</t>
  </si>
  <si>
    <t>Combined 23e net</t>
  </si>
  <si>
    <t>upiftt</t>
  </si>
  <si>
    <t>Profit before tax</t>
  </si>
  <si>
    <t>Potential ARPEC, BRL</t>
  </si>
  <si>
    <t>NewCo net earnings</t>
  </si>
  <si>
    <t>Pay down Inter debt</t>
  </si>
  <si>
    <t>Loss of Software post-tax</t>
  </si>
  <si>
    <t>NewCo NEW net earnings</t>
  </si>
  <si>
    <t>Cost per employee, BRL</t>
  </si>
  <si>
    <t>Hubs closed</t>
  </si>
  <si>
    <t>Saving, BRL m</t>
  </si>
  <si>
    <t>Hubs - staffing</t>
  </si>
  <si>
    <t>Hubs - selling</t>
  </si>
  <si>
    <t>Selling expenses, BRL m (non-personnel)</t>
  </si>
  <si>
    <t>Personnel saving after tax, BRL m</t>
  </si>
  <si>
    <t>Non-personnel Selling saving after tax</t>
  </si>
  <si>
    <t>Total Hubs savings</t>
  </si>
  <si>
    <t xml:space="preserve">New Street </t>
  </si>
  <si>
    <t>Net income adj</t>
  </si>
  <si>
    <t xml:space="preserve"> June-22</t>
  </si>
  <si>
    <t>Pagbank ARPAC (per month), BRL</t>
  </si>
  <si>
    <t>Q4 23e</t>
  </si>
  <si>
    <t>y/y loan book growth</t>
  </si>
  <si>
    <t>Total Credit Portfolio</t>
  </si>
  <si>
    <t>Credit Cards</t>
  </si>
  <si>
    <t>Credit Portfolio split mix</t>
  </si>
  <si>
    <t>Total Deposits</t>
  </si>
  <si>
    <t>Banking Accounts</t>
  </si>
  <si>
    <t>Certificate of Deposit</t>
  </si>
  <si>
    <t>Interbank Deposits</t>
  </si>
  <si>
    <t>Corporate Securities</t>
  </si>
  <si>
    <t>Pagbank EBITDA</t>
  </si>
  <si>
    <t>Acquiring / other revs</t>
  </si>
  <si>
    <t>Adjusted net income</t>
  </si>
  <si>
    <t>Net adjusted margin</t>
  </si>
  <si>
    <t>Q2 22</t>
  </si>
  <si>
    <t>2Q 22</t>
  </si>
  <si>
    <t>Q2 22 call</t>
  </si>
  <si>
    <t>Restart credit originations</t>
  </si>
  <si>
    <t>How much of prepayment TPV is directly linked to SELIC?</t>
  </si>
  <si>
    <t>Perspectives on market TPV into Q3? Still expecting to take share?</t>
  </si>
  <si>
    <t>NPL update</t>
  </si>
  <si>
    <t>EBITDA outlook and break-even prospects</t>
  </si>
  <si>
    <t>Credit card TPV as % and where see this trending?</t>
  </si>
  <si>
    <t>Updated thoughts on capex and depreciation</t>
  </si>
  <si>
    <t>PIX Credit products</t>
  </si>
  <si>
    <t>How do you see uptick here</t>
  </si>
  <si>
    <t>Market is ~63%</t>
  </si>
  <si>
    <t>Fin expenses lower than increase in TPV and CDI would imply…funding cost falling?</t>
  </si>
  <si>
    <t>POS write downs</t>
  </si>
  <si>
    <t>Are these ongoing…built into net income guide for Q3</t>
  </si>
  <si>
    <t>TPV very strong relative to guide in June…what happened here?</t>
  </si>
  <si>
    <t>Call</t>
  </si>
  <si>
    <t>Exclude MoIP….11% growth in active merchant base</t>
  </si>
  <si>
    <t>Higher activation of POS</t>
  </si>
  <si>
    <t>MoIP</t>
  </si>
  <si>
    <t>2% of PAGS TPV</t>
  </si>
  <si>
    <t>Lower POS depr to sales</t>
  </si>
  <si>
    <t>Bought back stock</t>
  </si>
  <si>
    <t>Guidance</t>
  </si>
  <si>
    <t>Acquiring TPV and revenue growth more limited</t>
  </si>
  <si>
    <t>Re-pricing</t>
  </si>
  <si>
    <t>Net take-rate in Q3 so far higher than in Q2</t>
  </si>
  <si>
    <t>after net fins, stable</t>
  </si>
  <si>
    <t>Any seasonality in Q3 vs Q2?</t>
  </si>
  <si>
    <t>micro - on the website, didn't change for long tail, adjusted promotions (moving up to regular)</t>
  </si>
  <si>
    <t>SMBs - following clusters closely</t>
  </si>
  <si>
    <t>Fin expenses</t>
  </si>
  <si>
    <t>POS write-off</t>
  </si>
  <si>
    <t>BRL93m</t>
  </si>
  <si>
    <t>Will continue to evaluate….will be a recurrent process</t>
  </si>
  <si>
    <t>BRL40-60m per Q going forward</t>
  </si>
  <si>
    <t>Already in guidance</t>
  </si>
  <si>
    <t>Longer duration for collateralised, beginning of process</t>
  </si>
  <si>
    <t>5% to 23%</t>
  </si>
  <si>
    <t>Break-even correlated to engagement, credit</t>
  </si>
  <si>
    <t>Expect stronger revenue growth…though costs should be more stable</t>
  </si>
  <si>
    <t>"In the next quarters"</t>
  </si>
  <si>
    <t>Closer and closer as scale product, especially secured loans</t>
  </si>
  <si>
    <t>Done with expansion, personnel hiring?</t>
  </si>
  <si>
    <t>Mar-20…Covid impact…postponed plans in terms of credit</t>
  </si>
  <si>
    <t>Higher, on vols and CDI</t>
  </si>
  <si>
    <t>110 bps higher than Q2</t>
  </si>
  <si>
    <t>Net adds</t>
  </si>
  <si>
    <t>PIX Credit</t>
  </si>
  <si>
    <t>Don't see PIX cannibalising card transaction</t>
  </si>
  <si>
    <t>30 days settlement for cards</t>
  </si>
  <si>
    <t>cash and boletos and wire transfers</t>
  </si>
  <si>
    <t>100% of originations is collateralised</t>
  </si>
  <si>
    <t>Until market settles down</t>
  </si>
  <si>
    <t>Net profit margins</t>
  </si>
  <si>
    <t>Fin exp adj only for CDI &amp; TPV</t>
  </si>
  <si>
    <t>Non GAAP net income change</t>
  </si>
  <si>
    <t xml:space="preserve"> of which other</t>
  </si>
  <si>
    <t>Depreciations as % sales</t>
  </si>
  <si>
    <t>check: Q4 increase in fin expenses</t>
  </si>
  <si>
    <t>Assumed payout as % CDI</t>
  </si>
  <si>
    <t>Pre-funding Take</t>
  </si>
  <si>
    <t>Take-rate (pre-funding, ex-Pagbank)</t>
  </si>
  <si>
    <t>Take-rate (post-funding, ex-Pagbank)</t>
  </si>
  <si>
    <t xml:space="preserve"> of which take rate after funding</t>
  </si>
  <si>
    <t>Take after-funding</t>
  </si>
  <si>
    <t>% margin (on gross revs)</t>
  </si>
  <si>
    <t>% margin (on net revs)</t>
  </si>
  <si>
    <t>PAGS take-rate (per co. def)</t>
  </si>
  <si>
    <t>PAGS take-rate, ex-Pagbank</t>
  </si>
  <si>
    <t>Take-rate (ex Pagbank)</t>
  </si>
  <si>
    <t>Pagbank loan book, BRL m</t>
  </si>
  <si>
    <t>Pagbank Users, m</t>
  </si>
  <si>
    <t>Pagbank revenue, BRL m</t>
  </si>
  <si>
    <t>Acquirer TPV, BRL bn</t>
  </si>
  <si>
    <t>Pagbank TPV BRL bn</t>
  </si>
  <si>
    <t>Europe</t>
  </si>
  <si>
    <t>YE rate 2023</t>
  </si>
  <si>
    <t>YE rate 2022</t>
  </si>
  <si>
    <t>2023 CDI fall (YE) - sensitivity</t>
  </si>
  <si>
    <t>Average rate 2023</t>
  </si>
  <si>
    <t>Change in average rate</t>
  </si>
  <si>
    <t>Net financial exp</t>
  </si>
  <si>
    <t>Change in fin expense</t>
  </si>
  <si>
    <t>After tax</t>
  </si>
  <si>
    <t>Change in net margin</t>
  </si>
  <si>
    <t>Earn</t>
  </si>
  <si>
    <t>Combined impact EBT</t>
  </si>
  <si>
    <t>Combined impact net income</t>
  </si>
  <si>
    <t>Loan</t>
  </si>
  <si>
    <t>Checking accounts</t>
  </si>
  <si>
    <t>Savings</t>
  </si>
  <si>
    <t>Financial investments</t>
  </si>
  <si>
    <t xml:space="preserve">Industry in Q3 </t>
  </si>
  <si>
    <t>Net take rate</t>
  </si>
  <si>
    <t>+16 bps in Q2</t>
  </si>
  <si>
    <t>+5-8 bps in Q3</t>
  </si>
  <si>
    <t>Deflation</t>
  </si>
  <si>
    <t>Included in Q3 guidance</t>
  </si>
  <si>
    <t>Mostly coming from oil price, a lot driven off this</t>
  </si>
  <si>
    <t>Artificial deflation</t>
  </si>
  <si>
    <t>40% cut in fuel prices</t>
  </si>
  <si>
    <t>Expect to show higher market share</t>
  </si>
  <si>
    <t>1/ CDs, locked up for 6 months or daily</t>
  </si>
  <si>
    <t>2/ BRL1000 in account. Save BRL500, transform into credit card limit. Account balance</t>
  </si>
  <si>
    <t>Launch of credit cards - secured</t>
  </si>
  <si>
    <t>Easier - share of account balance can be unlocked</t>
  </si>
  <si>
    <t>End game is not to have fully collateralised credit card</t>
  </si>
  <si>
    <t>Collateralistion of credit</t>
  </si>
  <si>
    <t>23% was collateralised</t>
  </si>
  <si>
    <t>Assume ratio reaching 30-35%</t>
  </si>
  <si>
    <t>Payroll loan</t>
  </si>
  <si>
    <t>Public sector</t>
  </si>
  <si>
    <t>Prepayment of this</t>
  </si>
  <si>
    <t>8% of salaries</t>
  </si>
  <si>
    <t>Pre-payment of FGTS</t>
  </si>
  <si>
    <t>Prepay a share of this every year…risk free transaction</t>
  </si>
  <si>
    <t>Caixa</t>
  </si>
  <si>
    <t>Think similar to 3-5% per month</t>
  </si>
  <si>
    <t>One payment a year</t>
  </si>
  <si>
    <t>October</t>
  </si>
  <si>
    <t>Merchants save a share of sales automatically</t>
  </si>
  <si>
    <t>Save 1% of each sale, for example</t>
  </si>
  <si>
    <t>Goes to CDs, which unlock credit cards</t>
  </si>
  <si>
    <t>Investors not concerned on growth</t>
  </si>
  <si>
    <t>profits and cash flow</t>
  </si>
  <si>
    <t>net adds</t>
  </si>
  <si>
    <t>expected a weaker response to active merchants</t>
  </si>
  <si>
    <t>When will rates come down</t>
  </si>
  <si>
    <t>"Artificial"</t>
  </si>
  <si>
    <t>Market TPV growth</t>
  </si>
  <si>
    <t>10-15%</t>
  </si>
  <si>
    <t>If slower…cash flow perspective</t>
  </si>
  <si>
    <t>requires a lot of working capital</t>
  </si>
  <si>
    <t>TPV fall in Covid, generated BRL1.6 billion in cash flow</t>
  </si>
  <si>
    <t>Lower capex in Q3 vs Q2…down trend</t>
  </si>
  <si>
    <t>Lots of receivables, pre-paying instantly…if TPV falls, difference between payables narrows</t>
  </si>
  <si>
    <t>NII, yes falling - slowing growth</t>
  </si>
  <si>
    <t>Provisioning….33% is provisioned</t>
  </si>
  <si>
    <t>NPLs are much lower or zero</t>
  </si>
  <si>
    <t>a little less profit</t>
  </si>
  <si>
    <t>20-30% on APR</t>
  </si>
  <si>
    <t>NPLs are 0-1%...some fraud</t>
  </si>
  <si>
    <t>COF is 104% of CDI</t>
  </si>
  <si>
    <t>Duration is 3-4 years</t>
  </si>
  <si>
    <t>Not stopping non collateralised</t>
  </si>
  <si>
    <t>This would be restored more in 2023</t>
  </si>
  <si>
    <t>Improving macro late 2022/23</t>
  </si>
  <si>
    <t xml:space="preserve">Q3 credit should be higher </t>
  </si>
  <si>
    <t>much more gradual..head of Pagbank products</t>
  </si>
  <si>
    <t>15% Opex</t>
  </si>
  <si>
    <t>personell, marketing and other ex write-offs</t>
  </si>
  <si>
    <t>Higher marketing in Q3….BRL30-40m extra in Q3</t>
  </si>
  <si>
    <t>Personnel offsetting</t>
  </si>
  <si>
    <t>Still a drag…110 bps higher in Q3 than in Q2</t>
  </si>
  <si>
    <t>Write offs</t>
  </si>
  <si>
    <t>BRL40-60m</t>
  </si>
  <si>
    <t>Should be achieved, BRL400-410</t>
  </si>
  <si>
    <t>margins in Q3 tend to be flat vs Q2</t>
  </si>
  <si>
    <t>10.3% non GAAP in Q2…guide is 10.1-10.2%</t>
  </si>
  <si>
    <t>margin stabilisation getting closer</t>
  </si>
  <si>
    <t>Depr</t>
  </si>
  <si>
    <t>Falling as % sales</t>
  </si>
  <si>
    <t>12-13% in 2023…high single digit/low teens in 2025</t>
  </si>
  <si>
    <t>BRL1.3 for 2022, including write offs</t>
  </si>
  <si>
    <t>BRL1.8 billion, including write offs</t>
  </si>
  <si>
    <t>BRL2.0 billion in 2024</t>
  </si>
  <si>
    <t>Write offs?</t>
  </si>
  <si>
    <t>BRL200m per annum…perhaps a little lower</t>
  </si>
  <si>
    <t>Resolution 246</t>
  </si>
  <si>
    <t>70 bps….instead of 50 bps</t>
  </si>
  <si>
    <t>small, slightly positive</t>
  </si>
  <si>
    <t>Prepaid exposure a little higher at 9%, 2023 10%</t>
  </si>
  <si>
    <t>35% debit share</t>
  </si>
  <si>
    <t>10% prepaid</t>
  </si>
  <si>
    <t>6% of prepaid TPV is 6% of total PAGS T{V</t>
  </si>
  <si>
    <t>Incentive to issue pre paid cards</t>
  </si>
  <si>
    <t xml:space="preserve">BRL18 billion for FY </t>
  </si>
  <si>
    <t>Card TPV is slightly higher than that</t>
  </si>
  <si>
    <t>Still the majority</t>
  </si>
  <si>
    <t>Rates falling in 2023</t>
  </si>
  <si>
    <t>Average for 23 will be higher vs 22</t>
  </si>
  <si>
    <t>Overestimating profits</t>
  </si>
  <si>
    <t>Average 12.5% for consensus (CDI))</t>
  </si>
  <si>
    <t>Gets to BRL1.8 billion</t>
  </si>
  <si>
    <t>Net take-rate…too high</t>
  </si>
  <si>
    <t>Fin expenses…a little too high</t>
  </si>
  <si>
    <t>Underestimating D&amp;A</t>
  </si>
  <si>
    <t>Risks</t>
  </si>
  <si>
    <t>positive surprise</t>
  </si>
  <si>
    <t>A lot of interest</t>
  </si>
  <si>
    <t>Locals</t>
  </si>
  <si>
    <t>should exclude capitalising</t>
  </si>
  <si>
    <t>stone capitalise forever</t>
  </si>
  <si>
    <t>profit for pags should be lower</t>
  </si>
  <si>
    <t>NIM, gross profit similar</t>
  </si>
  <si>
    <t>1Q 24E</t>
  </si>
  <si>
    <t>2Q 24E</t>
  </si>
  <si>
    <t>3Q 24E</t>
  </si>
  <si>
    <t>4Q 24E</t>
  </si>
  <si>
    <t>Source: McKinsey 2020E</t>
  </si>
  <si>
    <t>OLD - updated in Adyen model</t>
  </si>
  <si>
    <t>3Q 22</t>
  </si>
  <si>
    <t>Q3 22</t>
  </si>
  <si>
    <t>Q3 follow up call - 8 Dec 2022</t>
  </si>
  <si>
    <t>Other transaction cost….high in 2021, v low in 2022?</t>
  </si>
  <si>
    <t>(PAGS Total Costs and Expenses sheet)</t>
  </si>
  <si>
    <t>Check timing of cash card change</t>
  </si>
  <si>
    <t>Q4 trends: -</t>
  </si>
  <si>
    <t>Saying TPV deceleration in H2 22, given tougher comps reopening in H2 21</t>
  </si>
  <si>
    <t>On top, deflation in Q3…falling in cards industry</t>
  </si>
  <si>
    <t>Consumption highly constrained</t>
  </si>
  <si>
    <t>New Trust</t>
  </si>
  <si>
    <t>Black Friday - v weak…18% drop</t>
  </si>
  <si>
    <t>ICBA</t>
  </si>
  <si>
    <t>Credit high, rates are higher</t>
  </si>
  <si>
    <t>Santander, Bradesco weak numbers</t>
  </si>
  <si>
    <t>uncertainties so high</t>
  </si>
  <si>
    <t>truck strikes</t>
  </si>
  <si>
    <t>World Cup…BRL3-4 billion</t>
  </si>
  <si>
    <t>growth for Q4…not compelling, same as Q4</t>
  </si>
  <si>
    <t>Q4 PAGS TPV?</t>
  </si>
  <si>
    <t>higher exposure to debit. Take rates down a bit</t>
  </si>
  <si>
    <t>mix shift</t>
  </si>
  <si>
    <t>Costs/exp</t>
  </si>
  <si>
    <t>debit share higher</t>
  </si>
  <si>
    <t>Fin expenses might decrease</t>
  </si>
  <si>
    <t>4 additional working days in Q3…higher</t>
  </si>
  <si>
    <t>Br Q4 - CB kept rates at 13.75%</t>
  </si>
  <si>
    <t>Cash earnings</t>
  </si>
  <si>
    <t>Note 23 fin, footnote 3</t>
  </si>
  <si>
    <t>how much spend on factoring receivables… flat Q2 to Q3</t>
  </si>
  <si>
    <t>replace factoring receivables toward deposits</t>
  </si>
  <si>
    <t>addressing the spread challenge</t>
  </si>
  <si>
    <t>Cash / deposits</t>
  </si>
  <si>
    <t>Relevnt share of fin income due to cash earned</t>
  </si>
  <si>
    <t>prepay</t>
  </si>
  <si>
    <t>one third</t>
  </si>
  <si>
    <t>deposits</t>
  </si>
  <si>
    <t>two thirds</t>
  </si>
  <si>
    <t>factoring receivables</t>
  </si>
  <si>
    <t>opps to raise borrowings, smaller issue</t>
  </si>
  <si>
    <t>Expect industry 10-14%</t>
  </si>
  <si>
    <t>PAGS 16-17%...so growing share</t>
  </si>
  <si>
    <t>take rate…decrease vs 2022…TPV mix change to larger volumes</t>
  </si>
  <si>
    <t>transaction costs down…pre paid</t>
  </si>
  <si>
    <t>Rev won't grow…longer duration is 4x longer than unsecured. APRs are half</t>
  </si>
  <si>
    <t>Pre-paid interchange cap</t>
  </si>
  <si>
    <t>net take rate down a touch</t>
  </si>
  <si>
    <t>Apr 1st…Q2 intro</t>
  </si>
  <si>
    <t>will publish in Q4 also</t>
  </si>
  <si>
    <t xml:space="preserve">Fin expenses </t>
  </si>
  <si>
    <t>slightly above 22</t>
  </si>
  <si>
    <t>12.25% for YE</t>
  </si>
  <si>
    <t>revs 14%</t>
  </si>
  <si>
    <t>up 30%....</t>
  </si>
  <si>
    <t>chargebacks…some reduction…lower provision for losses in 2023</t>
  </si>
  <si>
    <t>Gross Pagbank due to higher provisions</t>
  </si>
  <si>
    <t>now, shifting toward secured losses</t>
  </si>
  <si>
    <t>30% or so</t>
  </si>
  <si>
    <t>Total opex</t>
  </si>
  <si>
    <t>up 7% or so</t>
  </si>
  <si>
    <t>will try and offset 30% higher fin expenses</t>
  </si>
  <si>
    <t>adj EBITDA margin</t>
  </si>
  <si>
    <t>will go up on 22</t>
  </si>
  <si>
    <t>D&amp;A plus POS write offs</t>
  </si>
  <si>
    <t>1.2-1.3 D&amp;A + write off</t>
  </si>
  <si>
    <t>1.5 + 200m of write offs</t>
  </si>
  <si>
    <t>slightly higher than '22</t>
  </si>
  <si>
    <t>Tax rate ~17%...net income non GAAP +5% 2023</t>
  </si>
  <si>
    <t>BRL1.66 - 1.67bn for 2023</t>
  </si>
  <si>
    <t>Buy back shares</t>
  </si>
  <si>
    <t>Program</t>
  </si>
  <si>
    <t>buy back $250m in shares up to</t>
  </si>
  <si>
    <t>30-40% fully exercised</t>
  </si>
  <si>
    <t>Sept-22 3.5m in Treasury</t>
  </si>
  <si>
    <t>2021…1.7m shares</t>
  </si>
  <si>
    <t>End point - 2025?</t>
  </si>
  <si>
    <t>Increasing cash earnings..</t>
  </si>
  <si>
    <t>2023 capex….should be stable in absolute terms</t>
  </si>
  <si>
    <t>SIM cards for POS</t>
  </si>
  <si>
    <t>Inventory rentals</t>
  </si>
  <si>
    <t>Storage</t>
  </si>
  <si>
    <t>ATM fees</t>
  </si>
  <si>
    <t>Cost of issuing cards</t>
  </si>
  <si>
    <t>Lower gross adds….higher POS price</t>
  </si>
  <si>
    <t>Q3 run rate better</t>
  </si>
  <si>
    <t>Linked to net adds</t>
  </si>
  <si>
    <t>Nano merchants</t>
  </si>
  <si>
    <t>2% of TPV ~ 20% of merchants</t>
  </si>
  <si>
    <t>Rebound in H2 23</t>
  </si>
  <si>
    <t>&lt;BRL1,000 per month</t>
  </si>
  <si>
    <t>Driving subs declines</t>
  </si>
  <si>
    <t>Not profitable</t>
  </si>
  <si>
    <t>higher acquisition cost</t>
  </si>
  <si>
    <t>monthly recurrence</t>
  </si>
  <si>
    <t>SoftPOS…? Tap on phone solution</t>
  </si>
  <si>
    <t>rolling out on mobile phones</t>
  </si>
  <si>
    <t>in Br don’t see much room to grow</t>
  </si>
  <si>
    <t>Pagphone POS launch</t>
  </si>
  <si>
    <t>Ran research as to why didn't work…</t>
  </si>
  <si>
    <t>All activated as phone, but not as POS</t>
  </si>
  <si>
    <t>Value mobile phone, don’t want to double up</t>
  </si>
  <si>
    <t>Not sure TPV growth for 2024 over 2023</t>
  </si>
  <si>
    <t>Yes Lula boost spend</t>
  </si>
  <si>
    <t>Fiscal pressures though</t>
  </si>
  <si>
    <t>Size of PAGS…at some point..rather large</t>
  </si>
  <si>
    <t>7-10% TPV</t>
  </si>
  <si>
    <t>5% inflation</t>
  </si>
  <si>
    <t>7-10% market TPV</t>
  </si>
  <si>
    <t>10-12% PAGS</t>
  </si>
  <si>
    <t>EBITDA…people should care..FCF</t>
  </si>
  <si>
    <t>LT investors tracking this metric</t>
  </si>
  <si>
    <t>Norway, Boston, UK</t>
  </si>
  <si>
    <t>Cash earnings…EBITDA followed</t>
  </si>
  <si>
    <t>D&amp;A should peak as % revs</t>
  </si>
  <si>
    <t>POS won't go to zero</t>
  </si>
  <si>
    <t>Not in depreciation as</t>
  </si>
  <si>
    <t>1/ POS through capex</t>
  </si>
  <si>
    <t>2/ Tax shield also</t>
  </si>
  <si>
    <t>1.8-1.9 whilst 200m should start to trend down (20-40)</t>
  </si>
  <si>
    <t>NIM development (gross profit)</t>
  </si>
  <si>
    <t>&gt;50%</t>
  </si>
  <si>
    <t>Unsecured</t>
  </si>
  <si>
    <t>Secured end-2023</t>
  </si>
  <si>
    <t>Trend for next 3 years</t>
  </si>
  <si>
    <t>40-50%</t>
  </si>
  <si>
    <t>Discount receivables</t>
  </si>
  <si>
    <t>Interest on deposits</t>
  </si>
  <si>
    <t>Pagbank deposits</t>
  </si>
  <si>
    <t>Merchants as % Total</t>
  </si>
  <si>
    <t>Secured/other</t>
  </si>
  <si>
    <t>Gross Credit Portfolio (BRL m)</t>
  </si>
  <si>
    <t>Net credit book</t>
  </si>
  <si>
    <t>As % Gross</t>
  </si>
  <si>
    <t>Old CDI</t>
  </si>
  <si>
    <t>New CDI</t>
  </si>
  <si>
    <t>Revenue less funding</t>
  </si>
  <si>
    <t>Net income margin (on net)</t>
  </si>
  <si>
    <t>Revenue net</t>
  </si>
  <si>
    <t>funding</t>
  </si>
  <si>
    <t>22-30e</t>
  </si>
  <si>
    <t>OpEX, taxes, etc</t>
  </si>
  <si>
    <t>25-30e</t>
  </si>
  <si>
    <t>23-30e</t>
  </si>
  <si>
    <t>Cash PE</t>
  </si>
  <si>
    <t>OpFCF</t>
  </si>
  <si>
    <t>Cash earnings (EBITDA less capex)</t>
  </si>
  <si>
    <t>Provisions (BRL m) on BS</t>
  </si>
  <si>
    <t>"Yield"</t>
  </si>
  <si>
    <t>Provision as % revenue</t>
  </si>
  <si>
    <t>Annualised "Yield" (incs interchange etc)</t>
  </si>
  <si>
    <t>Other opex (Gross Profit less EBITDA)</t>
  </si>
  <si>
    <t>Total ECL</t>
  </si>
  <si>
    <t>Provision</t>
  </si>
  <si>
    <t>Other revenues</t>
  </si>
  <si>
    <t>as % book</t>
  </si>
  <si>
    <t>Cielo call (Jan 27)</t>
  </si>
  <si>
    <t>Payment volumes, +5% in Q4</t>
  </si>
  <si>
    <t>SMB and long tail,  only +2% in the quarter</t>
  </si>
  <si>
    <t>Not clear whether lost share or not</t>
  </si>
  <si>
    <t>SMB, LT always worse in Q4, large accounts win over Black Friday and Christmas</t>
  </si>
  <si>
    <t>Looking to win SMB, long tail</t>
  </si>
  <si>
    <t>Large increases in 2022</t>
  </si>
  <si>
    <t>ROE is still low, still inadeqaute, see space for repricing</t>
  </si>
  <si>
    <t>Waited in Q4 and Q1 for pricing</t>
  </si>
  <si>
    <t>ROE up?</t>
  </si>
  <si>
    <t>Private competitors less focused on profitability?</t>
  </si>
  <si>
    <t>No, banks are listed, focused on ROE</t>
  </si>
  <si>
    <t>Don’t want to be dilutive</t>
  </si>
  <si>
    <t>No signals changed here</t>
  </si>
  <si>
    <t>Q4 22</t>
  </si>
  <si>
    <t>4Q 22</t>
  </si>
  <si>
    <t xml:space="preserve">Pagbank revenue </t>
  </si>
  <si>
    <t xml:space="preserve">NSR </t>
  </si>
  <si>
    <t>FY 2023</t>
  </si>
  <si>
    <t>PAGS call Q4 22</t>
  </si>
  <si>
    <t>2023 - vols up</t>
  </si>
  <si>
    <t>abecs</t>
  </si>
  <si>
    <t>14-18%</t>
  </si>
  <si>
    <t>pagbank</t>
  </si>
  <si>
    <t>acquiring</t>
  </si>
  <si>
    <t>revs should grow</t>
  </si>
  <si>
    <t>tpv seasonally low</t>
  </si>
  <si>
    <t>seeing good q1 rev trends</t>
  </si>
  <si>
    <t>Expenses up less than revs</t>
  </si>
  <si>
    <t>Selling / admin better?</t>
  </si>
  <si>
    <t>10% net income margins</t>
  </si>
  <si>
    <t>total losses, charge backs, provs</t>
  </si>
  <si>
    <t>expect selling exp (p 19 in release) - good</t>
  </si>
  <si>
    <t>chargebacks lower, credit losses also due to credit losses</t>
  </si>
  <si>
    <t>1.89 vs 1.99 for debit. V small</t>
  </si>
  <si>
    <t>Chargebacks (inc provisions)</t>
  </si>
  <si>
    <t>Financial expenses</t>
  </si>
  <si>
    <t>Acquirer TPV/sub</t>
  </si>
  <si>
    <t>Net interest income</t>
  </si>
  <si>
    <t>Credit book (gross)</t>
  </si>
  <si>
    <t xml:space="preserve">Total ECL </t>
  </si>
  <si>
    <t>&gt; 411 *</t>
  </si>
  <si>
    <t>* assumes market growth of 16% and PAGS growth &gt; of this</t>
  </si>
  <si>
    <t>Company</t>
  </si>
  <si>
    <t>steer</t>
  </si>
  <si>
    <t>&gt; BRL1,596 **</t>
  </si>
  <si>
    <t>&gt; 15,355 **</t>
  </si>
  <si>
    <t>** above 2022 reported levels</t>
  </si>
  <si>
    <t xml:space="preserve"> - of which Working Capital</t>
  </si>
  <si>
    <t xml:space="preserve"> - of which Payroll / collateralised</t>
  </si>
  <si>
    <t>Eric breakfast</t>
  </si>
  <si>
    <t>grow in 2023?</t>
  </si>
  <si>
    <t>1Q 25E</t>
  </si>
  <si>
    <t>2Q 25E</t>
  </si>
  <si>
    <t>3Q 25E</t>
  </si>
  <si>
    <t>4Q 25E</t>
  </si>
  <si>
    <t>Total Revenues and Income (net)</t>
  </si>
  <si>
    <t>Other revenue</t>
  </si>
  <si>
    <t>Change in provision</t>
  </si>
  <si>
    <t>Default rate as % Credit revenue</t>
  </si>
  <si>
    <t>Provision as % Credit revenue</t>
  </si>
  <si>
    <t>Blended yield</t>
  </si>
  <si>
    <t>Credit revenue</t>
  </si>
  <si>
    <t>NIM</t>
  </si>
  <si>
    <t>Revs less NIM</t>
  </si>
  <si>
    <t xml:space="preserve">Funding </t>
  </si>
  <si>
    <t>What else??</t>
  </si>
  <si>
    <t>as Revs less IC</t>
  </si>
  <si>
    <t>as % Revs less IC</t>
  </si>
  <si>
    <t xml:space="preserve"> less IC</t>
  </si>
  <si>
    <t xml:space="preserve">EBITDA </t>
  </si>
  <si>
    <t>Network fees (Acquirer)</t>
  </si>
  <si>
    <t>Pagbank (net)</t>
  </si>
  <si>
    <t>Other fees</t>
  </si>
  <si>
    <t>DCF / Implied 2023e TPV</t>
  </si>
  <si>
    <t>Reported net cash</t>
  </si>
  <si>
    <t>Adjustment factor</t>
  </si>
  <si>
    <t>23-25e CAGR</t>
  </si>
  <si>
    <t>implied TPV</t>
  </si>
  <si>
    <t>Jan lay off of 7%</t>
  </si>
  <si>
    <t>Jan-lay off</t>
  </si>
  <si>
    <t>500 employees, not Sales. Product/tech office</t>
  </si>
  <si>
    <t>Project to automise customer care</t>
  </si>
  <si>
    <t>Provision of BRL10-15m charge in Q1, personnel exp. Should grow less than inflation</t>
  </si>
  <si>
    <t>1. Despite being one-time event, only shares plan</t>
  </si>
  <si>
    <t>2. Personnel, marketing, others - a touch higher than Q1 22 even with this</t>
  </si>
  <si>
    <t>similar adjusted for this</t>
  </si>
  <si>
    <t>Always discussing</t>
  </si>
  <si>
    <t>Year will be tough in terms of volumes, but see profitability protection</t>
  </si>
  <si>
    <t>Shift to cheaper funding…</t>
  </si>
  <si>
    <t>Total losses for provisions, charge backs should sharply decrease</t>
  </si>
  <si>
    <t>OpEx lower than inflation</t>
  </si>
  <si>
    <t>Volumes</t>
  </si>
  <si>
    <t>Abecs 14-18%....high single/low double digit in reality for the market</t>
  </si>
  <si>
    <t>Asset quality deterioration…so less retail credit</t>
  </si>
  <si>
    <t>Americanas also… for the banks corporate used to be solid. Corporate credit under scrutiny</t>
  </si>
  <si>
    <t>PAGS: keep or slightly increase share, in Q1 and FY 2023</t>
  </si>
  <si>
    <t>Can Brazil boost consumption</t>
  </si>
  <si>
    <t>FY: BRL407 billion…</t>
  </si>
  <si>
    <t>High share or prepayment</t>
  </si>
  <si>
    <t>Higher share of equity/deposits…spreads should come down</t>
  </si>
  <si>
    <t>WC needs and expenses tied to prepayments</t>
  </si>
  <si>
    <t>settling for merchants instantly. Receviing from issuers later</t>
  </si>
  <si>
    <t>When tpv grows rapidly, WC needs ramp up</t>
  </si>
  <si>
    <t>when slows</t>
  </si>
  <si>
    <t>Mar-20 - tpv dropped in 15 days of march. Generated BRL1.5 billion in cash</t>
  </si>
  <si>
    <t>payables</t>
  </si>
  <si>
    <t>got</t>
  </si>
  <si>
    <t>didn’t grow as fast</t>
  </si>
  <si>
    <t>PAGS TPV does more prepayment</t>
  </si>
  <si>
    <t>70% of overall TPV is prepaid</t>
  </si>
  <si>
    <t>Cash generated</t>
  </si>
  <si>
    <t>fully reinvested in business</t>
  </si>
  <si>
    <t>share buy backs</t>
  </si>
  <si>
    <t>pay dividends (not happening)</t>
  </si>
  <si>
    <t>this means rely less on 3rd parties, and receivables</t>
  </si>
  <si>
    <t>deposits…lower spreads than receivables</t>
  </si>
  <si>
    <t>equity use</t>
  </si>
  <si>
    <t>Issues</t>
  </si>
  <si>
    <t>Equity combo</t>
  </si>
  <si>
    <t>30-35 BRL of WC needs</t>
  </si>
  <si>
    <t>BRL6-7 billion</t>
  </si>
  <si>
    <t>BRL20 bn</t>
  </si>
  <si>
    <t>equity</t>
  </si>
  <si>
    <t>TPV slowdown</t>
  </si>
  <si>
    <t>Fin exp</t>
  </si>
  <si>
    <t>TPV decline is higher than fin expenses decline</t>
  </si>
  <si>
    <t>More credit in Q1 than Q4</t>
  </si>
  <si>
    <t>Also higher than in Q4, also than in Q1 22</t>
  </si>
  <si>
    <t>Close to 5bps lift into Q1</t>
  </si>
  <si>
    <t>Tax should be similar to Q4</t>
  </si>
  <si>
    <t>FY we’re ok also</t>
  </si>
  <si>
    <t>Better than consensus for Q1. happy with our number</t>
  </si>
  <si>
    <t>Breakeven in Q1</t>
  </si>
  <si>
    <t>Capex for FY 23 …. Lower than FY 22..</t>
  </si>
  <si>
    <t>Cash flow generation … v positive…Q1 23 (as opposed to be tough in Q1)</t>
  </si>
  <si>
    <t>Slight increase vs Q4 22</t>
  </si>
  <si>
    <t>nearer to BRL400m</t>
  </si>
  <si>
    <t>FY 23 - should be the last year of relative mismatch</t>
  </si>
  <si>
    <t>D&amp;A is catching up still in FY 23</t>
  </si>
  <si>
    <t>Being asked here</t>
  </si>
  <si>
    <t>Helping to attract new clients /  deposits…lowers spreads</t>
  </si>
  <si>
    <t>P2B…implies margins are better than debit cards</t>
  </si>
  <si>
    <t>similar to debit cards</t>
  </si>
  <si>
    <t>PIX P2P</t>
  </si>
  <si>
    <t>PIX P2B</t>
  </si>
  <si>
    <t>QR code</t>
  </si>
  <si>
    <t>Go to App, login, type social security, confirmed etc etc</t>
  </si>
  <si>
    <t>zero cost</t>
  </si>
  <si>
    <t>Merchants need to check if received</t>
  </si>
  <si>
    <t>PIX BNPL</t>
  </si>
  <si>
    <t>charges interest to consumers</t>
  </si>
  <si>
    <t>PAGS Q&amp;A</t>
  </si>
  <si>
    <t>TPV growth</t>
  </si>
  <si>
    <t>SME fell less than large accounts</t>
  </si>
  <si>
    <t>Pre-payments income good despite weaker TPV</t>
  </si>
  <si>
    <t>Large</t>
  </si>
  <si>
    <t>client base dropping, explains most of the volume drop (95% q/q)</t>
  </si>
  <si>
    <t>less incentivising of POS</t>
  </si>
  <si>
    <t>handful of clients driven the loss…focusing on profitable clients</t>
  </si>
  <si>
    <t>looking for niche of lower volumes, with higher pricing</t>
  </si>
  <si>
    <t>PE (after stock)</t>
  </si>
  <si>
    <t>1Q 23</t>
  </si>
  <si>
    <t>Q1 23</t>
  </si>
  <si>
    <t>Outlook for the market?</t>
  </si>
  <si>
    <t>Market share within macro/micro</t>
  </si>
  <si>
    <t>Pricing environment</t>
  </si>
  <si>
    <t xml:space="preserve">Confirm pre-paid interchange cap </t>
  </si>
  <si>
    <t>Room to move up on SME?</t>
  </si>
  <si>
    <t>Keeping long tail stable</t>
  </si>
  <si>
    <t>Subs base</t>
  </si>
  <si>
    <t>How close to nano merchants base stabilising</t>
  </si>
  <si>
    <t>Are any of these customers Pagbank customers?</t>
  </si>
  <si>
    <t>When churn nano merchant, do they keep Pagbank customer?</t>
  </si>
  <si>
    <t>Update what the gain to acquirer and loss to Pagbank EBITDA is</t>
  </si>
  <si>
    <t>Mix of TPV</t>
  </si>
  <si>
    <t>Long tail vs SME</t>
  </si>
  <si>
    <t>Should we expect take rate dilution from this?</t>
  </si>
  <si>
    <t>Financial exp as % of revenue?</t>
  </si>
  <si>
    <t>Stable through 2023 absent changes in CDI?</t>
  </si>
  <si>
    <t>EPS accretion in 2023</t>
  </si>
  <si>
    <t>Still happy with this?</t>
  </si>
  <si>
    <t>Funding from deposits?</t>
  </si>
  <si>
    <t>Working days up in Q1 vs Q4 (5 lower than Q3)</t>
  </si>
  <si>
    <t>Further cuts in securitisation spreads</t>
  </si>
  <si>
    <t>Deposit outlook?</t>
  </si>
  <si>
    <t>Growing a shade &lt; market ?</t>
  </si>
  <si>
    <t>Big slow down in marketing / adv</t>
  </si>
  <si>
    <t>Collateralised against CDs?</t>
  </si>
  <si>
    <t>17.9%, 22.4% on 90+ days</t>
  </si>
  <si>
    <t>Neutral to net income BUT</t>
  </si>
  <si>
    <t>Lending outlook for non secured lending</t>
  </si>
  <si>
    <t>Running at ~</t>
  </si>
  <si>
    <t>Adj for interchange cap, how thinking about provision as % revs? Keep falling as long as non secured falls?</t>
  </si>
  <si>
    <t>On new basis, EBITDA breakeven post interchange cap? Any reason won't continue going forward?</t>
  </si>
  <si>
    <t>One off</t>
  </si>
  <si>
    <t>BRL12m charge</t>
  </si>
  <si>
    <t>Deposits 59% of 3rd party funding</t>
  </si>
  <si>
    <t>IC fee cap</t>
  </si>
  <si>
    <t>More headcount opportunities</t>
  </si>
  <si>
    <t>Headcount</t>
  </si>
  <si>
    <t>MSMB</t>
  </si>
  <si>
    <t>largest share of TPV</t>
  </si>
  <si>
    <t>Pagbank as % securitisation</t>
  </si>
  <si>
    <t>Losses / charge backs</t>
  </si>
  <si>
    <t>Expect to have improving results in terms of losses</t>
  </si>
  <si>
    <t>Chargebacks - also improved vs 2022</t>
  </si>
  <si>
    <t>Marketing / adv run rate</t>
  </si>
  <si>
    <t xml:space="preserve">Personnel </t>
  </si>
  <si>
    <t>BRL11-12m cost, non recurring</t>
  </si>
  <si>
    <t>Will spend a little more in Q2 than in Q1</t>
  </si>
  <si>
    <t>Rebrand to Pagbank</t>
  </si>
  <si>
    <t>TPV grow less than the market</t>
  </si>
  <si>
    <t xml:space="preserve">60% of active base has </t>
  </si>
  <si>
    <t>Pagbank merchants is stable at ~90% of Acquiring merchants</t>
  </si>
  <si>
    <t>would think falling given loss of nano's, but</t>
  </si>
  <si>
    <t>Take rates for large accounts similar</t>
  </si>
  <si>
    <t>Pricing is ratonal yes</t>
  </si>
  <si>
    <t>Fin Services (Old)</t>
  </si>
  <si>
    <t>Fin Services (New)</t>
  </si>
  <si>
    <t>EBITDA (Old)</t>
  </si>
  <si>
    <t>EBITDA (New)</t>
  </si>
  <si>
    <t>ECL as Fin Service revenue</t>
  </si>
  <si>
    <t>Net interest Income (Old)</t>
  </si>
  <si>
    <t>Old adj EBITDA</t>
  </si>
  <si>
    <t>Gross Profit (old)</t>
  </si>
  <si>
    <t>SELIC average</t>
  </si>
  <si>
    <t>SELIC period end</t>
  </si>
  <si>
    <t>% margin (net)</t>
  </si>
  <si>
    <t>Key Accounts</t>
  </si>
  <si>
    <t>Revenue (Gross)</t>
  </si>
  <si>
    <t>NEW, BRL million</t>
  </si>
  <si>
    <t>PE (GAAP), after SBC</t>
  </si>
  <si>
    <t>OpEx</t>
  </si>
  <si>
    <t xml:space="preserve"> - less fin expenses</t>
  </si>
  <si>
    <t xml:space="preserve"> - less D&amp;A</t>
  </si>
  <si>
    <t>Underlying opex</t>
  </si>
  <si>
    <t>New Street Research, BRL m</t>
  </si>
  <si>
    <t>TPV (BRL bn)</t>
  </si>
  <si>
    <t>Consensus (Visible Alpha)</t>
  </si>
  <si>
    <t>Q2 23</t>
  </si>
  <si>
    <t>2Q 23</t>
  </si>
  <si>
    <t>MSMB TPV growth</t>
  </si>
  <si>
    <t>Drop off in CC loan book</t>
  </si>
  <si>
    <t>Deposits of BRL18.3 bn down a touch on Q1</t>
  </si>
  <si>
    <t>Capex up in Q2..strong gross adds</t>
  </si>
  <si>
    <t>Payment revs down y/y</t>
  </si>
  <si>
    <t>TPV up, gross down</t>
  </si>
  <si>
    <t>grow in selected verticals..</t>
  </si>
  <si>
    <t>which ones?</t>
  </si>
  <si>
    <t>TPV growth up a little stronger</t>
  </si>
  <si>
    <t>Wrote off a bunch of loans, already full provisioned, no P&amp;L impact</t>
  </si>
  <si>
    <t>Credit card instalment durations</t>
  </si>
  <si>
    <t>Whats driving this…?</t>
  </si>
  <si>
    <t>How much is PIX P2B ?</t>
  </si>
  <si>
    <t>Headcount reduction</t>
  </si>
  <si>
    <t>Competitors increasing Sales?</t>
  </si>
  <si>
    <t>Commercial team unchanged. 300 hubs, 3000 people on the streets</t>
  </si>
  <si>
    <t>Why slowing…? Cards mature, PIX disruption</t>
  </si>
  <si>
    <t>Card volumes down…macro a driver</t>
  </si>
  <si>
    <t>Debit and pre-paid - probably PIX cannibalising this, but not cannibalising credit</t>
  </si>
  <si>
    <t>Q2 seems to have been the worst</t>
  </si>
  <si>
    <t>Q3 should be close to 8.5%...in general people more optimistic about H2</t>
  </si>
  <si>
    <t>ECLs close to zero</t>
  </si>
  <si>
    <t>Chargebacks rose this quarter</t>
  </si>
  <si>
    <t>new underwriting relating to unsecured</t>
  </si>
  <si>
    <t>small increase</t>
  </si>
  <si>
    <t>10-11bps in the future…small increase here and there</t>
  </si>
  <si>
    <t>Why fell…how is Q3 moving along</t>
  </si>
  <si>
    <t>Price changes following SELIC cut</t>
  </si>
  <si>
    <t>No pressure yet</t>
  </si>
  <si>
    <t xml:space="preserve">Small TPV where link to CDI </t>
  </si>
  <si>
    <t>Rest no change from competition yet</t>
  </si>
  <si>
    <t>only 50 bps at this point</t>
  </si>
  <si>
    <t>Expect to fall into Q3 a touch</t>
  </si>
  <si>
    <t>If three 50 bps cuts in 2023</t>
  </si>
  <si>
    <t>100 bps cut…BRL200m PBT</t>
  </si>
  <si>
    <t>Shorter credit instalments</t>
  </si>
  <si>
    <t>Some seasonality on durations of credit</t>
  </si>
  <si>
    <t>Any reason not to get full benefit of SELIC</t>
  </si>
  <si>
    <t>Not seeing big changes in MSMB, some more in Key Accounts</t>
  </si>
  <si>
    <t>Similar to last year or so</t>
  </si>
  <si>
    <t>Don't plan to be the first to pull trigger and cut prices</t>
  </si>
  <si>
    <t>write off loans (full provisioned)</t>
  </si>
  <si>
    <t>Similar or slightly lower capex for FY 23 as 2022</t>
  </si>
  <si>
    <t>New players with licence</t>
  </si>
  <si>
    <t>have a clear value proposition…payments/digital bank combo unmatched</t>
  </si>
  <si>
    <t>instant settlement…T + 0, Pagbank with high yield CDs</t>
  </si>
  <si>
    <t>Net add losses…churn from 1 year ago…no TPV impact</t>
  </si>
  <si>
    <t>Increase in gross adds in Q3</t>
  </si>
  <si>
    <t>No new player in the market</t>
  </si>
  <si>
    <t>Some migration from LT to SMB</t>
  </si>
  <si>
    <t>Revenue expansion in 2024?</t>
  </si>
  <si>
    <t>Revolving credit cards</t>
  </si>
  <si>
    <t>law under discussion, published this afternoon</t>
  </si>
  <si>
    <t>no mention of instalments</t>
  </si>
  <si>
    <t>15% per month, 440% per year</t>
  </si>
  <si>
    <t>Pressure from banks offering less ?</t>
  </si>
  <si>
    <t>Acquiring - see TPV accelerating, expect to gain share over time; lower take rates</t>
  </si>
  <si>
    <t>Lower SELIC</t>
  </si>
  <si>
    <t>Gross profit should be compelling in 2024</t>
  </si>
  <si>
    <t>Fin Services</t>
  </si>
  <si>
    <t>Sept 1 '23 consensus</t>
  </si>
  <si>
    <t>Q2 23 follow up</t>
  </si>
  <si>
    <t>TPV growth coming back in Q3… why?</t>
  </si>
  <si>
    <t>Unpicking take rate … simply shifting into larger merchants?</t>
  </si>
  <si>
    <t>Key Accounts/Enterprise - how much of TPV?</t>
  </si>
  <si>
    <t>Depreciation ?</t>
  </si>
  <si>
    <t>BRL650 in H1</t>
  </si>
  <si>
    <t>Why deposits down?</t>
  </si>
  <si>
    <t>Implied interest on deposits</t>
  </si>
  <si>
    <t>as % CDI</t>
  </si>
  <si>
    <t>Changes to estimates (Sept 2023)</t>
  </si>
  <si>
    <t>Check is PIX P2M in the numbers (it is NOT for StoneCo)</t>
  </si>
  <si>
    <t>Tough comps unwinding</t>
  </si>
  <si>
    <t>Expect to grow faster than industry</t>
  </si>
  <si>
    <t>Abecs to grow 9-11% for FY 23, updated guidance</t>
  </si>
  <si>
    <t>8.5% for 45 days…points to this direction</t>
  </si>
  <si>
    <t>6-7% in first 2 months of Q3</t>
  </si>
  <si>
    <t>Q4 high single digit/low double digit</t>
  </si>
  <si>
    <t xml:space="preserve">MSMB </t>
  </si>
  <si>
    <t>Q3 lower take rates for mix reasons….debit cards (Q4)</t>
  </si>
  <si>
    <t>Stone - MSMB: BRL0-2m TPV, PAGS up to BRL0.5m per month</t>
  </si>
  <si>
    <t>one third of PAGS volumes</t>
  </si>
  <si>
    <t>&lt;10% of TPV</t>
  </si>
  <si>
    <t>Key Accounts/large accounts</t>
  </si>
  <si>
    <t>Strategy now is to focus</t>
  </si>
  <si>
    <t>1/ Lower cost of funding…gain strength here</t>
  </si>
  <si>
    <t>2/  Gaps in on-line/x-border products, omnichannel also</t>
  </si>
  <si>
    <t>3/ Stone take rate, due to lower tax collection</t>
  </si>
  <si>
    <t>Stone since 2020 - don't split gross revenue</t>
  </si>
  <si>
    <t>Unique price policy for LT, succeed in moving down market</t>
  </si>
  <si>
    <t>Fin income rather than transaction..</t>
  </si>
  <si>
    <t>MDR collect ~11% on tax, 4-5% for PAGS</t>
  </si>
  <si>
    <t>Similar to Vivo</t>
  </si>
  <si>
    <t xml:space="preserve">Cielo does the same thing as </t>
  </si>
  <si>
    <t>PIS / COFINS</t>
  </si>
  <si>
    <t>ISS, PIS/COFINS</t>
  </si>
  <si>
    <t>Transaction</t>
  </si>
  <si>
    <t>Lower ISS fee</t>
  </si>
  <si>
    <t>Moved from SP to Barueri</t>
  </si>
  <si>
    <t>PAGS making the assessment</t>
  </si>
  <si>
    <t>Take rate to continue to drift down</t>
  </si>
  <si>
    <t>SMB better</t>
  </si>
  <si>
    <t>Largest accounts biggest opportunity</t>
  </si>
  <si>
    <t>opportunity of spreads, cheaper source</t>
  </si>
  <si>
    <t>Expect to grow MSMB as top grower…further footprint in larger accounts</t>
  </si>
  <si>
    <t>Enterprise wins?</t>
  </si>
  <si>
    <t>Payments platform…</t>
  </si>
  <si>
    <t>merchant can have 4 acquirers put all money into single PAGS account</t>
  </si>
  <si>
    <t>1/ Banking licence.. Able to make clients if work with &gt;1 acquirer</t>
  </si>
  <si>
    <t>2/ Easy to connect to different softwares, which Enterprise will tend to need</t>
  </si>
  <si>
    <t>connect to APIs</t>
  </si>
  <si>
    <t>3/ Only ones</t>
  </si>
  <si>
    <t>Large Enterprise more linked with rates cycle</t>
  </si>
  <si>
    <t>used to be low to mid teens went went public</t>
  </si>
  <si>
    <t>different sales, not in hubs</t>
  </si>
  <si>
    <t>different types</t>
  </si>
  <si>
    <t>subacquirers</t>
  </si>
  <si>
    <t>marketplace in online</t>
  </si>
  <si>
    <t>Things change in 2020 - diversify here</t>
  </si>
  <si>
    <t>TPV split</t>
  </si>
  <si>
    <t>Losing large Enterprise - losing volumes, stabilise growth</t>
  </si>
  <si>
    <t>Perhaps will fall a little</t>
  </si>
  <si>
    <t>deposits fell, those through 3rd parties</t>
  </si>
  <si>
    <t>cheapest cost of funding, vs deposit on platform</t>
  </si>
  <si>
    <t>AAA from S&amp;P, expect to be able to grow deposits at lower cost</t>
  </si>
  <si>
    <t>goal - 100% through deposits would be great…BRL10 billion of equity, net cash. Buy back, lack XP, improving cap structure, improve ROE</t>
  </si>
  <si>
    <t>extra space to have a better mix</t>
  </si>
  <si>
    <t>on platform, time and CDs invested through App</t>
  </si>
  <si>
    <t>CDs which are distributed off platform, wholesale Pagbank</t>
  </si>
  <si>
    <t>Q4 to Q1 - lower TPV, deposits fall</t>
  </si>
  <si>
    <t>Q1 to Q2 - off platform not the focus…was cheaper</t>
  </si>
  <si>
    <t>BRL40-60m write offs per Q, running &gt;BRL60m or slightly higher</t>
  </si>
  <si>
    <t>underlying not changed</t>
  </si>
  <si>
    <t>took decision to speed up write off</t>
  </si>
  <si>
    <t>align capex and depreciation</t>
  </si>
  <si>
    <t>related to 2020/21 cohorts when had a physical sales channel in long tail</t>
  </si>
  <si>
    <t>shut down physical long-tail….marketing coming down</t>
  </si>
  <si>
    <t>POS activations….ration is higher than last 12 quarters</t>
  </si>
  <si>
    <t>boots on the ground, were expense. This sales channel has gone</t>
  </si>
  <si>
    <t>Tax up to 20% in Q2, a touch higher in Q1</t>
  </si>
  <si>
    <t>Fin services better, pay higher tax income  in banking subsidiary</t>
  </si>
  <si>
    <t>Fin Services…not all is under the banking institution</t>
  </si>
  <si>
    <t>Higher income tax offset by higher PBT</t>
  </si>
  <si>
    <t>Enterprise = 10% under Stone</t>
  </si>
  <si>
    <t>Enterprise = 30% under PAGS</t>
  </si>
  <si>
    <t>&gt;2m / month</t>
  </si>
  <si>
    <t>&gt;0.5m / month</t>
  </si>
  <si>
    <t xml:space="preserve">PAGS </t>
  </si>
  <si>
    <t>Inflation</t>
  </si>
  <si>
    <t>Finanncial expenses</t>
  </si>
  <si>
    <t>Enterprise as %</t>
  </si>
  <si>
    <t>Enterprise</t>
  </si>
  <si>
    <t>Micro</t>
  </si>
  <si>
    <t>as % Group revenue</t>
  </si>
  <si>
    <t xml:space="preserve"> of which on-platform</t>
  </si>
  <si>
    <t xml:space="preserve"> of which off-platform</t>
  </si>
  <si>
    <t>Update</t>
  </si>
  <si>
    <t>Trends better, TPV up strongly</t>
  </si>
  <si>
    <t>BCB thus far good, let's see</t>
  </si>
  <si>
    <t>Net income.. BRL2.3 billion for FY 24</t>
  </si>
  <si>
    <t>10-15bps for 2024/25</t>
  </si>
  <si>
    <t>Includes pricing coming down</t>
  </si>
  <si>
    <t>Mix shift is done</t>
  </si>
  <si>
    <t xml:space="preserve">Large </t>
  </si>
  <si>
    <t>150bps…30% of TPV, &gt;300k / month</t>
  </si>
  <si>
    <t>stable</t>
  </si>
  <si>
    <t>some moip stuff, x-border not done do well</t>
  </si>
  <si>
    <t>50% of total</t>
  </si>
  <si>
    <t>240 bps - higher on self serve, lower on hubs</t>
  </si>
  <si>
    <t>20% of TPV</t>
  </si>
  <si>
    <t>growing below average</t>
  </si>
  <si>
    <t>Blend out</t>
  </si>
  <si>
    <t>Take-rate shouldn’t go much lower</t>
  </si>
  <si>
    <t>If pricing flat, should be flat going forward</t>
  </si>
  <si>
    <t>Tax rate 17% in 2023, tax rate 23% in 2024</t>
  </si>
  <si>
    <t>BCB Campos done at end of the year</t>
  </si>
  <si>
    <t>2025 - rate will come down</t>
  </si>
  <si>
    <t>Hubs and through self-serve</t>
  </si>
  <si>
    <t>375 bps take rate</t>
  </si>
  <si>
    <t>% mix</t>
  </si>
  <si>
    <t>take rate</t>
  </si>
  <si>
    <t>Blended</t>
  </si>
  <si>
    <t>IC &amp; Network</t>
  </si>
  <si>
    <t>Take-rate revs</t>
  </si>
  <si>
    <t>Revenue ex-other</t>
  </si>
  <si>
    <t>Adj take rate</t>
  </si>
  <si>
    <t>Large Accounts</t>
  </si>
  <si>
    <t>Check MSMB</t>
  </si>
  <si>
    <t>Pagbank (ex Fin Services)</t>
  </si>
  <si>
    <t>StoneCo (ex Software)</t>
  </si>
  <si>
    <t>STNE ex Software</t>
  </si>
  <si>
    <t>PAGS ex Financials</t>
  </si>
  <si>
    <t>Enterprise/Key Accounts*</t>
  </si>
  <si>
    <t>Take rate ex Fin Services</t>
  </si>
  <si>
    <t>Acquiring Revs</t>
  </si>
  <si>
    <t>Net take ex Fin Services</t>
  </si>
  <si>
    <t>POS</t>
  </si>
  <si>
    <t>Net profit (non GAAP)</t>
  </si>
  <si>
    <t>Base</t>
  </si>
  <si>
    <t>Net income (after stock exp)</t>
  </si>
  <si>
    <t>YE 24 150 bps higher</t>
  </si>
  <si>
    <t>3Q 23</t>
  </si>
  <si>
    <t>Q3 23</t>
  </si>
  <si>
    <t>Take rates by segment?</t>
  </si>
  <si>
    <t>Financial services</t>
  </si>
  <si>
    <t>When start pushing non collateralised lending?</t>
  </si>
  <si>
    <t xml:space="preserve">Segment growth on TPV </t>
  </si>
  <si>
    <t>&lt;BRL15k per month</t>
  </si>
  <si>
    <t>&gt;BRL2m</t>
  </si>
  <si>
    <t xml:space="preserve">&gt;BRL15k </t>
  </si>
  <si>
    <t>Mix today</t>
  </si>
  <si>
    <t>Non collateralised..?</t>
  </si>
  <si>
    <t>Deposit/customer</t>
  </si>
  <si>
    <t>Deposits/customer up</t>
  </si>
  <si>
    <t>What's driving this, where going?</t>
  </si>
  <si>
    <t>How thinking about the credit cycle?</t>
  </si>
  <si>
    <t>Buy back</t>
  </si>
  <si>
    <t>Equity…58% of retained earnings..</t>
  </si>
  <si>
    <t>Nice growth</t>
  </si>
  <si>
    <t>Mix change?</t>
  </si>
  <si>
    <t>Cash of BRL10.6 bln</t>
  </si>
  <si>
    <t>Online promotional price at start of year for micros</t>
  </si>
  <si>
    <t>Slightly down…in Q4 for seasonality</t>
  </si>
  <si>
    <t>Should stabilise in 2024</t>
  </si>
  <si>
    <t>Won't distribute dividends</t>
  </si>
  <si>
    <t>Slide 5</t>
  </si>
  <si>
    <t>All year.. or stopped?</t>
  </si>
  <si>
    <t>Supporting gross adds 6 months later</t>
  </si>
  <si>
    <t>Competitors</t>
  </si>
  <si>
    <t>Some trying to get market share but generally not irrational</t>
  </si>
  <si>
    <t>Grew the most q/q of all competitors</t>
  </si>
  <si>
    <t>Highest net income in GAAP and non GAAP</t>
  </si>
  <si>
    <t>Loans down q/q</t>
  </si>
  <si>
    <t>Risk appetite?</t>
  </si>
  <si>
    <t>Bunch of Fintechs pushing growth…</t>
  </si>
  <si>
    <t>Focus  on payroll, credit cards backed by CDs, running off WC</t>
  </si>
  <si>
    <t>Continue to focus on secured, difficulties in the market</t>
  </si>
  <si>
    <t>Banks reducing limit on credit cards</t>
  </si>
  <si>
    <t>Coming quarters, focus on secured, payroll, FTSS, credit cards backed by clients</t>
  </si>
  <si>
    <t>As TPV focuses more on SMB</t>
  </si>
  <si>
    <t>Stubbonly high</t>
  </si>
  <si>
    <t>Incumbent banks struggling, maybe getting better</t>
  </si>
  <si>
    <t>Secured healthy</t>
  </si>
  <si>
    <t>In 2024…similar to 2023</t>
  </si>
  <si>
    <t>In H2 24, capex will be similar to D&amp;A plus POS write off</t>
  </si>
  <si>
    <t>Better TPV in 1st weeks</t>
  </si>
  <si>
    <t>Financing expenses</t>
  </si>
  <si>
    <t>Higher than 11% in first weeks</t>
  </si>
  <si>
    <t>Result of good cycle</t>
  </si>
  <si>
    <t>1st half benefits coming through</t>
  </si>
  <si>
    <t>Deposits linked to SELIC</t>
  </si>
  <si>
    <t>PIX P2M relevance</t>
  </si>
  <si>
    <t>PIX volumes and revenues included</t>
  </si>
  <si>
    <t>Similar contribution from others..</t>
  </si>
  <si>
    <t>Why deposits going up?</t>
  </si>
  <si>
    <t>No single thing</t>
  </si>
  <si>
    <t>AAA rating from S&amp;P helps</t>
  </si>
  <si>
    <t>TPV volumes help</t>
  </si>
  <si>
    <t>What's happening?</t>
  </si>
  <si>
    <t>Chargebacks up?</t>
  </si>
  <si>
    <t>Any outlook here?</t>
  </si>
  <si>
    <t>IFRS 9 review…increased provisions…review models, right levels of provisions</t>
  </si>
  <si>
    <t>New lending is secured</t>
  </si>
  <si>
    <t>*</t>
  </si>
  <si>
    <t>how much up front</t>
  </si>
  <si>
    <t>lower than last year, fraud provision</t>
  </si>
  <si>
    <t>Seeing very good volume growth in Q4</t>
  </si>
  <si>
    <t>Expect rates to come down, optimistic for Q4 to be very good</t>
  </si>
  <si>
    <t>Debit volumes vs credit</t>
  </si>
  <si>
    <t>provisions for the run off of working capital - one off here</t>
  </si>
  <si>
    <t>Take rate TPV def</t>
  </si>
  <si>
    <t>What split of % TPV</t>
  </si>
  <si>
    <t xml:space="preserve">Expect growth rates to continue </t>
  </si>
  <si>
    <t>Highest POS activation</t>
  </si>
  <si>
    <t>Testing unsecured for some clients</t>
  </si>
  <si>
    <t>TPV coming through in H2…POS sales strong</t>
  </si>
  <si>
    <t>some promotions?</t>
  </si>
  <si>
    <t>Lots of room to grow in SMBs</t>
  </si>
  <si>
    <t>down to stable</t>
  </si>
  <si>
    <t>2025/6</t>
  </si>
  <si>
    <t>fin services will help</t>
  </si>
  <si>
    <t>LT capital allocation</t>
  </si>
  <si>
    <t>Initiatives in H1</t>
  </si>
  <si>
    <t>promos only a part of it, a fraction</t>
  </si>
  <si>
    <t>tpv - volume impact…</t>
  </si>
  <si>
    <t>more smbs, more mature</t>
  </si>
  <si>
    <t>SMBs to grow more</t>
  </si>
  <si>
    <t>SMBs 5-10x larger than long tail</t>
  </si>
  <si>
    <t>Selling expenses</t>
  </si>
  <si>
    <t>Up q/q 20% y/y</t>
  </si>
  <si>
    <t>chargebacks a small part</t>
  </si>
  <si>
    <t>ecl is the main thing, ifrs 9 update</t>
  </si>
  <si>
    <t>Chargebacks/provision</t>
  </si>
  <si>
    <t>Chargebacks/provs</t>
  </si>
  <si>
    <t>Provisions</t>
  </si>
  <si>
    <t>q/q</t>
  </si>
  <si>
    <t>as % Acquiring revs</t>
  </si>
  <si>
    <t>Q3 23 follow up</t>
  </si>
  <si>
    <t>15-100k</t>
  </si>
  <si>
    <t>Mix/month</t>
  </si>
  <si>
    <t>&lt;15k</t>
  </si>
  <si>
    <t>&gt;2m</t>
  </si>
  <si>
    <t>100-2m (Linx)</t>
  </si>
  <si>
    <t>&lt;500k</t>
  </si>
  <si>
    <t>xx</t>
  </si>
  <si>
    <t>Long-tail?</t>
  </si>
  <si>
    <t>Mix today / future</t>
  </si>
  <si>
    <t>5k</t>
  </si>
  <si>
    <t>Reported MSMB</t>
  </si>
  <si>
    <t>9.5k</t>
  </si>
  <si>
    <t>11k</t>
  </si>
  <si>
    <t>Why up so much?</t>
  </si>
  <si>
    <t>BRL21.6</t>
  </si>
  <si>
    <t>Yield on deposits at 93% CDI</t>
  </si>
  <si>
    <t>checking accounts 72% of CDI</t>
  </si>
  <si>
    <t>Funding mix</t>
  </si>
  <si>
    <t>Profitability of larger merchants?</t>
  </si>
  <si>
    <t>Acquiring Pago?</t>
  </si>
  <si>
    <t xml:space="preserve">3 drivers </t>
  </si>
  <si>
    <t>1/ macro…street had been sceptical: 9% y/y</t>
  </si>
  <si>
    <t>13-14% for Q4</t>
  </si>
  <si>
    <t>net losses going down</t>
  </si>
  <si>
    <t>2/ alex - restoring promotions/online channels/salesforce/additional banking products</t>
  </si>
  <si>
    <t>increase gross adds (micros)</t>
  </si>
  <si>
    <t>lower funding cost helps in Enterprise (where spreads are lower)</t>
  </si>
  <si>
    <t>3/ climate…very hot weather, people going out and spending more</t>
  </si>
  <si>
    <t>November already better than October</t>
  </si>
  <si>
    <t>TPV mix</t>
  </si>
  <si>
    <t>50% SMB</t>
  </si>
  <si>
    <t>30% large ent</t>
  </si>
  <si>
    <t>20% long tail</t>
  </si>
  <si>
    <t>Most of the mix has happened</t>
  </si>
  <si>
    <t>Late 2019 this started when launched hubs</t>
  </si>
  <si>
    <t>may stabilise in H2 24</t>
  </si>
  <si>
    <t>mix will have happened</t>
  </si>
  <si>
    <t>Revs growth up in Q3 ex IC</t>
  </si>
  <si>
    <t>assumes similar competitive landscape</t>
  </si>
  <si>
    <t>PIX QR</t>
  </si>
  <si>
    <t>Where charge include within TPV</t>
  </si>
  <si>
    <t>similar or slightly lower</t>
  </si>
  <si>
    <t>net take rate is the same</t>
  </si>
  <si>
    <t>PIX P2P vs P2B</t>
  </si>
  <si>
    <t>3 years of existence…nanos using PIX P2P</t>
  </si>
  <si>
    <t>debit/credit</t>
  </si>
  <si>
    <t>pix p2p</t>
  </si>
  <si>
    <t>stable for the past months</t>
  </si>
  <si>
    <t>BNPL</t>
  </si>
  <si>
    <t>Credit cards still growing</t>
  </si>
  <si>
    <t>2/ people don't know if BNPL is more expensive</t>
  </si>
  <si>
    <t>1/ not eligible for cc</t>
  </si>
  <si>
    <t>CCs</t>
  </si>
  <si>
    <t>risk for merchant is lower (Issuers)</t>
  </si>
  <si>
    <t>risk for merchant is higher (customer)</t>
  </si>
  <si>
    <t>Unsecured lending</t>
  </si>
  <si>
    <t>no rush</t>
  </si>
  <si>
    <t>Payroll up 50% y/y</t>
  </si>
  <si>
    <t>longer duration</t>
  </si>
  <si>
    <t>Working capital to zero…in H1 25</t>
  </si>
  <si>
    <t>provisions will match book loan and then write down</t>
  </si>
  <si>
    <t>Report net number</t>
  </si>
  <si>
    <t>Credit cards - unsecured…no not heading to zero, should be similar</t>
  </si>
  <si>
    <t>GTM</t>
  </si>
  <si>
    <t>Profitability</t>
  </si>
  <si>
    <t>SMB volumes</t>
  </si>
  <si>
    <t>Fin expenses, deposits continue to grow</t>
  </si>
  <si>
    <t>BBB helped, plus new banking features</t>
  </si>
  <si>
    <t>1/</t>
  </si>
  <si>
    <t xml:space="preserve">2/ </t>
  </si>
  <si>
    <t>Provisions/chargebacks</t>
  </si>
  <si>
    <t>one off of BRL20m</t>
  </si>
  <si>
    <t>Personnel exps</t>
  </si>
  <si>
    <t>Up, due to higher salesforce</t>
  </si>
  <si>
    <t>Q4 23 net income</t>
  </si>
  <si>
    <t>higher personnel exps</t>
  </si>
  <si>
    <t>depr/amort catch up</t>
  </si>
  <si>
    <t>higher tax rate - 22-23%</t>
  </si>
  <si>
    <t>TPV high single/low double</t>
  </si>
  <si>
    <t>take rate slightly lower</t>
  </si>
  <si>
    <t>1900 non gaap 2024</t>
  </si>
  <si>
    <t>470-480</t>
  </si>
  <si>
    <t>assume some stronger competition</t>
  </si>
  <si>
    <t>Payroll / FGTS</t>
  </si>
  <si>
    <t>Working Capital / other</t>
  </si>
  <si>
    <t>Gross loan book</t>
  </si>
  <si>
    <t>Secured</t>
  </si>
  <si>
    <t>Credit cards - secured</t>
  </si>
  <si>
    <t>Credit cards - unsecured</t>
  </si>
  <si>
    <t>Working Cap</t>
  </si>
  <si>
    <t>NPL 90 + Group</t>
  </si>
  <si>
    <t>NPL 90 + secured</t>
  </si>
  <si>
    <t>NPL 90 + unsecured (implied)</t>
  </si>
  <si>
    <t>Assumed yield (annualised)</t>
  </si>
  <si>
    <t>Secured book revenue earning</t>
  </si>
  <si>
    <t>Unsecured book earning revenue</t>
  </si>
  <si>
    <t>Total book earning revenue</t>
  </si>
  <si>
    <t>Loan book split</t>
  </si>
  <si>
    <t>Secured revenue</t>
  </si>
  <si>
    <t>Unsecured revenue</t>
  </si>
  <si>
    <t>(Assumption: close to Payroll of ~20%, lower due to secured CC)</t>
  </si>
  <si>
    <t xml:space="preserve">NPL 90+ </t>
  </si>
  <si>
    <t>Yield (annualised)</t>
  </si>
  <si>
    <t>Revenue earning loan book  (less NPL 90+)</t>
  </si>
  <si>
    <t>PAGSEGURO DIGITAL</t>
  </si>
  <si>
    <t>EBT | GAAP</t>
  </si>
  <si>
    <t>EBT | non-GAAP</t>
  </si>
  <si>
    <t>1Q26</t>
  </si>
  <si>
    <t>2Q26</t>
  </si>
  <si>
    <t>3Q26</t>
  </si>
  <si>
    <t>4Q26</t>
  </si>
  <si>
    <t>Cost of debt (post tax)</t>
  </si>
  <si>
    <t>Cost of Debt (post tax)</t>
  </si>
  <si>
    <t>Revolve credit</t>
  </si>
  <si>
    <t>Competition</t>
  </si>
  <si>
    <t>Growth in LT, smbs and large accounts</t>
  </si>
  <si>
    <t>own client base</t>
  </si>
  <si>
    <t>Pre Q3 23</t>
  </si>
  <si>
    <t>secured initially - fgts</t>
  </si>
  <si>
    <t>unsecured, wc, medium business, large accounts</t>
  </si>
  <si>
    <t>baby steps</t>
  </si>
  <si>
    <t>maybe H2</t>
  </si>
  <si>
    <t>wc loans</t>
  </si>
  <si>
    <t>cc unsecured</t>
  </si>
  <si>
    <t>Macro</t>
  </si>
  <si>
    <t>credit underwriting, NII</t>
  </si>
  <si>
    <t>CoF - gross profit</t>
  </si>
  <si>
    <t>focus on deposits</t>
  </si>
  <si>
    <t>Note 7/8</t>
  </si>
  <si>
    <t>Pop levered…but NPLs iinflection point</t>
  </si>
  <si>
    <t xml:space="preserve">Credit confidence from major </t>
  </si>
  <si>
    <t>3 types</t>
  </si>
  <si>
    <t>employees break down</t>
  </si>
  <si>
    <t>100's in underwriting</t>
  </si>
  <si>
    <t>payroll</t>
  </si>
  <si>
    <t>digital</t>
  </si>
  <si>
    <t>3rd party</t>
  </si>
  <si>
    <t>investment advisors</t>
  </si>
  <si>
    <t>smbs</t>
  </si>
  <si>
    <t>don't have primary relationship</t>
  </si>
  <si>
    <t>3 initiatives</t>
  </si>
  <si>
    <t>direct deposits…take proceeds from multiple acquirers into ac</t>
  </si>
  <si>
    <t>salaries of employees…straight into pagbank or other fi. Up to 2,000 employees</t>
  </si>
  <si>
    <t>business account for merchant with &gt;1 business, consolidate into a single account</t>
  </si>
  <si>
    <t>FI - grow from Q2 2024 - apple/apples</t>
  </si>
  <si>
    <t>sequential</t>
  </si>
  <si>
    <t>Q1 tends to be weak for tpv</t>
  </si>
  <si>
    <t>&gt; in Q4 vs Q3</t>
  </si>
  <si>
    <t>1/ better industry grow</t>
  </si>
  <si>
    <t>2/ q4 22 wc cup</t>
  </si>
  <si>
    <t>3/ op momentum</t>
  </si>
  <si>
    <t>Q3 revs flat</t>
  </si>
  <si>
    <t>back to growth</t>
  </si>
  <si>
    <t>take rates fall, up / market</t>
  </si>
  <si>
    <t>deposits up</t>
  </si>
  <si>
    <t>as % revs down</t>
  </si>
  <si>
    <t>Fy 24</t>
  </si>
  <si>
    <t>1.9 billion in non gaap on bbg</t>
  </si>
  <si>
    <t>2.0 latest from sell side, with limited competition change</t>
  </si>
  <si>
    <t>better xmas than presented in the articles</t>
  </si>
  <si>
    <t>decent black Friday / holiday season</t>
  </si>
  <si>
    <t>Mix</t>
  </si>
  <si>
    <t>LT correlates with employment</t>
  </si>
  <si>
    <t>2024 - last year will change materially….stable in 2025</t>
  </si>
  <si>
    <t>large accounts tied to rates directly</t>
  </si>
  <si>
    <t xml:space="preserve">still far from fair </t>
  </si>
  <si>
    <t>smb</t>
  </si>
  <si>
    <t>50% of vols</t>
  </si>
  <si>
    <t>10 to 0.5m / month</t>
  </si>
  <si>
    <t>large</t>
  </si>
  <si>
    <t>&lt;0.5m</t>
  </si>
  <si>
    <t>long tails</t>
  </si>
  <si>
    <t>expect growth in all segments</t>
  </si>
  <si>
    <t>take rates down a little in 2024 vs 25</t>
  </si>
  <si>
    <t>Interchange / banking fees / mob top ups</t>
  </si>
  <si>
    <t>implied yield</t>
  </si>
  <si>
    <t>Float income (intra co)</t>
  </si>
  <si>
    <t>Interest on credit</t>
  </si>
  <si>
    <t xml:space="preserve">Float </t>
  </si>
  <si>
    <t>Implied vs CDI</t>
  </si>
  <si>
    <t xml:space="preserve">Secured </t>
  </si>
  <si>
    <t>secured income</t>
  </si>
  <si>
    <t>Rate on secured</t>
  </si>
  <si>
    <t>Rate on unsecured</t>
  </si>
  <si>
    <t>unsecured income</t>
  </si>
  <si>
    <t>Gross loan book, R$m</t>
  </si>
  <si>
    <t>Net loan book</t>
  </si>
  <si>
    <t>Gross Secured</t>
  </si>
  <si>
    <t>Gross unsecured</t>
  </si>
  <si>
    <t>expansion</t>
  </si>
  <si>
    <t>CREDIT</t>
  </si>
  <si>
    <t>Revenue (old)</t>
  </si>
  <si>
    <t>Yield</t>
  </si>
  <si>
    <t>from VA, 29 Jan '24</t>
  </si>
  <si>
    <t>Interchange / fees / other</t>
  </si>
  <si>
    <t>Credit income</t>
  </si>
  <si>
    <t>discount</t>
  </si>
  <si>
    <t>PE - Factset, next 2 years</t>
  </si>
  <si>
    <t>PAGS 2-year average</t>
  </si>
  <si>
    <t>StoneCo 2-year average</t>
  </si>
  <si>
    <t>Split of deposits</t>
  </si>
  <si>
    <t>Savings (CDs etc)</t>
  </si>
  <si>
    <t>rate</t>
  </si>
  <si>
    <t>float income</t>
  </si>
  <si>
    <t>Blended funding cost</t>
  </si>
  <si>
    <t xml:space="preserve"> - of which checking</t>
  </si>
  <si>
    <t xml:space="preserve"> - of which saving</t>
  </si>
  <si>
    <t>Active customers</t>
  </si>
  <si>
    <t>Deposits per customer</t>
  </si>
  <si>
    <t>BANKING / DEPOSITS</t>
  </si>
  <si>
    <t>Pagbank subs</t>
  </si>
  <si>
    <t>as % total deposits</t>
  </si>
  <si>
    <t>Reumeration rate as % CDI</t>
  </si>
  <si>
    <t>Net yield</t>
  </si>
  <si>
    <t>Float revenie</t>
  </si>
  <si>
    <t>% yield on checking (as % CDI) per Q</t>
  </si>
  <si>
    <t>Banking</t>
  </si>
  <si>
    <t>PAGS float income</t>
  </si>
  <si>
    <t>PAGS interconnet/fees/other</t>
  </si>
  <si>
    <t>StoneCo banking</t>
  </si>
  <si>
    <t>StoneCo MSMB</t>
  </si>
  <si>
    <t>Adyen</t>
  </si>
  <si>
    <t>Pageguro ex-Fin Services</t>
  </si>
  <si>
    <t>Q4 24</t>
  </si>
  <si>
    <t>Treasury</t>
  </si>
  <si>
    <t xml:space="preserve">Shares </t>
  </si>
  <si>
    <t>Shares ex-Treasury (outstanding)</t>
  </si>
  <si>
    <t>Price, $</t>
  </si>
  <si>
    <t>Value of purchase, $ m</t>
  </si>
  <si>
    <t>Value of purchase, BRL m</t>
  </si>
  <si>
    <t>4Q 23</t>
  </si>
  <si>
    <t xml:space="preserve"> % diff</t>
  </si>
  <si>
    <t>Q4 call</t>
  </si>
  <si>
    <t>Higher personnel expenses…sales hires</t>
  </si>
  <si>
    <t>Expenses above inflation</t>
  </si>
  <si>
    <t>Infra to support vols</t>
  </si>
  <si>
    <t>Q4 23</t>
  </si>
  <si>
    <t>Should go up with more banking revs BUT will be same as 2023 due to tax planning</t>
  </si>
  <si>
    <t>Gross Profit margin</t>
  </si>
  <si>
    <t>Guide</t>
  </si>
  <si>
    <t>441-457</t>
  </si>
  <si>
    <t>2.05-2.15</t>
  </si>
  <si>
    <t>Net income (non GAAP), BRL billion</t>
  </si>
  <si>
    <t>Guide vs</t>
  </si>
  <si>
    <t>Guidance (Feb 24)</t>
  </si>
  <si>
    <t>Q4 23 est</t>
  </si>
  <si>
    <t>Chargebacks &amp; provisions</t>
  </si>
  <si>
    <t>Follow up</t>
  </si>
  <si>
    <t>Phasing of TPV</t>
  </si>
  <si>
    <t>What said about Q1 so far?</t>
  </si>
  <si>
    <t>Chargeback / provisions</t>
  </si>
  <si>
    <t>y/y change in take-rate</t>
  </si>
  <si>
    <t>as % Total revs</t>
  </si>
  <si>
    <t>Why are interchange fees steadily falling over time (as % revs)</t>
  </si>
  <si>
    <t>set to continue?</t>
  </si>
  <si>
    <t>POS write-downs</t>
  </si>
  <si>
    <t>Check POS write downs</t>
  </si>
  <si>
    <t>Costs less D&amp;A, transactions, fin expenses</t>
  </si>
  <si>
    <t>Gross profit margin</t>
  </si>
  <si>
    <t>Gross take</t>
  </si>
  <si>
    <t>Interconnect</t>
  </si>
  <si>
    <t>Inteconnect revs</t>
  </si>
  <si>
    <t>Financial exp</t>
  </si>
  <si>
    <t>SELIC</t>
  </si>
  <si>
    <t>Q1 similar growth to Q4</t>
  </si>
  <si>
    <t>effective tax rate for FY</t>
  </si>
  <si>
    <t>PIX included within</t>
  </si>
  <si>
    <t>mid single digit contribution</t>
  </si>
  <si>
    <t>growth slightly quicker</t>
  </si>
  <si>
    <t>net PIX take rate high</t>
  </si>
  <si>
    <t>debit 1.99</t>
  </si>
  <si>
    <t>50-70 bps</t>
  </si>
  <si>
    <t>a few cents to CB</t>
  </si>
  <si>
    <t>A kind of consollidation</t>
  </si>
  <si>
    <t>spreads on repayment down</t>
  </si>
  <si>
    <t>settle instantly</t>
  </si>
  <si>
    <t>high share of prepayment…80% of credit card TPV</t>
  </si>
  <si>
    <t>3 mins KYC, risks negligible</t>
  </si>
  <si>
    <t>Sales &amp; marketing</t>
  </si>
  <si>
    <t>Higher D&amp;A</t>
  </si>
  <si>
    <t>1.5 inc POS write down - non GAAP, GAP is 1.6</t>
  </si>
  <si>
    <t>1.9-2.0 billion</t>
  </si>
  <si>
    <t>capex runninhg ar brl2.0 bn</t>
  </si>
  <si>
    <t>(inc POS)</t>
  </si>
  <si>
    <t>about this level going forward</t>
  </si>
  <si>
    <t>POS &lt;200m</t>
  </si>
  <si>
    <t>S&amp;M</t>
  </si>
  <si>
    <t>Online…activations</t>
  </si>
  <si>
    <t>Feet on the ground…influencers etc</t>
  </si>
  <si>
    <t>Margins have been restored somewhat</t>
  </si>
  <si>
    <t>normalisation</t>
  </si>
  <si>
    <t>Buy backs?</t>
  </si>
  <si>
    <t>increasing exposure to large enterprise</t>
  </si>
  <si>
    <t>pre-payment linked to CDI</t>
  </si>
  <si>
    <t>Linked to CDI</t>
  </si>
  <si>
    <t>Take rates up in 2025</t>
  </si>
  <si>
    <t>int rates low</t>
  </si>
  <si>
    <t>mix effect</t>
  </si>
  <si>
    <t>grow above inflation</t>
  </si>
  <si>
    <t>unsecured trials, cc and wc, overdraft</t>
  </si>
  <si>
    <t>bradesco and NPL. Ex insurance, break-even only</t>
  </si>
  <si>
    <t>first positive signs of credit</t>
  </si>
  <si>
    <t>4% lending rate…? StoneCo , PAGS used to charge</t>
  </si>
  <si>
    <t>Instant settlement</t>
  </si>
  <si>
    <t>risk appetite…chargebacks higher</t>
  </si>
  <si>
    <t>IT stack</t>
  </si>
  <si>
    <t>Buy backs</t>
  </si>
  <si>
    <t>Shareholder structure on website, every month</t>
  </si>
  <si>
    <t>in spreadsheet</t>
  </si>
  <si>
    <t>in Q1, some come back to free float</t>
  </si>
  <si>
    <t>continue to see opportunities</t>
  </si>
  <si>
    <t>81% executed</t>
  </si>
  <si>
    <t>fully in 2024….Board now discussing opening of new program</t>
  </si>
  <si>
    <t>driven by funding needs…rather than share price</t>
  </si>
  <si>
    <t>when up 21% in TPV…funding is significant</t>
  </si>
  <si>
    <t>Fiserv</t>
  </si>
  <si>
    <t>own software</t>
  </si>
  <si>
    <t>Caixa distribution</t>
  </si>
  <si>
    <t>OpEx (ex Fin expenses, D&amp;A)</t>
  </si>
  <si>
    <t>D&amp;A (inc POS write off)</t>
  </si>
  <si>
    <t>Total OpEx</t>
  </si>
  <si>
    <t>New, BRL m</t>
  </si>
  <si>
    <t>&gt;38.4%</t>
  </si>
  <si>
    <t>Net income non GAAP EPS</t>
  </si>
  <si>
    <t>Mix stable</t>
  </si>
  <si>
    <t>Upside to revs from stable mix ('25/'24)</t>
  </si>
  <si>
    <t>2024E</t>
  </si>
  <si>
    <t>2025E</t>
  </si>
  <si>
    <t>2026E</t>
  </si>
  <si>
    <t>PE non GAAP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</si>
</sst>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0.0%"/>
    <numFmt numFmtId="165" formatCode="0.0"/>
    <numFmt numFmtId="166" formatCode="#,##0.0&quot;  &quot;;\(#,##0.0\)&quot; &quot;;#,##0.0&quot;  &quot;;@&quot;  &quot;"/>
    <numFmt numFmtId="167" formatCode="_-&quot;R$&quot;\ * #,##0.00_-;\-&quot;R$&quot;\ * #,##0.00_-;_-&quot;R$&quot;\ * &quot;-&quot;??_-;_-@_-"/>
    <numFmt numFmtId="168" formatCode="#,##0&quot;  &quot;;\(#,##0\)&quot; &quot;;#,##0&quot;  &quot;;@&quot;  &quot;"/>
    <numFmt numFmtId="169" formatCode="[$-416]mmm\-yy;@"/>
    <numFmt numFmtId="170" formatCode="_-* #,##0_-;\-* #,##0_-;_-* &quot;-&quot;??_-;_-@_-"/>
    <numFmt numFmtId="171" formatCode="0.0\x"/>
    <numFmt numFmtId="172" formatCode="#,##0.0"/>
    <numFmt numFmtId="173" formatCode="#,##0.00&quot;  &quot;;\(#,##0.00\)&quot; &quot;;#,##0.00&quot;  &quot;;@&quot;  &quot;"/>
    <numFmt numFmtId="174" formatCode="[$-409]dd\-mmm\-yyyy;@"/>
    <numFmt numFmtId="175" formatCode="_-[$$-409]* #,##0_ ;_-[$$-409]* \-#,##0\ ;_-[$$-409]* &quot;-&quot;??_ ;_-@_ "/>
    <numFmt numFmtId="176" formatCode="#,##0_);\(#,##0\);#,##0_);@_)"/>
    <numFmt numFmtId="177" formatCode="_(* #,##0.00_);_(* \(#,##0.00\);_(* &quot;-&quot;??_);_(@_)"/>
    <numFmt numFmtId="178" formatCode="_(* #,##0_);_(* \(#,##0\);_(* &quot;-&quot;??_);_(@_)"/>
    <numFmt numFmtId="179" formatCode="&quot;$&quot;#,##0_);[Red]\(&quot;$&quot;#,##0\)"/>
    <numFmt numFmtId="180" formatCode="0\ \p\p"/>
  </numFmts>
  <fonts count="74" x14ac:knownFonts="1">
    <font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rgb="FFA7DCDA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theme="1"/>
      <name val="Trebuchet MS"/>
      <family val="2"/>
    </font>
    <font>
      <sz val="11"/>
      <color theme="1"/>
      <name val="Trebuchet MS"/>
      <family val="2"/>
    </font>
    <font>
      <b/>
      <u/>
      <sz val="11"/>
      <color theme="1"/>
      <name val="Trebuchet MS"/>
      <family val="2"/>
    </font>
    <font>
      <b/>
      <sz val="10"/>
      <color theme="1"/>
      <name val="Trebuchet MS"/>
      <family val="2"/>
    </font>
    <font>
      <u/>
      <sz val="10"/>
      <color theme="1"/>
      <name val="Trebuchet MS"/>
      <family val="2"/>
    </font>
    <font>
      <sz val="10"/>
      <color theme="1"/>
      <name val="Trebuchet MS"/>
      <family val="2"/>
    </font>
    <font>
      <b/>
      <sz val="12"/>
      <color theme="1"/>
      <name val="Trebuchet MS"/>
      <family val="2"/>
    </font>
    <font>
      <i/>
      <sz val="11"/>
      <color theme="1"/>
      <name val="Trebuchet MS"/>
      <family val="2"/>
    </font>
    <font>
      <sz val="10"/>
      <name val="Trebuchet MS"/>
      <family val="2"/>
    </font>
    <font>
      <b/>
      <sz val="10"/>
      <name val="Trebuchet MS"/>
      <family val="2"/>
    </font>
    <font>
      <b/>
      <i/>
      <sz val="10"/>
      <color theme="1"/>
      <name val="Trebuchet MS"/>
      <family val="2"/>
    </font>
    <font>
      <i/>
      <sz val="10"/>
      <color theme="1"/>
      <name val="Trebuchet MS"/>
      <family val="2"/>
    </font>
    <font>
      <b/>
      <i/>
      <u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i/>
      <sz val="10"/>
      <name val="Calibri"/>
      <family val="2"/>
    </font>
    <font>
      <b/>
      <i/>
      <sz val="9"/>
      <name val="Calibri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rgb="FF000000"/>
      <name val="Trebuchet MS"/>
      <family val="2"/>
    </font>
    <font>
      <b/>
      <sz val="10"/>
      <color theme="1"/>
      <name val="Roboto"/>
    </font>
    <font>
      <b/>
      <sz val="9"/>
      <color theme="1"/>
      <name val="Roboto"/>
    </font>
    <font>
      <sz val="9"/>
      <color theme="1"/>
      <name val="Roboto"/>
    </font>
    <font>
      <sz val="10"/>
      <color theme="1"/>
      <name val="Roboto"/>
    </font>
    <font>
      <u/>
      <sz val="10"/>
      <color theme="1"/>
      <name val="Roboto"/>
    </font>
    <font>
      <b/>
      <u/>
      <sz val="10"/>
      <color theme="1"/>
      <name val="Roboto"/>
    </font>
    <font>
      <sz val="12"/>
      <color theme="1"/>
      <name val="Roboto"/>
    </font>
    <font>
      <b/>
      <sz val="12"/>
      <color theme="1"/>
      <name val="Roboto"/>
    </font>
    <font>
      <b/>
      <i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333333"/>
      <name val="Helvetica Neue"/>
      <charset val="1"/>
    </font>
    <font>
      <b/>
      <sz val="11"/>
      <color theme="1"/>
      <name val="Roboto"/>
    </font>
    <font>
      <sz val="11"/>
      <color theme="1"/>
      <name val="Roboto"/>
    </font>
    <font>
      <sz val="11"/>
      <color rgb="FF0070C0"/>
      <name val="Calibri"/>
      <family val="2"/>
      <scheme val="minor"/>
    </font>
    <font>
      <u/>
      <sz val="11"/>
      <color theme="1"/>
      <name val="Roboto"/>
    </font>
    <font>
      <b/>
      <u/>
      <sz val="11"/>
      <color theme="1"/>
      <name val="Roboto"/>
    </font>
    <font>
      <sz val="11"/>
      <color theme="9" tint="-0.249977111117893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A7DCD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0DB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7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16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8" fillId="0" borderId="0"/>
    <xf numFmtId="0" fontId="41" fillId="0" borderId="0"/>
    <xf numFmtId="177" fontId="41" fillId="0" borderId="0" applyFont="0" applyFill="0" applyBorder="0" applyAlignment="0" applyProtection="0"/>
  </cellStyleXfs>
  <cellXfs count="681">
    <xf numFmtId="0" fontId="0" fillId="0" borderId="0" xfId="0"/>
    <xf numFmtId="0" fontId="0" fillId="0" borderId="1" xfId="0" applyBorder="1"/>
    <xf numFmtId="9" fontId="0" fillId="0" borderId="0" xfId="0" applyNumberFormat="1"/>
    <xf numFmtId="9" fontId="0" fillId="2" borderId="0" xfId="0" applyNumberFormat="1" applyFill="1"/>
    <xf numFmtId="1" fontId="0" fillId="0" borderId="0" xfId="0" applyNumberFormat="1"/>
    <xf numFmtId="9" fontId="1" fillId="0" borderId="0" xfId="0" applyNumberFormat="1" applyFont="1"/>
    <xf numFmtId="1" fontId="0" fillId="0" borderId="1" xfId="0" applyNumberFormat="1" applyBorder="1"/>
    <xf numFmtId="3" fontId="0" fillId="0" borderId="0" xfId="0" applyNumberFormat="1"/>
    <xf numFmtId="0" fontId="0" fillId="0" borderId="0" xfId="0" applyAlignment="1">
      <alignment horizontal="right"/>
    </xf>
    <xf numFmtId="0" fontId="2" fillId="0" borderId="0" xfId="0" applyFont="1"/>
    <xf numFmtId="0" fontId="0" fillId="0" borderId="0" xfId="0" quotePrefix="1"/>
    <xf numFmtId="10" fontId="0" fillId="0" borderId="0" xfId="0" applyNumberFormat="1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0" fontId="4" fillId="0" borderId="0" xfId="0" applyFont="1"/>
    <xf numFmtId="9" fontId="4" fillId="0" borderId="0" xfId="0" applyNumberFormat="1" applyFont="1"/>
    <xf numFmtId="0" fontId="5" fillId="0" borderId="0" xfId="0" applyFont="1"/>
    <xf numFmtId="0" fontId="3" fillId="0" borderId="0" xfId="0" applyFont="1"/>
    <xf numFmtId="0" fontId="3" fillId="0" borderId="1" xfId="0" applyFont="1" applyBorder="1" applyAlignment="1">
      <alignment horizontal="right"/>
    </xf>
    <xf numFmtId="0" fontId="3" fillId="0" borderId="1" xfId="0" applyFont="1" applyBorder="1"/>
    <xf numFmtId="17" fontId="3" fillId="0" borderId="1" xfId="0" applyNumberFormat="1" applyFont="1" applyBorder="1"/>
    <xf numFmtId="0" fontId="0" fillId="0" borderId="1" xfId="0" quotePrefix="1" applyBorder="1"/>
    <xf numFmtId="0" fontId="6" fillId="0" borderId="0" xfId="0" applyFont="1"/>
    <xf numFmtId="0" fontId="3" fillId="0" borderId="4" xfId="0" applyFont="1" applyBorder="1"/>
    <xf numFmtId="0" fontId="3" fillId="0" borderId="0" xfId="0" quotePrefix="1" applyFont="1"/>
    <xf numFmtId="165" fontId="3" fillId="0" borderId="4" xfId="0" applyNumberFormat="1" applyFont="1" applyBorder="1"/>
    <xf numFmtId="165" fontId="3" fillId="0" borderId="0" xfId="0" applyNumberFormat="1" applyFont="1"/>
    <xf numFmtId="2" fontId="0" fillId="2" borderId="0" xfId="0" applyNumberFormat="1" applyFill="1"/>
    <xf numFmtId="0" fontId="7" fillId="0" borderId="0" xfId="1"/>
    <xf numFmtId="9" fontId="0" fillId="0" borderId="1" xfId="0" applyNumberFormat="1" applyBorder="1"/>
    <xf numFmtId="0" fontId="0" fillId="2" borderId="0" xfId="0" applyFill="1"/>
    <xf numFmtId="165" fontId="0" fillId="2" borderId="0" xfId="0" applyNumberFormat="1" applyFill="1"/>
    <xf numFmtId="0" fontId="10" fillId="0" borderId="0" xfId="0" applyFont="1"/>
    <xf numFmtId="0" fontId="10" fillId="0" borderId="1" xfId="0" applyFont="1" applyBorder="1"/>
    <xf numFmtId="9" fontId="10" fillId="0" borderId="0" xfId="0" applyNumberFormat="1" applyFont="1"/>
    <xf numFmtId="165" fontId="10" fillId="0" borderId="0" xfId="0" applyNumberFormat="1" applyFont="1"/>
    <xf numFmtId="0" fontId="2" fillId="0" borderId="0" xfId="0" quotePrefix="1" applyFont="1"/>
    <xf numFmtId="0" fontId="3" fillId="0" borderId="0" xfId="0" applyFont="1" applyAlignment="1">
      <alignment horizontal="left"/>
    </xf>
    <xf numFmtId="17" fontId="3" fillId="0" borderId="0" xfId="0" applyNumberFormat="1" applyFont="1"/>
    <xf numFmtId="164" fontId="10" fillId="0" borderId="0" xfId="0" applyNumberFormat="1" applyFont="1"/>
    <xf numFmtId="9" fontId="3" fillId="0" borderId="0" xfId="0" applyNumberFormat="1" applyFont="1"/>
    <xf numFmtId="164" fontId="1" fillId="0" borderId="0" xfId="0" applyNumberFormat="1" applyFont="1"/>
    <xf numFmtId="164" fontId="0" fillId="0" borderId="1" xfId="0" applyNumberFormat="1" applyBorder="1"/>
    <xf numFmtId="1" fontId="0" fillId="2" borderId="0" xfId="0" applyNumberFormat="1" applyFill="1"/>
    <xf numFmtId="1" fontId="0" fillId="2" borderId="1" xfId="0" applyNumberFormat="1" applyFill="1" applyBorder="1"/>
    <xf numFmtId="164" fontId="0" fillId="2" borderId="0" xfId="0" applyNumberFormat="1" applyFill="1"/>
    <xf numFmtId="165" fontId="1" fillId="0" borderId="0" xfId="0" applyNumberFormat="1" applyFont="1"/>
    <xf numFmtId="0" fontId="1" fillId="0" borderId="0" xfId="0" applyFont="1"/>
    <xf numFmtId="0" fontId="0" fillId="2" borderId="1" xfId="0" applyFill="1" applyBorder="1"/>
    <xf numFmtId="1" fontId="1" fillId="0" borderId="1" xfId="0" applyNumberFormat="1" applyFont="1" applyBorder="1"/>
    <xf numFmtId="1" fontId="1" fillId="0" borderId="0" xfId="0" applyNumberFormat="1" applyFont="1"/>
    <xf numFmtId="2" fontId="0" fillId="0" borderId="1" xfId="0" applyNumberFormat="1" applyBorder="1"/>
    <xf numFmtId="9" fontId="13" fillId="2" borderId="0" xfId="0" applyNumberFormat="1" applyFont="1" applyFill="1"/>
    <xf numFmtId="164" fontId="13" fillId="0" borderId="0" xfId="0" applyNumberFormat="1" applyFont="1"/>
    <xf numFmtId="3" fontId="0" fillId="2" borderId="0" xfId="0" applyNumberFormat="1" applyFill="1"/>
    <xf numFmtId="164" fontId="10" fillId="0" borderId="0" xfId="2" applyNumberFormat="1" applyFont="1" applyFill="1" applyBorder="1" applyAlignment="1">
      <alignment horizontal="right" vertical="center"/>
    </xf>
    <xf numFmtId="164" fontId="17" fillId="0" borderId="0" xfId="2" applyNumberFormat="1" applyFont="1" applyFill="1" applyBorder="1" applyAlignment="1">
      <alignment horizontal="right" vertical="center"/>
    </xf>
    <xf numFmtId="164" fontId="14" fillId="0" borderId="5" xfId="2" applyNumberFormat="1" applyFont="1" applyFill="1" applyBorder="1" applyAlignment="1">
      <alignment horizontal="right" vertical="center"/>
    </xf>
    <xf numFmtId="164" fontId="19" fillId="0" borderId="0" xfId="2" applyNumberFormat="1" applyFont="1" applyFill="1" applyBorder="1" applyAlignment="1">
      <alignment horizontal="right" vertical="center"/>
    </xf>
    <xf numFmtId="164" fontId="1" fillId="0" borderId="0" xfId="2" applyNumberFormat="1" applyFont="1" applyFill="1" applyBorder="1" applyAlignment="1">
      <alignment horizontal="right" vertical="center"/>
    </xf>
    <xf numFmtId="164" fontId="13" fillId="0" borderId="0" xfId="2" applyNumberFormat="1" applyFont="1" applyFill="1" applyBorder="1" applyAlignment="1">
      <alignment horizontal="right" vertical="center"/>
    </xf>
    <xf numFmtId="166" fontId="13" fillId="0" borderId="0" xfId="3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left" vertical="center" indent="1"/>
    </xf>
    <xf numFmtId="166" fontId="1" fillId="0" borderId="0" xfId="3" applyNumberFormat="1" applyFont="1" applyAlignment="1">
      <alignment horizontal="right" vertical="center"/>
    </xf>
    <xf numFmtId="166" fontId="15" fillId="0" borderId="0" xfId="3" applyNumberFormat="1" applyFont="1" applyAlignment="1">
      <alignment horizontal="right" vertical="center"/>
    </xf>
    <xf numFmtId="0" fontId="0" fillId="0" borderId="0" xfId="0" quotePrefix="1" applyAlignment="1">
      <alignment vertical="center"/>
    </xf>
    <xf numFmtId="164" fontId="13" fillId="0" borderId="0" xfId="3" applyNumberFormat="1" applyFont="1" applyAlignment="1">
      <alignment horizontal="right" vertical="center"/>
    </xf>
    <xf numFmtId="164" fontId="15" fillId="0" borderId="0" xfId="3" applyNumberFormat="1" applyFont="1" applyAlignment="1">
      <alignment horizontal="right" vertical="center"/>
    </xf>
    <xf numFmtId="0" fontId="0" fillId="0" borderId="0" xfId="0" applyAlignment="1">
      <alignment vertical="center"/>
    </xf>
    <xf numFmtId="168" fontId="13" fillId="0" borderId="0" xfId="3" applyNumberFormat="1" applyFont="1" applyAlignment="1">
      <alignment horizontal="right" vertical="center"/>
    </xf>
    <xf numFmtId="168" fontId="15" fillId="0" borderId="0" xfId="3" applyNumberFormat="1" applyFont="1" applyAlignment="1">
      <alignment horizontal="right" vertical="center"/>
    </xf>
    <xf numFmtId="168" fontId="13" fillId="0" borderId="1" xfId="3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169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horizontal="left" vertical="center" indent="1"/>
    </xf>
    <xf numFmtId="166" fontId="10" fillId="0" borderId="0" xfId="3" applyNumberFormat="1" applyFont="1" applyAlignment="1">
      <alignment horizontal="right" vertical="center"/>
    </xf>
    <xf numFmtId="0" fontId="17" fillId="0" borderId="0" xfId="0" applyFont="1" applyAlignment="1">
      <alignment horizontal="left" vertical="center" indent="1"/>
    </xf>
    <xf numFmtId="166" fontId="17" fillId="0" borderId="0" xfId="3" applyNumberFormat="1" applyFont="1" applyAlignment="1">
      <alignment horizontal="right" vertical="center"/>
    </xf>
    <xf numFmtId="0" fontId="14" fillId="0" borderId="5" xfId="0" applyFont="1" applyBorder="1" applyAlignment="1">
      <alignment horizontal="left" vertical="center" indent="1"/>
    </xf>
    <xf numFmtId="166" fontId="14" fillId="0" borderId="5" xfId="3" applyNumberFormat="1" applyFont="1" applyBorder="1" applyAlignment="1">
      <alignment horizontal="right" vertical="center"/>
    </xf>
    <xf numFmtId="0" fontId="19" fillId="0" borderId="0" xfId="0" applyFont="1" applyAlignment="1">
      <alignment horizontal="left" vertical="center" indent="1"/>
    </xf>
    <xf numFmtId="166" fontId="19" fillId="0" borderId="0" xfId="3" applyNumberFormat="1" applyFont="1" applyAlignment="1">
      <alignment horizontal="right" vertical="center"/>
    </xf>
    <xf numFmtId="0" fontId="1" fillId="0" borderId="0" xfId="0" applyFont="1" applyAlignment="1">
      <alignment horizontal="left" vertical="center" indent="1"/>
    </xf>
    <xf numFmtId="0" fontId="13" fillId="0" borderId="0" xfId="0" applyFont="1" applyAlignment="1">
      <alignment horizontal="left" vertical="center" indent="1"/>
    </xf>
    <xf numFmtId="0" fontId="3" fillId="0" borderId="1" xfId="0" applyFont="1" applyBorder="1" applyAlignment="1">
      <alignment horizontal="left" vertical="center"/>
    </xf>
    <xf numFmtId="166" fontId="15" fillId="0" borderId="1" xfId="3" applyNumberFormat="1" applyFont="1" applyBorder="1" applyAlignment="1">
      <alignment horizontal="right" vertical="center"/>
    </xf>
    <xf numFmtId="164" fontId="15" fillId="0" borderId="1" xfId="2" applyNumberFormat="1" applyFont="1" applyFill="1" applyBorder="1" applyAlignment="1">
      <alignment horizontal="right" vertical="center"/>
    </xf>
    <xf numFmtId="168" fontId="16" fillId="0" borderId="0" xfId="3" applyNumberFormat="1" applyFont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166" fontId="15" fillId="0" borderId="6" xfId="3" applyNumberFormat="1" applyFont="1" applyBorder="1" applyAlignment="1">
      <alignment horizontal="right" vertical="center"/>
    </xf>
    <xf numFmtId="0" fontId="15" fillId="0" borderId="6" xfId="0" applyFont="1" applyBorder="1" applyAlignment="1">
      <alignment horizontal="left" vertical="center" indent="1"/>
    </xf>
    <xf numFmtId="166" fontId="13" fillId="0" borderId="1" xfId="3" applyNumberFormat="1" applyFont="1" applyBorder="1" applyAlignment="1">
      <alignment horizontal="right" vertical="center"/>
    </xf>
    <xf numFmtId="1" fontId="3" fillId="0" borderId="0" xfId="0" applyNumberFormat="1" applyFont="1"/>
    <xf numFmtId="165" fontId="0" fillId="0" borderId="1" xfId="0" applyNumberFormat="1" applyBorder="1"/>
    <xf numFmtId="1" fontId="3" fillId="0" borderId="4" xfId="0" applyNumberFormat="1" applyFont="1" applyBorder="1"/>
    <xf numFmtId="164" fontId="0" fillId="0" borderId="0" xfId="0" quotePrefix="1" applyNumberFormat="1" applyAlignment="1">
      <alignment horizontal="right"/>
    </xf>
    <xf numFmtId="0" fontId="2" fillId="0" borderId="0" xfId="0" applyFont="1" applyAlignment="1">
      <alignment horizontal="right"/>
    </xf>
    <xf numFmtId="3" fontId="13" fillId="2" borderId="0" xfId="0" applyNumberFormat="1" applyFont="1" applyFill="1"/>
    <xf numFmtId="3" fontId="13" fillId="0" borderId="0" xfId="0" applyNumberFormat="1" applyFont="1"/>
    <xf numFmtId="1" fontId="13" fillId="0" borderId="0" xfId="0" applyNumberFormat="1" applyFont="1"/>
    <xf numFmtId="0" fontId="0" fillId="0" borderId="4" xfId="0" applyBorder="1"/>
    <xf numFmtId="1" fontId="0" fillId="0" borderId="4" xfId="0" applyNumberFormat="1" applyBorder="1"/>
    <xf numFmtId="168" fontId="1" fillId="0" borderId="0" xfId="3" applyNumberFormat="1" applyFont="1" applyAlignment="1">
      <alignment horizontal="right" vertical="center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right"/>
    </xf>
    <xf numFmtId="0" fontId="21" fillId="0" borderId="0" xfId="0" applyFont="1"/>
    <xf numFmtId="3" fontId="21" fillId="0" borderId="0" xfId="0" applyNumberFormat="1" applyFont="1"/>
    <xf numFmtId="9" fontId="21" fillId="2" borderId="0" xfId="0" applyNumberFormat="1" applyFont="1" applyFill="1"/>
    <xf numFmtId="164" fontId="21" fillId="0" borderId="0" xfId="0" applyNumberFormat="1" applyFont="1"/>
    <xf numFmtId="9" fontId="21" fillId="0" borderId="0" xfId="0" applyNumberFormat="1" applyFont="1"/>
    <xf numFmtId="0" fontId="20" fillId="0" borderId="0" xfId="0" applyFont="1"/>
    <xf numFmtId="165" fontId="20" fillId="0" borderId="0" xfId="0" applyNumberFormat="1" applyFont="1"/>
    <xf numFmtId="1" fontId="20" fillId="0" borderId="0" xfId="0" applyNumberFormat="1" applyFont="1"/>
    <xf numFmtId="0" fontId="20" fillId="0" borderId="2" xfId="0" applyFont="1" applyBorder="1"/>
    <xf numFmtId="165" fontId="20" fillId="0" borderId="3" xfId="0" applyNumberFormat="1" applyFont="1" applyBorder="1"/>
    <xf numFmtId="0" fontId="21" fillId="0" borderId="1" xfId="0" applyFont="1" applyBorder="1"/>
    <xf numFmtId="3" fontId="21" fillId="0" borderId="1" xfId="0" applyNumberFormat="1" applyFont="1" applyBorder="1"/>
    <xf numFmtId="0" fontId="22" fillId="0" borderId="0" xfId="0" applyFont="1"/>
    <xf numFmtId="0" fontId="21" fillId="0" borderId="0" xfId="0" applyFont="1" applyAlignment="1">
      <alignment horizontal="right"/>
    </xf>
    <xf numFmtId="9" fontId="21" fillId="0" borderId="1" xfId="0" applyNumberFormat="1" applyFont="1" applyBorder="1"/>
    <xf numFmtId="0" fontId="20" fillId="0" borderId="4" xfId="0" applyFont="1" applyBorder="1"/>
    <xf numFmtId="3" fontId="20" fillId="0" borderId="4" xfId="0" applyNumberFormat="1" applyFont="1" applyBorder="1"/>
    <xf numFmtId="9" fontId="20" fillId="0" borderId="4" xfId="0" applyNumberFormat="1" applyFont="1" applyBorder="1"/>
    <xf numFmtId="3" fontId="20" fillId="0" borderId="0" xfId="0" applyNumberFormat="1" applyFont="1"/>
    <xf numFmtId="9" fontId="20" fillId="0" borderId="0" xfId="0" applyNumberFormat="1" applyFont="1"/>
    <xf numFmtId="1" fontId="20" fillId="0" borderId="3" xfId="0" applyNumberFormat="1" applyFont="1" applyBorder="1"/>
    <xf numFmtId="0" fontId="23" fillId="0" borderId="0" xfId="0" applyFont="1"/>
    <xf numFmtId="0" fontId="23" fillId="0" borderId="0" xfId="0" applyFont="1" applyAlignment="1">
      <alignment horizontal="right"/>
    </xf>
    <xf numFmtId="0" fontId="25" fillId="0" borderId="8" xfId="0" applyFont="1" applyBorder="1"/>
    <xf numFmtId="0" fontId="25" fillId="0" borderId="8" xfId="0" applyFont="1" applyBorder="1" applyAlignment="1">
      <alignment horizontal="right"/>
    </xf>
    <xf numFmtId="0" fontId="25" fillId="0" borderId="8" xfId="0" applyFont="1" applyBorder="1" applyAlignment="1">
      <alignment horizontal="left"/>
    </xf>
    <xf numFmtId="0" fontId="25" fillId="0" borderId="9" xfId="0" applyFont="1" applyBorder="1"/>
    <xf numFmtId="0" fontId="25" fillId="0" borderId="10" xfId="0" applyFont="1" applyBorder="1"/>
    <xf numFmtId="0" fontId="25" fillId="0" borderId="0" xfId="0" applyFont="1"/>
    <xf numFmtId="3" fontId="25" fillId="0" borderId="0" xfId="0" applyNumberFormat="1" applyFont="1" applyAlignment="1">
      <alignment horizontal="right"/>
    </xf>
    <xf numFmtId="3" fontId="25" fillId="0" borderId="0" xfId="0" applyNumberFormat="1" applyFont="1"/>
    <xf numFmtId="9" fontId="25" fillId="0" borderId="0" xfId="0" applyNumberFormat="1" applyFont="1"/>
    <xf numFmtId="0" fontId="25" fillId="0" borderId="11" xfId="0" applyFont="1" applyBorder="1"/>
    <xf numFmtId="0" fontId="25" fillId="0" borderId="11" xfId="0" applyFont="1" applyBorder="1" applyAlignment="1">
      <alignment horizontal="right"/>
    </xf>
    <xf numFmtId="0" fontId="24" fillId="0" borderId="10" xfId="0" applyFont="1" applyBorder="1"/>
    <xf numFmtId="3" fontId="25" fillId="0" borderId="0" xfId="0" applyNumberFormat="1" applyFont="1" applyAlignment="1">
      <alignment horizontal="left"/>
    </xf>
    <xf numFmtId="0" fontId="25" fillId="0" borderId="13" xfId="0" applyFont="1" applyBorder="1"/>
    <xf numFmtId="3" fontId="25" fillId="0" borderId="13" xfId="0" applyNumberFormat="1" applyFont="1" applyBorder="1" applyAlignment="1">
      <alignment horizontal="right"/>
    </xf>
    <xf numFmtId="3" fontId="25" fillId="0" borderId="13" xfId="0" applyNumberFormat="1" applyFont="1" applyBorder="1"/>
    <xf numFmtId="9" fontId="25" fillId="0" borderId="13" xfId="0" applyNumberFormat="1" applyFont="1" applyBorder="1"/>
    <xf numFmtId="0" fontId="24" fillId="0" borderId="0" xfId="0" applyFont="1"/>
    <xf numFmtId="3" fontId="25" fillId="0" borderId="8" xfId="0" applyNumberFormat="1" applyFont="1" applyBorder="1" applyAlignment="1">
      <alignment horizontal="right"/>
    </xf>
    <xf numFmtId="3" fontId="25" fillId="0" borderId="8" xfId="0" applyNumberFormat="1" applyFont="1" applyBorder="1"/>
    <xf numFmtId="0" fontId="25" fillId="0" borderId="10" xfId="0" quotePrefix="1" applyFont="1" applyBorder="1"/>
    <xf numFmtId="0" fontId="25" fillId="0" borderId="12" xfId="0" quotePrefix="1" applyFont="1" applyBorder="1"/>
    <xf numFmtId="0" fontId="25" fillId="0" borderId="14" xfId="0" applyFont="1" applyBorder="1"/>
    <xf numFmtId="0" fontId="25" fillId="0" borderId="0" xfId="0" applyFont="1" applyAlignment="1">
      <alignment horizontal="right"/>
    </xf>
    <xf numFmtId="0" fontId="25" fillId="0" borderId="0" xfId="0" applyFont="1" applyAlignment="1">
      <alignment horizontal="left"/>
    </xf>
    <xf numFmtId="0" fontId="26" fillId="0" borderId="7" xfId="0" applyFont="1" applyBorder="1"/>
    <xf numFmtId="9" fontId="25" fillId="0" borderId="8" xfId="0" applyNumberFormat="1" applyFont="1" applyBorder="1"/>
    <xf numFmtId="0" fontId="25" fillId="0" borderId="9" xfId="0" applyFont="1" applyBorder="1" applyAlignment="1">
      <alignment horizontal="right"/>
    </xf>
    <xf numFmtId="1" fontId="21" fillId="0" borderId="0" xfId="0" applyNumberFormat="1" applyFont="1"/>
    <xf numFmtId="2" fontId="21" fillId="0" borderId="0" xfId="0" applyNumberFormat="1" applyFont="1"/>
    <xf numFmtId="9" fontId="0" fillId="0" borderId="0" xfId="0" applyNumberFormat="1" applyAlignment="1">
      <alignment horizontal="left"/>
    </xf>
    <xf numFmtId="166" fontId="0" fillId="0" borderId="0" xfId="0" applyNumberFormat="1"/>
    <xf numFmtId="9" fontId="13" fillId="0" borderId="0" xfId="3" applyNumberFormat="1" applyFont="1" applyAlignment="1">
      <alignment horizontal="right" vertical="center"/>
    </xf>
    <xf numFmtId="169" fontId="3" fillId="0" borderId="0" xfId="0" applyNumberFormat="1" applyFont="1" applyAlignment="1">
      <alignment horizontal="right" vertical="center"/>
    </xf>
    <xf numFmtId="166" fontId="14" fillId="0" borderId="0" xfId="3" applyNumberFormat="1" applyFont="1" applyAlignment="1">
      <alignment horizontal="right" vertical="center"/>
    </xf>
    <xf numFmtId="164" fontId="14" fillId="0" borderId="0" xfId="2" applyNumberFormat="1" applyFont="1" applyFill="1" applyBorder="1" applyAlignment="1">
      <alignment horizontal="right" vertical="center"/>
    </xf>
    <xf numFmtId="164" fontId="18" fillId="0" borderId="0" xfId="2" applyNumberFormat="1" applyFont="1" applyFill="1" applyBorder="1" applyAlignment="1">
      <alignment horizontal="right" vertical="center"/>
    </xf>
    <xf numFmtId="164" fontId="15" fillId="0" borderId="0" xfId="2" applyNumberFormat="1" applyFont="1" applyFill="1" applyBorder="1" applyAlignment="1">
      <alignment horizontal="right" vertical="center"/>
    </xf>
    <xf numFmtId="170" fontId="0" fillId="0" borderId="0" xfId="5" applyNumberFormat="1" applyFont="1" applyFill="1"/>
    <xf numFmtId="165" fontId="13" fillId="0" borderId="0" xfId="0" applyNumberFormat="1" applyFont="1"/>
    <xf numFmtId="164" fontId="3" fillId="0" borderId="0" xfId="0" applyNumberFormat="1" applyFont="1"/>
    <xf numFmtId="3" fontId="0" fillId="0" borderId="1" xfId="0" applyNumberFormat="1" applyBorder="1"/>
    <xf numFmtId="0" fontId="0" fillId="5" borderId="0" xfId="0" applyFill="1"/>
    <xf numFmtId="3" fontId="0" fillId="5" borderId="0" xfId="0" applyNumberFormat="1" applyFill="1"/>
    <xf numFmtId="0" fontId="3" fillId="5" borderId="0" xfId="0" applyFont="1" applyFill="1"/>
    <xf numFmtId="3" fontId="3" fillId="5" borderId="0" xfId="0" applyNumberFormat="1" applyFont="1" applyFill="1"/>
    <xf numFmtId="164" fontId="0" fillId="5" borderId="0" xfId="0" applyNumberFormat="1" applyFill="1"/>
    <xf numFmtId="0" fontId="3" fillId="5" borderId="1" xfId="0" applyFont="1" applyFill="1" applyBorder="1"/>
    <xf numFmtId="9" fontId="0" fillId="5" borderId="0" xfId="0" applyNumberFormat="1" applyFill="1"/>
    <xf numFmtId="165" fontId="0" fillId="5" borderId="0" xfId="0" applyNumberFormat="1" applyFill="1"/>
    <xf numFmtId="171" fontId="0" fillId="0" borderId="0" xfId="0" applyNumberFormat="1"/>
    <xf numFmtId="0" fontId="2" fillId="5" borderId="0" xfId="0" applyFont="1" applyFill="1"/>
    <xf numFmtId="0" fontId="23" fillId="0" borderId="1" xfId="0" applyFont="1" applyBorder="1"/>
    <xf numFmtId="0" fontId="23" fillId="0" borderId="1" xfId="0" applyFont="1" applyBorder="1" applyAlignment="1">
      <alignment horizontal="right"/>
    </xf>
    <xf numFmtId="0" fontId="25" fillId="5" borderId="0" xfId="0" applyFont="1" applyFill="1"/>
    <xf numFmtId="3" fontId="25" fillId="5" borderId="0" xfId="0" applyNumberFormat="1" applyFont="1" applyFill="1"/>
    <xf numFmtId="165" fontId="25" fillId="5" borderId="0" xfId="0" applyNumberFormat="1" applyFont="1" applyFill="1"/>
    <xf numFmtId="164" fontId="25" fillId="5" borderId="0" xfId="0" applyNumberFormat="1" applyFont="1" applyFill="1"/>
    <xf numFmtId="0" fontId="25" fillId="5" borderId="1" xfId="0" applyFont="1" applyFill="1" applyBorder="1"/>
    <xf numFmtId="164" fontId="25" fillId="0" borderId="0" xfId="0" applyNumberFormat="1" applyFont="1"/>
    <xf numFmtId="164" fontId="25" fillId="5" borderId="1" xfId="0" applyNumberFormat="1" applyFont="1" applyFill="1" applyBorder="1"/>
    <xf numFmtId="0" fontId="25" fillId="0" borderId="0" xfId="0" quotePrefix="1" applyFont="1"/>
    <xf numFmtId="1" fontId="0" fillId="5" borderId="0" xfId="0" applyNumberFormat="1" applyFill="1"/>
    <xf numFmtId="0" fontId="0" fillId="5" borderId="1" xfId="0" applyFill="1" applyBorder="1"/>
    <xf numFmtId="3" fontId="0" fillId="5" borderId="1" xfId="0" applyNumberFormat="1" applyFill="1" applyBorder="1"/>
    <xf numFmtId="0" fontId="6" fillId="5" borderId="0" xfId="0" applyFont="1" applyFill="1"/>
    <xf numFmtId="0" fontId="29" fillId="0" borderId="15" xfId="7" applyFont="1" applyBorder="1"/>
    <xf numFmtId="0" fontId="23" fillId="0" borderId="16" xfId="0" applyFont="1" applyBorder="1" applyAlignment="1">
      <alignment horizontal="left"/>
    </xf>
    <xf numFmtId="0" fontId="23" fillId="0" borderId="16" xfId="0" applyFont="1" applyBorder="1" applyAlignment="1">
      <alignment horizontal="right"/>
    </xf>
    <xf numFmtId="0" fontId="23" fillId="0" borderId="16" xfId="0" applyFont="1" applyBorder="1"/>
    <xf numFmtId="0" fontId="23" fillId="0" borderId="17" xfId="0" applyFont="1" applyBorder="1" applyAlignment="1">
      <alignment horizontal="right"/>
    </xf>
    <xf numFmtId="0" fontId="25" fillId="0" borderId="18" xfId="0" applyFont="1" applyBorder="1"/>
    <xf numFmtId="0" fontId="25" fillId="0" borderId="20" xfId="0" applyFont="1" applyBorder="1"/>
    <xf numFmtId="0" fontId="25" fillId="0" borderId="1" xfId="0" applyFont="1" applyBorder="1"/>
    <xf numFmtId="3" fontId="25" fillId="0" borderId="1" xfId="0" applyNumberFormat="1" applyFont="1" applyBorder="1"/>
    <xf numFmtId="9" fontId="25" fillId="0" borderId="21" xfId="0" applyNumberFormat="1" applyFont="1" applyBorder="1"/>
    <xf numFmtId="0" fontId="25" fillId="0" borderId="19" xfId="0" applyFont="1" applyBorder="1"/>
    <xf numFmtId="0" fontId="23" fillId="0" borderId="18" xfId="0" applyFont="1" applyBorder="1"/>
    <xf numFmtId="3" fontId="29" fillId="0" borderId="0" xfId="5" applyNumberFormat="1" applyFont="1" applyFill="1" applyBorder="1"/>
    <xf numFmtId="0" fontId="23" fillId="0" borderId="20" xfId="0" applyFont="1" applyBorder="1"/>
    <xf numFmtId="9" fontId="29" fillId="0" borderId="1" xfId="5" applyNumberFormat="1" applyFont="1" applyFill="1" applyBorder="1"/>
    <xf numFmtId="0" fontId="25" fillId="0" borderId="21" xfId="0" applyFont="1" applyBorder="1"/>
    <xf numFmtId="165" fontId="25" fillId="0" borderId="1" xfId="0" applyNumberFormat="1" applyFont="1" applyBorder="1"/>
    <xf numFmtId="0" fontId="0" fillId="0" borderId="2" xfId="0" applyBorder="1"/>
    <xf numFmtId="0" fontId="0" fillId="0" borderId="22" xfId="0" applyBorder="1"/>
    <xf numFmtId="3" fontId="0" fillId="0" borderId="3" xfId="0" applyNumberFormat="1" applyBorder="1"/>
    <xf numFmtId="0" fontId="30" fillId="0" borderId="15" xfId="0" applyFont="1" applyBorder="1"/>
    <xf numFmtId="0" fontId="30" fillId="0" borderId="16" xfId="0" applyFont="1" applyBorder="1"/>
    <xf numFmtId="0" fontId="30" fillId="0" borderId="16" xfId="0" applyFont="1" applyBorder="1" applyAlignment="1">
      <alignment horizontal="right"/>
    </xf>
    <xf numFmtId="0" fontId="30" fillId="0" borderId="17" xfId="0" applyFont="1" applyBorder="1" applyAlignment="1">
      <alignment horizontal="right"/>
    </xf>
    <xf numFmtId="0" fontId="31" fillId="5" borderId="18" xfId="0" applyFont="1" applyFill="1" applyBorder="1"/>
    <xf numFmtId="17" fontId="4" fillId="5" borderId="0" xfId="0" applyNumberFormat="1" applyFont="1" applyFill="1" applyAlignment="1">
      <alignment horizontal="left"/>
    </xf>
    <xf numFmtId="0" fontId="31" fillId="5" borderId="0" xfId="0" applyFont="1" applyFill="1"/>
    <xf numFmtId="165" fontId="31" fillId="5" borderId="0" xfId="0" applyNumberFormat="1" applyFont="1" applyFill="1"/>
    <xf numFmtId="3" fontId="31" fillId="5" borderId="0" xfId="0" applyNumberFormat="1" applyFont="1" applyFill="1"/>
    <xf numFmtId="3" fontId="31" fillId="5" borderId="19" xfId="0" applyNumberFormat="1" applyFont="1" applyFill="1" applyBorder="1"/>
    <xf numFmtId="0" fontId="31" fillId="0" borderId="18" xfId="0" applyFont="1" applyBorder="1"/>
    <xf numFmtId="17" fontId="4" fillId="0" borderId="0" xfId="0" applyNumberFormat="1" applyFont="1" applyAlignment="1">
      <alignment horizontal="left"/>
    </xf>
    <xf numFmtId="0" fontId="31" fillId="0" borderId="0" xfId="0" applyFont="1"/>
    <xf numFmtId="165" fontId="31" fillId="0" borderId="0" xfId="0" applyNumberFormat="1" applyFont="1"/>
    <xf numFmtId="3" fontId="31" fillId="0" borderId="0" xfId="0" applyNumberFormat="1" applyFont="1"/>
    <xf numFmtId="3" fontId="31" fillId="0" borderId="19" xfId="0" applyNumberFormat="1" applyFont="1" applyBorder="1"/>
    <xf numFmtId="0" fontId="32" fillId="0" borderId="0" xfId="0" applyFont="1"/>
    <xf numFmtId="0" fontId="0" fillId="0" borderId="1" xfId="0" applyBorder="1" applyAlignment="1">
      <alignment horizontal="right"/>
    </xf>
    <xf numFmtId="164" fontId="0" fillId="0" borderId="0" xfId="0" applyNumberFormat="1" applyAlignment="1">
      <alignment horizontal="right"/>
    </xf>
    <xf numFmtId="165" fontId="0" fillId="0" borderId="1" xfId="0" applyNumberForma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0" xfId="0" applyAlignment="1">
      <alignment horizontal="left"/>
    </xf>
    <xf numFmtId="0" fontId="6" fillId="0" borderId="0" xfId="0" applyFont="1" applyAlignment="1">
      <alignment horizontal="right"/>
    </xf>
    <xf numFmtId="169" fontId="3" fillId="0" borderId="1" xfId="0" applyNumberFormat="1" applyFont="1" applyBorder="1" applyAlignment="1">
      <alignment horizontal="right"/>
    </xf>
    <xf numFmtId="164" fontId="15" fillId="0" borderId="6" xfId="2" applyNumberFormat="1" applyFont="1" applyFill="1" applyBorder="1" applyAlignment="1">
      <alignment horizontal="right" vertical="center"/>
    </xf>
    <xf numFmtId="9" fontId="16" fillId="0" borderId="0" xfId="0" applyNumberFormat="1" applyFont="1"/>
    <xf numFmtId="10" fontId="15" fillId="0" borderId="0" xfId="3" applyNumberFormat="1" applyFont="1" applyAlignment="1">
      <alignment horizontal="right" vertical="center"/>
    </xf>
    <xf numFmtId="17" fontId="6" fillId="0" borderId="0" xfId="0" applyNumberFormat="1" applyFont="1" applyAlignment="1">
      <alignment horizontal="left"/>
    </xf>
    <xf numFmtId="16" fontId="0" fillId="0" borderId="0" xfId="0" quotePrefix="1" applyNumberFormat="1"/>
    <xf numFmtId="1" fontId="13" fillId="2" borderId="0" xfId="0" applyNumberFormat="1" applyFont="1" applyFill="1"/>
    <xf numFmtId="1" fontId="13" fillId="0" borderId="1" xfId="0" applyNumberFormat="1" applyFont="1" applyBorder="1"/>
    <xf numFmtId="0" fontId="33" fillId="0" borderId="0" xfId="0" applyFont="1" applyAlignment="1">
      <alignment vertical="center"/>
    </xf>
    <xf numFmtId="0" fontId="34" fillId="4" borderId="0" xfId="0" applyFont="1" applyFill="1" applyAlignment="1">
      <alignment vertical="center"/>
    </xf>
    <xf numFmtId="0" fontId="33" fillId="4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5" fillId="6" borderId="1" xfId="0" applyFont="1" applyFill="1" applyBorder="1" applyAlignment="1">
      <alignment vertical="center"/>
    </xf>
    <xf numFmtId="0" fontId="35" fillId="6" borderId="1" xfId="0" applyFont="1" applyFill="1" applyBorder="1" applyAlignment="1">
      <alignment horizontal="right" vertical="center"/>
    </xf>
    <xf numFmtId="0" fontId="35" fillId="4" borderId="0" xfId="0" applyFont="1" applyFill="1" applyAlignment="1">
      <alignment horizontal="left" vertical="center" indent="1"/>
    </xf>
    <xf numFmtId="49" fontId="35" fillId="2" borderId="23" xfId="0" applyNumberFormat="1" applyFont="1" applyFill="1" applyBorder="1" applyAlignment="1">
      <alignment horizontal="right" vertical="center"/>
    </xf>
    <xf numFmtId="0" fontId="35" fillId="4" borderId="0" xfId="0" applyFont="1" applyFill="1" applyAlignment="1">
      <alignment vertical="center"/>
    </xf>
    <xf numFmtId="166" fontId="36" fillId="4" borderId="0" xfId="3" applyNumberFormat="1" applyFont="1" applyFill="1" applyAlignment="1">
      <alignment horizontal="right" vertical="center"/>
    </xf>
    <xf numFmtId="0" fontId="33" fillId="0" borderId="0" xfId="0" applyFont="1" applyAlignment="1">
      <alignment horizontal="left" vertical="center" indent="1"/>
    </xf>
    <xf numFmtId="49" fontId="33" fillId="0" borderId="0" xfId="0" applyNumberFormat="1" applyFont="1" applyAlignment="1">
      <alignment horizontal="right" vertical="center"/>
    </xf>
    <xf numFmtId="166" fontId="37" fillId="0" borderId="0" xfId="3" applyNumberFormat="1" applyFont="1" applyAlignment="1">
      <alignment horizontal="right" vertical="center"/>
    </xf>
    <xf numFmtId="174" fontId="35" fillId="4" borderId="0" xfId="0" applyNumberFormat="1" applyFont="1" applyFill="1" applyAlignment="1">
      <alignment horizontal="right" vertical="center"/>
    </xf>
    <xf numFmtId="0" fontId="35" fillId="4" borderId="1" xfId="0" applyFont="1" applyFill="1" applyBorder="1" applyAlignment="1">
      <alignment vertical="center"/>
    </xf>
    <xf numFmtId="164" fontId="35" fillId="4" borderId="1" xfId="2" applyNumberFormat="1" applyFont="1" applyFill="1" applyBorder="1" applyAlignment="1">
      <alignment horizontal="right" vertical="center"/>
    </xf>
    <xf numFmtId="0" fontId="33" fillId="2" borderId="23" xfId="0" applyFont="1" applyFill="1" applyBorder="1" applyAlignment="1">
      <alignment horizontal="right" vertical="center"/>
    </xf>
    <xf numFmtId="0" fontId="35" fillId="4" borderId="1" xfId="0" applyFont="1" applyFill="1" applyBorder="1" applyAlignment="1">
      <alignment horizontal="left" vertical="center" indent="1"/>
    </xf>
    <xf numFmtId="168" fontId="36" fillId="4" borderId="0" xfId="3" applyNumberFormat="1" applyFont="1" applyFill="1" applyAlignment="1">
      <alignment horizontal="right" vertical="center"/>
    </xf>
    <xf numFmtId="164" fontId="35" fillId="4" borderId="0" xfId="2" applyNumberFormat="1" applyFont="1" applyFill="1" applyAlignment="1">
      <alignment horizontal="right" vertical="center"/>
    </xf>
    <xf numFmtId="164" fontId="33" fillId="0" borderId="0" xfId="2" applyNumberFormat="1" applyFont="1" applyAlignment="1">
      <alignment horizontal="right" vertical="center"/>
    </xf>
    <xf numFmtId="168" fontId="37" fillId="0" borderId="0" xfId="3" applyNumberFormat="1" applyFont="1" applyAlignment="1">
      <alignment horizontal="right" vertical="center"/>
    </xf>
    <xf numFmtId="168" fontId="36" fillId="4" borderId="1" xfId="3" applyNumberFormat="1" applyFont="1" applyFill="1" applyBorder="1" applyAlignment="1">
      <alignment horizontal="right" vertical="center"/>
    </xf>
    <xf numFmtId="164" fontId="35" fillId="4" borderId="0" xfId="2" applyNumberFormat="1" applyFont="1" applyFill="1" applyBorder="1" applyAlignment="1">
      <alignment horizontal="right" vertical="center"/>
    </xf>
    <xf numFmtId="165" fontId="0" fillId="2" borderId="1" xfId="0" applyNumberFormat="1" applyFill="1" applyBorder="1"/>
    <xf numFmtId="175" fontId="35" fillId="4" borderId="1" xfId="0" applyNumberFormat="1" applyFont="1" applyFill="1" applyBorder="1" applyAlignment="1">
      <alignment horizontal="right" vertical="center"/>
    </xf>
    <xf numFmtId="0" fontId="38" fillId="0" borderId="0" xfId="0" applyFont="1"/>
    <xf numFmtId="9" fontId="15" fillId="0" borderId="0" xfId="3" applyNumberFormat="1" applyFont="1" applyAlignment="1">
      <alignment horizontal="right" vertical="center"/>
    </xf>
    <xf numFmtId="10" fontId="16" fillId="0" borderId="0" xfId="3" applyNumberFormat="1" applyFont="1" applyAlignment="1">
      <alignment horizontal="right" vertical="center"/>
    </xf>
    <xf numFmtId="0" fontId="0" fillId="0" borderId="0" xfId="0" quotePrefix="1" applyAlignment="1">
      <alignment horizontal="left" vertical="center" indent="1"/>
    </xf>
    <xf numFmtId="9" fontId="25" fillId="5" borderId="0" xfId="0" applyNumberFormat="1" applyFont="1" applyFill="1"/>
    <xf numFmtId="0" fontId="31" fillId="5" borderId="20" xfId="0" applyFont="1" applyFill="1" applyBorder="1"/>
    <xf numFmtId="17" fontId="4" fillId="5" borderId="1" xfId="0" applyNumberFormat="1" applyFont="1" applyFill="1" applyBorder="1" applyAlignment="1">
      <alignment horizontal="left"/>
    </xf>
    <xf numFmtId="0" fontId="31" fillId="5" borderId="1" xfId="0" applyFont="1" applyFill="1" applyBorder="1"/>
    <xf numFmtId="1" fontId="31" fillId="5" borderId="1" xfId="0" applyNumberFormat="1" applyFont="1" applyFill="1" applyBorder="1"/>
    <xf numFmtId="3" fontId="31" fillId="5" borderId="21" xfId="0" applyNumberFormat="1" applyFont="1" applyFill="1" applyBorder="1"/>
    <xf numFmtId="0" fontId="30" fillId="0" borderId="20" xfId="0" applyFont="1" applyBorder="1"/>
    <xf numFmtId="0" fontId="30" fillId="0" borderId="1" xfId="0" applyFont="1" applyBorder="1"/>
    <xf numFmtId="3" fontId="30" fillId="0" borderId="21" xfId="0" applyNumberFormat="1" applyFont="1" applyBorder="1"/>
    <xf numFmtId="0" fontId="3" fillId="0" borderId="16" xfId="0" applyFont="1" applyBorder="1"/>
    <xf numFmtId="164" fontId="15" fillId="0" borderId="16" xfId="3" applyNumberFormat="1" applyFont="1" applyBorder="1" applyAlignment="1">
      <alignment horizontal="right" vertical="center"/>
    </xf>
    <xf numFmtId="10" fontId="15" fillId="0" borderId="16" xfId="3" applyNumberFormat="1" applyFont="1" applyBorder="1" applyAlignment="1">
      <alignment horizontal="right" vertical="center"/>
    </xf>
    <xf numFmtId="169" fontId="3" fillId="0" borderId="0" xfId="0" applyNumberFormat="1" applyFont="1" applyAlignment="1">
      <alignment horizontal="right"/>
    </xf>
    <xf numFmtId="0" fontId="25" fillId="5" borderId="0" xfId="0" quotePrefix="1" applyFont="1" applyFill="1"/>
    <xf numFmtId="0" fontId="14" fillId="0" borderId="0" xfId="0" applyFont="1"/>
    <xf numFmtId="164" fontId="14" fillId="0" borderId="0" xfId="0" applyNumberFormat="1" applyFont="1" applyAlignment="1">
      <alignment horizontal="left"/>
    </xf>
    <xf numFmtId="0" fontId="39" fillId="0" borderId="0" xfId="0" applyFont="1"/>
    <xf numFmtId="0" fontId="40" fillId="0" borderId="0" xfId="0" applyFont="1"/>
    <xf numFmtId="0" fontId="1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2" xfId="0" applyFont="1" applyBorder="1"/>
    <xf numFmtId="0" fontId="3" fillId="0" borderId="22" xfId="0" applyFont="1" applyBorder="1"/>
    <xf numFmtId="164" fontId="3" fillId="0" borderId="3" xfId="0" applyNumberFormat="1" applyFont="1" applyBorder="1"/>
    <xf numFmtId="164" fontId="3" fillId="0" borderId="22" xfId="0" applyNumberFormat="1" applyFont="1" applyBorder="1"/>
    <xf numFmtId="1" fontId="3" fillId="0" borderId="3" xfId="0" applyNumberFormat="1" applyFont="1" applyBorder="1"/>
    <xf numFmtId="164" fontId="3" fillId="0" borderId="2" xfId="0" applyNumberFormat="1" applyFont="1" applyBorder="1"/>
    <xf numFmtId="0" fontId="0" fillId="5" borderId="0" xfId="0" quotePrefix="1" applyFill="1"/>
    <xf numFmtId="0" fontId="3" fillId="5" borderId="2" xfId="0" applyFont="1" applyFill="1" applyBorder="1"/>
    <xf numFmtId="9" fontId="3" fillId="5" borderId="22" xfId="0" applyNumberFormat="1" applyFont="1" applyFill="1" applyBorder="1"/>
    <xf numFmtId="1" fontId="3" fillId="5" borderId="3" xfId="0" applyNumberFormat="1" applyFont="1" applyFill="1" applyBorder="1"/>
    <xf numFmtId="9" fontId="3" fillId="5" borderId="2" xfId="0" applyNumberFormat="1" applyFont="1" applyFill="1" applyBorder="1"/>
    <xf numFmtId="0" fontId="3" fillId="5" borderId="22" xfId="0" applyFont="1" applyFill="1" applyBorder="1"/>
    <xf numFmtId="0" fontId="3" fillId="5" borderId="3" xfId="0" applyFont="1" applyFill="1" applyBorder="1"/>
    <xf numFmtId="0" fontId="3" fillId="0" borderId="0" xfId="0" applyFont="1" applyAlignment="1">
      <alignment horizontal="right"/>
    </xf>
    <xf numFmtId="10" fontId="0" fillId="0" borderId="1" xfId="0" applyNumberFormat="1" applyBorder="1"/>
    <xf numFmtId="165" fontId="25" fillId="0" borderId="0" xfId="0" applyNumberFormat="1" applyFont="1"/>
    <xf numFmtId="0" fontId="42" fillId="8" borderId="13" xfId="8" applyFont="1" applyFill="1" applyBorder="1"/>
    <xf numFmtId="0" fontId="43" fillId="8" borderId="13" xfId="8" applyFont="1" applyFill="1" applyBorder="1"/>
    <xf numFmtId="0" fontId="41" fillId="0" borderId="0" xfId="8"/>
    <xf numFmtId="0" fontId="43" fillId="8" borderId="0" xfId="8" applyFont="1" applyFill="1"/>
    <xf numFmtId="0" fontId="44" fillId="8" borderId="0" xfId="8" applyFont="1" applyFill="1"/>
    <xf numFmtId="14" fontId="45" fillId="8" borderId="0" xfId="8" applyNumberFormat="1" applyFont="1" applyFill="1" applyAlignment="1">
      <alignment horizontal="left"/>
    </xf>
    <xf numFmtId="0" fontId="46" fillId="8" borderId="0" xfId="8" applyFont="1" applyFill="1"/>
    <xf numFmtId="176" fontId="43" fillId="8" borderId="0" xfId="8" applyNumberFormat="1" applyFont="1" applyFill="1"/>
    <xf numFmtId="0" fontId="47" fillId="8" borderId="0" xfId="8" applyFont="1" applyFill="1"/>
    <xf numFmtId="0" fontId="41" fillId="8" borderId="0" xfId="8" applyFill="1"/>
    <xf numFmtId="0" fontId="48" fillId="8" borderId="0" xfId="8" applyFont="1" applyFill="1"/>
    <xf numFmtId="0" fontId="46" fillId="8" borderId="0" xfId="8" quotePrefix="1" applyFont="1" applyFill="1"/>
    <xf numFmtId="0" fontId="45" fillId="8" borderId="0" xfId="8" applyFont="1" applyFill="1"/>
    <xf numFmtId="0" fontId="49" fillId="8" borderId="0" xfId="8" applyFont="1" applyFill="1"/>
    <xf numFmtId="178" fontId="43" fillId="8" borderId="0" xfId="9" applyNumberFormat="1" applyFont="1" applyFill="1"/>
    <xf numFmtId="0" fontId="45" fillId="8" borderId="0" xfId="8" applyFont="1" applyFill="1" applyAlignment="1">
      <alignment horizontal="right"/>
    </xf>
    <xf numFmtId="179" fontId="50" fillId="9" borderId="0" xfId="8" applyNumberFormat="1" applyFont="1" applyFill="1"/>
    <xf numFmtId="37" fontId="45" fillId="8" borderId="0" xfId="8" applyNumberFormat="1" applyFont="1" applyFill="1"/>
    <xf numFmtId="0" fontId="15" fillId="0" borderId="1" xfId="0" applyFont="1" applyBorder="1" applyAlignment="1">
      <alignment vertical="center"/>
    </xf>
    <xf numFmtId="169" fontId="15" fillId="0" borderId="1" xfId="0" applyNumberFormat="1" applyFont="1" applyBorder="1" applyAlignment="1">
      <alignment horizontal="right" vertical="center"/>
    </xf>
    <xf numFmtId="0" fontId="13" fillId="0" borderId="5" xfId="0" applyFont="1" applyBorder="1" applyAlignment="1">
      <alignment horizontal="left" vertical="center" indent="1"/>
    </xf>
    <xf numFmtId="166" fontId="13" fillId="0" borderId="5" xfId="3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left" vertical="center"/>
    </xf>
    <xf numFmtId="0" fontId="13" fillId="0" borderId="0" xfId="0" applyFont="1" applyAlignment="1">
      <alignment vertical="center"/>
    </xf>
    <xf numFmtId="164" fontId="13" fillId="0" borderId="5" xfId="2" applyNumberFormat="1" applyFont="1" applyFill="1" applyBorder="1" applyAlignment="1">
      <alignment horizontal="right" vertical="center"/>
    </xf>
    <xf numFmtId="1" fontId="23" fillId="0" borderId="0" xfId="0" applyNumberFormat="1" applyFont="1"/>
    <xf numFmtId="9" fontId="25" fillId="5" borderId="1" xfId="0" applyNumberFormat="1" applyFont="1" applyFill="1" applyBorder="1"/>
    <xf numFmtId="9" fontId="23" fillId="0" borderId="0" xfId="0" applyNumberFormat="1" applyFont="1"/>
    <xf numFmtId="0" fontId="25" fillId="0" borderId="25" xfId="0" applyFont="1" applyBorder="1"/>
    <xf numFmtId="0" fontId="0" fillId="0" borderId="25" xfId="0" applyBorder="1"/>
    <xf numFmtId="0" fontId="23" fillId="0" borderId="25" xfId="0" applyFont="1" applyBorder="1"/>
    <xf numFmtId="0" fontId="23" fillId="0" borderId="25" xfId="0" applyFont="1" applyBorder="1" applyAlignment="1">
      <alignment horizontal="right"/>
    </xf>
    <xf numFmtId="9" fontId="0" fillId="0" borderId="0" xfId="2" applyFont="1"/>
    <xf numFmtId="1" fontId="25" fillId="5" borderId="0" xfId="0" applyNumberFormat="1" applyFont="1" applyFill="1"/>
    <xf numFmtId="1" fontId="25" fillId="0" borderId="0" xfId="0" applyNumberFormat="1" applyFont="1"/>
    <xf numFmtId="168" fontId="15" fillId="0" borderId="1" xfId="3" applyNumberFormat="1" applyFont="1" applyBorder="1" applyAlignment="1">
      <alignment horizontal="right" vertical="center"/>
    </xf>
    <xf numFmtId="168" fontId="1" fillId="0" borderId="1" xfId="3" applyNumberFormat="1" applyFont="1" applyBorder="1" applyAlignment="1">
      <alignment horizontal="right" vertical="center"/>
    </xf>
    <xf numFmtId="1" fontId="13" fillId="0" borderId="1" xfId="3" applyNumberFormat="1" applyFont="1" applyBorder="1" applyAlignment="1">
      <alignment horizontal="right" vertical="center"/>
    </xf>
    <xf numFmtId="1" fontId="1" fillId="0" borderId="1" xfId="3" applyNumberFormat="1" applyFont="1" applyBorder="1" applyAlignment="1">
      <alignment horizontal="right" vertical="center"/>
    </xf>
    <xf numFmtId="0" fontId="0" fillId="0" borderId="1" xfId="0" applyBorder="1" applyAlignment="1">
      <alignment horizontal="left" vertical="center" indent="1"/>
    </xf>
    <xf numFmtId="0" fontId="0" fillId="0" borderId="1" xfId="0" quotePrefix="1" applyBorder="1" applyAlignment="1">
      <alignment horizontal="left" vertical="center" indent="1"/>
    </xf>
    <xf numFmtId="171" fontId="3" fillId="0" borderId="1" xfId="0" applyNumberFormat="1" applyFont="1" applyBorder="1" applyAlignment="1">
      <alignment horizontal="right"/>
    </xf>
    <xf numFmtId="3" fontId="3" fillId="0" borderId="0" xfId="0" applyNumberFormat="1" applyFont="1"/>
    <xf numFmtId="171" fontId="3" fillId="5" borderId="22" xfId="0" applyNumberFormat="1" applyFont="1" applyFill="1" applyBorder="1"/>
    <xf numFmtId="171" fontId="3" fillId="5" borderId="3" xfId="0" applyNumberFormat="1" applyFont="1" applyFill="1" applyBorder="1"/>
    <xf numFmtId="9" fontId="0" fillId="2" borderId="1" xfId="0" applyNumberFormat="1" applyFill="1" applyBorder="1"/>
    <xf numFmtId="9" fontId="1" fillId="2" borderId="0" xfId="0" applyNumberFormat="1" applyFont="1" applyFill="1"/>
    <xf numFmtId="0" fontId="14" fillId="2" borderId="0" xfId="0" applyFont="1" applyFill="1"/>
    <xf numFmtId="10" fontId="0" fillId="0" borderId="0" xfId="2" applyNumberFormat="1" applyFont="1"/>
    <xf numFmtId="10" fontId="13" fillId="0" borderId="0" xfId="2" applyNumberFormat="1" applyFont="1" applyFill="1"/>
    <xf numFmtId="10" fontId="13" fillId="0" borderId="1" xfId="2" applyNumberFormat="1" applyFont="1" applyFill="1" applyBorder="1"/>
    <xf numFmtId="0" fontId="0" fillId="0" borderId="0" xfId="0" quotePrefix="1" applyAlignment="1">
      <alignment horizontal="right"/>
    </xf>
    <xf numFmtId="9" fontId="0" fillId="0" borderId="0" xfId="0" applyNumberFormat="1" applyAlignment="1">
      <alignment horizontal="right"/>
    </xf>
    <xf numFmtId="10" fontId="3" fillId="0" borderId="0" xfId="0" applyNumberFormat="1" applyFont="1"/>
    <xf numFmtId="171" fontId="25" fillId="0" borderId="1" xfId="0" applyNumberFormat="1" applyFont="1" applyBorder="1"/>
    <xf numFmtId="4" fontId="0" fillId="0" borderId="0" xfId="0" applyNumberFormat="1"/>
    <xf numFmtId="0" fontId="2" fillId="5" borderId="0" xfId="0" applyFont="1" applyFill="1" applyAlignment="1">
      <alignment horizontal="left"/>
    </xf>
    <xf numFmtId="0" fontId="0" fillId="5" borderId="0" xfId="0" applyFill="1" applyAlignment="1">
      <alignment horizontal="right"/>
    </xf>
    <xf numFmtId="0" fontId="3" fillId="5" borderId="22" xfId="0" applyFont="1" applyFill="1" applyBorder="1" applyAlignment="1">
      <alignment horizontal="right"/>
    </xf>
    <xf numFmtId="0" fontId="3" fillId="5" borderId="3" xfId="0" applyFont="1" applyFill="1" applyBorder="1" applyAlignment="1">
      <alignment horizontal="right"/>
    </xf>
    <xf numFmtId="0" fontId="23" fillId="5" borderId="1" xfId="0" applyFont="1" applyFill="1" applyBorder="1" applyAlignment="1">
      <alignment horizontal="left"/>
    </xf>
    <xf numFmtId="0" fontId="23" fillId="5" borderId="1" xfId="0" applyFont="1" applyFill="1" applyBorder="1"/>
    <xf numFmtId="0" fontId="25" fillId="0" borderId="0" xfId="0" applyFont="1" applyAlignment="1">
      <alignment horizontal="left" indent="1"/>
    </xf>
    <xf numFmtId="3" fontId="25" fillId="0" borderId="0" xfId="2" applyNumberFormat="1" applyFont="1" applyFill="1"/>
    <xf numFmtId="0" fontId="25" fillId="5" borderId="0" xfId="0" applyFont="1" applyFill="1" applyAlignment="1">
      <alignment horizontal="left" indent="1"/>
    </xf>
    <xf numFmtId="3" fontId="25" fillId="5" borderId="0" xfId="2" applyNumberFormat="1" applyFont="1" applyFill="1"/>
    <xf numFmtId="165" fontId="25" fillId="0" borderId="0" xfId="2" applyNumberFormat="1" applyFont="1" applyFill="1"/>
    <xf numFmtId="10" fontId="25" fillId="0" borderId="0" xfId="2" applyNumberFormat="1" applyFont="1" applyFill="1"/>
    <xf numFmtId="9" fontId="25" fillId="0" borderId="0" xfId="2" applyFont="1" applyFill="1"/>
    <xf numFmtId="9" fontId="25" fillId="5" borderId="0" xfId="2" applyFont="1" applyFill="1"/>
    <xf numFmtId="17" fontId="0" fillId="0" borderId="0" xfId="0" applyNumberFormat="1" applyAlignment="1">
      <alignment horizontal="left"/>
    </xf>
    <xf numFmtId="3" fontId="53" fillId="0" borderId="1" xfId="0" applyNumberFormat="1" applyFont="1" applyBorder="1"/>
    <xf numFmtId="1" fontId="53" fillId="0" borderId="1" xfId="0" applyNumberFormat="1" applyFont="1" applyBorder="1"/>
    <xf numFmtId="3" fontId="0" fillId="5" borderId="0" xfId="0" applyNumberFormat="1" applyFill="1" applyAlignment="1">
      <alignment vertical="center"/>
    </xf>
    <xf numFmtId="3" fontId="0" fillId="0" borderId="0" xfId="0" applyNumberFormat="1" applyAlignment="1">
      <alignment vertical="center"/>
    </xf>
    <xf numFmtId="169" fontId="15" fillId="0" borderId="0" xfId="0" applyNumberFormat="1" applyFont="1" applyAlignment="1">
      <alignment horizontal="right" vertical="center"/>
    </xf>
    <xf numFmtId="0" fontId="20" fillId="0" borderId="0" xfId="0" applyFont="1" applyAlignment="1">
      <alignment horizontal="right"/>
    </xf>
    <xf numFmtId="0" fontId="20" fillId="0" borderId="1" xfId="0" applyFont="1" applyBorder="1"/>
    <xf numFmtId="0" fontId="35" fillId="3" borderId="1" xfId="0" applyFont="1" applyFill="1" applyBorder="1" applyAlignment="1">
      <alignment horizontal="right" vertical="center"/>
    </xf>
    <xf numFmtId="168" fontId="0" fillId="0" borderId="0" xfId="0" applyNumberFormat="1"/>
    <xf numFmtId="10" fontId="13" fillId="0" borderId="0" xfId="3" applyNumberFormat="1" applyFont="1" applyAlignment="1">
      <alignment horizontal="right" vertical="center"/>
    </xf>
    <xf numFmtId="10" fontId="1" fillId="0" borderId="0" xfId="3" applyNumberFormat="1" applyFont="1" applyAlignment="1">
      <alignment horizontal="right" vertical="center"/>
    </xf>
    <xf numFmtId="10" fontId="3" fillId="0" borderId="27" xfId="0" applyNumberFormat="1" applyFont="1" applyBorder="1"/>
    <xf numFmtId="164" fontId="13" fillId="2" borderId="0" xfId="3" applyNumberFormat="1" applyFont="1" applyFill="1" applyAlignment="1">
      <alignment horizontal="right" vertical="center"/>
    </xf>
    <xf numFmtId="164" fontId="54" fillId="0" borderId="0" xfId="3" applyNumberFormat="1" applyFont="1" applyAlignment="1">
      <alignment horizontal="right" vertical="center"/>
    </xf>
    <xf numFmtId="10" fontId="25" fillId="0" borderId="0" xfId="0" applyNumberFormat="1" applyFont="1"/>
    <xf numFmtId="0" fontId="23" fillId="5" borderId="0" xfId="0" applyFont="1" applyFill="1"/>
    <xf numFmtId="10" fontId="25" fillId="5" borderId="0" xfId="0" applyNumberFormat="1" applyFont="1" applyFill="1"/>
    <xf numFmtId="0" fontId="55" fillId="0" borderId="0" xfId="0" applyFont="1" applyAlignment="1">
      <alignment horizontal="right"/>
    </xf>
    <xf numFmtId="0" fontId="25" fillId="5" borderId="0" xfId="0" applyFont="1" applyFill="1" applyAlignment="1">
      <alignment horizontal="right"/>
    </xf>
    <xf numFmtId="168" fontId="13" fillId="2" borderId="0" xfId="3" applyNumberFormat="1" applyFont="1" applyFill="1" applyAlignment="1">
      <alignment horizontal="right" vertical="center"/>
    </xf>
    <xf numFmtId="0" fontId="0" fillId="0" borderId="1" xfId="0" applyBorder="1" applyAlignment="1">
      <alignment vertical="center"/>
    </xf>
    <xf numFmtId="9" fontId="13" fillId="2" borderId="0" xfId="3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10" fontId="13" fillId="0" borderId="1" xfId="3" applyNumberFormat="1" applyFont="1" applyBorder="1" applyAlignment="1">
      <alignment horizontal="right" vertical="center"/>
    </xf>
    <xf numFmtId="10" fontId="13" fillId="2" borderId="0" xfId="3" applyNumberFormat="1" applyFont="1" applyFill="1" applyAlignment="1">
      <alignment horizontal="right" vertical="center"/>
    </xf>
    <xf numFmtId="0" fontId="1" fillId="0" borderId="1" xfId="0" applyFont="1" applyBorder="1"/>
    <xf numFmtId="170" fontId="0" fillId="0" borderId="0" xfId="5" applyNumberFormat="1" applyFont="1"/>
    <xf numFmtId="0" fontId="0" fillId="4" borderId="0" xfId="0" applyFill="1"/>
    <xf numFmtId="3" fontId="0" fillId="4" borderId="0" xfId="0" applyNumberFormat="1" applyFill="1"/>
    <xf numFmtId="9" fontId="0" fillId="4" borderId="0" xfId="0" applyNumberFormat="1" applyFill="1"/>
    <xf numFmtId="0" fontId="3" fillId="4" borderId="1" xfId="0" applyFont="1" applyFill="1" applyBorder="1"/>
    <xf numFmtId="0" fontId="3" fillId="4" borderId="1" xfId="0" applyFont="1" applyFill="1" applyBorder="1" applyAlignment="1">
      <alignment horizontal="right"/>
    </xf>
    <xf numFmtId="0" fontId="0" fillId="4" borderId="1" xfId="0" applyFill="1" applyBorder="1"/>
    <xf numFmtId="3" fontId="0" fillId="4" borderId="1" xfId="0" applyNumberFormat="1" applyFill="1" applyBorder="1"/>
    <xf numFmtId="0" fontId="0" fillId="4" borderId="0" xfId="0" applyFill="1" applyAlignment="1">
      <alignment horizontal="left"/>
    </xf>
    <xf numFmtId="0" fontId="0" fillId="4" borderId="1" xfId="0" applyFill="1" applyBorder="1" applyAlignment="1">
      <alignment horizontal="left"/>
    </xf>
    <xf numFmtId="165" fontId="3" fillId="0" borderId="2" xfId="0" applyNumberFormat="1" applyFont="1" applyBorder="1"/>
    <xf numFmtId="3" fontId="3" fillId="0" borderId="2" xfId="0" applyNumberFormat="1" applyFont="1" applyBorder="1"/>
    <xf numFmtId="3" fontId="3" fillId="0" borderId="22" xfId="0" applyNumberFormat="1" applyFont="1" applyBorder="1"/>
    <xf numFmtId="3" fontId="3" fillId="0" borderId="3" xfId="0" applyNumberFormat="1" applyFont="1" applyBorder="1"/>
    <xf numFmtId="0" fontId="0" fillId="4" borderId="0" xfId="0" applyFill="1" applyAlignment="1">
      <alignment horizontal="right"/>
    </xf>
    <xf numFmtId="1" fontId="0" fillId="0" borderId="0" xfId="0" applyNumberFormat="1" applyAlignment="1">
      <alignment horizontal="right"/>
    </xf>
    <xf numFmtId="0" fontId="25" fillId="4" borderId="0" xfId="0" applyFont="1" applyFill="1"/>
    <xf numFmtId="3" fontId="25" fillId="4" borderId="0" xfId="0" applyNumberFormat="1" applyFont="1" applyFill="1"/>
    <xf numFmtId="1" fontId="0" fillId="4" borderId="0" xfId="0" applyNumberFormat="1" applyFill="1"/>
    <xf numFmtId="0" fontId="6" fillId="4" borderId="0" xfId="0" applyFont="1" applyFill="1"/>
    <xf numFmtId="17" fontId="3" fillId="0" borderId="1" xfId="0" quotePrefix="1" applyNumberFormat="1" applyFont="1" applyBorder="1"/>
    <xf numFmtId="164" fontId="13" fillId="2" borderId="0" xfId="0" applyNumberFormat="1" applyFont="1" applyFill="1"/>
    <xf numFmtId="165" fontId="3" fillId="0" borderId="3" xfId="0" applyNumberFormat="1" applyFont="1" applyBorder="1"/>
    <xf numFmtId="0" fontId="0" fillId="0" borderId="0" xfId="0" applyAlignment="1">
      <alignment horizontal="left" indent="1"/>
    </xf>
    <xf numFmtId="168" fontId="14" fillId="2" borderId="0" xfId="3" applyNumberFormat="1" applyFont="1" applyFill="1" applyAlignment="1">
      <alignment horizontal="right" vertical="center"/>
    </xf>
    <xf numFmtId="9" fontId="13" fillId="0" borderId="0" xfId="2" applyFont="1" applyFill="1" applyBorder="1" applyAlignment="1">
      <alignment horizontal="right" vertical="center"/>
    </xf>
    <xf numFmtId="9" fontId="0" fillId="0" borderId="0" xfId="2" applyFont="1" applyFill="1"/>
    <xf numFmtId="9" fontId="1" fillId="0" borderId="0" xfId="2" applyFont="1" applyFill="1"/>
    <xf numFmtId="173" fontId="13" fillId="0" borderId="0" xfId="3" applyNumberFormat="1" applyFont="1" applyAlignment="1">
      <alignment horizontal="right" vertical="center"/>
    </xf>
    <xf numFmtId="16" fontId="57" fillId="0" borderId="28" xfId="0" applyNumberFormat="1" applyFont="1" applyBorder="1" applyAlignment="1">
      <alignment horizontal="center"/>
    </xf>
    <xf numFmtId="0" fontId="35" fillId="7" borderId="0" xfId="0" applyFont="1" applyFill="1" applyAlignment="1">
      <alignment horizontal="left" vertical="center"/>
    </xf>
    <xf numFmtId="0" fontId="33" fillId="0" borderId="1" xfId="0" applyFont="1" applyBorder="1" applyAlignment="1">
      <alignment horizontal="left" vertical="center" indent="1"/>
    </xf>
    <xf numFmtId="166" fontId="36" fillId="7" borderId="0" xfId="3" applyNumberFormat="1" applyFont="1" applyFill="1" applyAlignment="1">
      <alignment horizontal="right" vertical="center"/>
    </xf>
    <xf numFmtId="166" fontId="37" fillId="0" borderId="1" xfId="3" applyNumberFormat="1" applyFont="1" applyBorder="1" applyAlignment="1">
      <alignment horizontal="right" vertical="center"/>
    </xf>
    <xf numFmtId="9" fontId="21" fillId="0" borderId="0" xfId="2" applyFont="1"/>
    <xf numFmtId="0" fontId="56" fillId="0" borderId="1" xfId="0" applyFont="1" applyBorder="1"/>
    <xf numFmtId="0" fontId="56" fillId="0" borderId="1" xfId="0" applyFont="1" applyBorder="1" applyAlignment="1">
      <alignment horizontal="right"/>
    </xf>
    <xf numFmtId="0" fontId="59" fillId="0" borderId="1" xfId="0" applyFont="1" applyBorder="1" applyAlignment="1">
      <alignment horizontal="right"/>
    </xf>
    <xf numFmtId="0" fontId="59" fillId="4" borderId="0" xfId="0" applyFont="1" applyFill="1"/>
    <xf numFmtId="3" fontId="59" fillId="4" borderId="0" xfId="0" applyNumberFormat="1" applyFont="1" applyFill="1"/>
    <xf numFmtId="0" fontId="59" fillId="0" borderId="0" xfId="0" applyFont="1"/>
    <xf numFmtId="165" fontId="59" fillId="4" borderId="0" xfId="0" applyNumberFormat="1" applyFont="1" applyFill="1"/>
    <xf numFmtId="3" fontId="59" fillId="0" borderId="0" xfId="0" applyNumberFormat="1" applyFont="1"/>
    <xf numFmtId="165" fontId="59" fillId="0" borderId="0" xfId="0" applyNumberFormat="1" applyFont="1"/>
    <xf numFmtId="172" fontId="59" fillId="0" borderId="0" xfId="0" applyNumberFormat="1" applyFont="1"/>
    <xf numFmtId="0" fontId="59" fillId="4" borderId="1" xfId="0" applyFont="1" applyFill="1" applyBorder="1"/>
    <xf numFmtId="3" fontId="59" fillId="4" borderId="1" xfId="0" applyNumberFormat="1" applyFont="1" applyFill="1" applyBorder="1"/>
    <xf numFmtId="164" fontId="59" fillId="4" borderId="0" xfId="0" applyNumberFormat="1" applyFont="1" applyFill="1"/>
    <xf numFmtId="0" fontId="60" fillId="4" borderId="0" xfId="0" applyFont="1" applyFill="1"/>
    <xf numFmtId="0" fontId="60" fillId="0" borderId="0" xfId="0" applyFont="1"/>
    <xf numFmtId="164" fontId="59" fillId="0" borderId="0" xfId="0" applyNumberFormat="1" applyFont="1"/>
    <xf numFmtId="0" fontId="59" fillId="0" borderId="0" xfId="0" quotePrefix="1" applyFont="1"/>
    <xf numFmtId="165" fontId="59" fillId="4" borderId="1" xfId="0" applyNumberFormat="1" applyFont="1" applyFill="1" applyBorder="1" applyAlignment="1">
      <alignment horizontal="right"/>
    </xf>
    <xf numFmtId="0" fontId="59" fillId="4" borderId="1" xfId="0" quotePrefix="1" applyFont="1" applyFill="1" applyBorder="1"/>
    <xf numFmtId="164" fontId="59" fillId="4" borderId="1" xfId="0" applyNumberFormat="1" applyFont="1" applyFill="1" applyBorder="1"/>
    <xf numFmtId="0" fontId="25" fillId="4" borderId="18" xfId="0" applyFont="1" applyFill="1" applyBorder="1"/>
    <xf numFmtId="2" fontId="25" fillId="4" borderId="0" xfId="0" applyNumberFormat="1" applyFont="1" applyFill="1"/>
    <xf numFmtId="3" fontId="28" fillId="4" borderId="0" xfId="5" applyNumberFormat="1" applyFont="1" applyFill="1" applyBorder="1"/>
    <xf numFmtId="9" fontId="25" fillId="4" borderId="19" xfId="0" applyNumberFormat="1" applyFont="1" applyFill="1" applyBorder="1"/>
    <xf numFmtId="0" fontId="25" fillId="4" borderId="19" xfId="0" applyFont="1" applyFill="1" applyBorder="1"/>
    <xf numFmtId="3" fontId="21" fillId="0" borderId="0" xfId="0" applyNumberFormat="1" applyFont="1" applyAlignment="1">
      <alignment horizontal="right"/>
    </xf>
    <xf numFmtId="0" fontId="21" fillId="4" borderId="0" xfId="0" applyFont="1" applyFill="1"/>
    <xf numFmtId="3" fontId="21" fillId="4" borderId="0" xfId="0" applyNumberFormat="1" applyFont="1" applyFill="1"/>
    <xf numFmtId="3" fontId="21" fillId="4" borderId="0" xfId="0" applyNumberFormat="1" applyFont="1" applyFill="1" applyAlignment="1">
      <alignment horizontal="right"/>
    </xf>
    <xf numFmtId="164" fontId="21" fillId="0" borderId="0" xfId="2" applyNumberFormat="1" applyFont="1"/>
    <xf numFmtId="168" fontId="13" fillId="2" borderId="1" xfId="3" applyNumberFormat="1" applyFont="1" applyFill="1" applyBorder="1" applyAlignment="1">
      <alignment horizontal="right" vertical="center"/>
    </xf>
    <xf numFmtId="168" fontId="15" fillId="2" borderId="0" xfId="3" applyNumberFormat="1" applyFont="1" applyFill="1" applyAlignment="1">
      <alignment horizontal="right" vertical="center"/>
    </xf>
    <xf numFmtId="10" fontId="15" fillId="2" borderId="0" xfId="3" applyNumberFormat="1" applyFont="1" applyFill="1" applyAlignment="1">
      <alignment horizontal="right" vertical="center"/>
    </xf>
    <xf numFmtId="1" fontId="3" fillId="2" borderId="0" xfId="0" applyNumberFormat="1" applyFont="1" applyFill="1"/>
    <xf numFmtId="165" fontId="3" fillId="2" borderId="0" xfId="0" applyNumberFormat="1" applyFont="1" applyFill="1"/>
    <xf numFmtId="164" fontId="21" fillId="0" borderId="0" xfId="0" applyNumberFormat="1" applyFont="1" applyAlignment="1">
      <alignment horizontal="right"/>
    </xf>
    <xf numFmtId="164" fontId="0" fillId="4" borderId="0" xfId="0" applyNumberFormat="1" applyFill="1"/>
    <xf numFmtId="1" fontId="4" fillId="0" borderId="0" xfId="0" applyNumberFormat="1" applyFont="1"/>
    <xf numFmtId="164" fontId="64" fillId="0" borderId="0" xfId="3" applyNumberFormat="1" applyFont="1" applyAlignment="1">
      <alignment horizontal="right" vertical="center"/>
    </xf>
    <xf numFmtId="10" fontId="64" fillId="0" borderId="0" xfId="3" applyNumberFormat="1" applyFont="1" applyAlignment="1">
      <alignment horizontal="right" vertical="center"/>
    </xf>
    <xf numFmtId="166" fontId="54" fillId="0" borderId="0" xfId="3" applyNumberFormat="1" applyFont="1" applyAlignment="1">
      <alignment horizontal="right" vertical="center"/>
    </xf>
    <xf numFmtId="10" fontId="54" fillId="4" borderId="0" xfId="3" applyNumberFormat="1" applyFont="1" applyFill="1" applyAlignment="1">
      <alignment horizontal="right" vertical="center"/>
    </xf>
    <xf numFmtId="0" fontId="61" fillId="4" borderId="0" xfId="0" applyFont="1" applyFill="1"/>
    <xf numFmtId="0" fontId="59" fillId="4" borderId="0" xfId="0" quotePrefix="1" applyFont="1" applyFill="1"/>
    <xf numFmtId="10" fontId="59" fillId="0" borderId="0" xfId="0" applyNumberFormat="1" applyFont="1"/>
    <xf numFmtId="10" fontId="59" fillId="4" borderId="0" xfId="0" applyNumberFormat="1" applyFont="1" applyFill="1"/>
    <xf numFmtId="164" fontId="3" fillId="0" borderId="1" xfId="0" applyNumberFormat="1" applyFont="1" applyBorder="1"/>
    <xf numFmtId="0" fontId="3" fillId="4" borderId="7" xfId="0" applyFont="1" applyFill="1" applyBorder="1"/>
    <xf numFmtId="1" fontId="3" fillId="4" borderId="8" xfId="0" applyNumberFormat="1" applyFont="1" applyFill="1" applyBorder="1"/>
    <xf numFmtId="1" fontId="3" fillId="4" borderId="9" xfId="0" applyNumberFormat="1" applyFont="1" applyFill="1" applyBorder="1"/>
    <xf numFmtId="0" fontId="3" fillId="4" borderId="10" xfId="0" applyFont="1" applyFill="1" applyBorder="1"/>
    <xf numFmtId="1" fontId="3" fillId="4" borderId="11" xfId="0" applyNumberFormat="1" applyFont="1" applyFill="1" applyBorder="1"/>
    <xf numFmtId="0" fontId="3" fillId="4" borderId="12" xfId="0" applyFont="1" applyFill="1" applyBorder="1"/>
    <xf numFmtId="164" fontId="3" fillId="4" borderId="13" xfId="0" applyNumberFormat="1" applyFont="1" applyFill="1" applyBorder="1"/>
    <xf numFmtId="164" fontId="3" fillId="4" borderId="14" xfId="0" applyNumberFormat="1" applyFont="1" applyFill="1" applyBorder="1"/>
    <xf numFmtId="1" fontId="3" fillId="4" borderId="0" xfId="0" applyNumberFormat="1" applyFont="1" applyFill="1"/>
    <xf numFmtId="164" fontId="3" fillId="4" borderId="0" xfId="0" applyNumberFormat="1" applyFont="1" applyFill="1" applyAlignment="1">
      <alignment horizontal="right"/>
    </xf>
    <xf numFmtId="164" fontId="3" fillId="4" borderId="1" xfId="0" applyNumberFormat="1" applyFont="1" applyFill="1" applyBorder="1"/>
    <xf numFmtId="16" fontId="6" fillId="0" borderId="0" xfId="0" applyNumberFormat="1" applyFont="1" applyAlignment="1">
      <alignment horizontal="left"/>
    </xf>
    <xf numFmtId="164" fontId="16" fillId="0" borderId="0" xfId="0" applyNumberFormat="1" applyFont="1"/>
    <xf numFmtId="1" fontId="13" fillId="0" borderId="0" xfId="3" applyNumberFormat="1" applyFont="1" applyAlignment="1">
      <alignment horizontal="right" vertical="center"/>
    </xf>
    <xf numFmtId="0" fontId="2" fillId="0" borderId="0" xfId="0" applyFont="1" applyAlignment="1">
      <alignment horizontal="left"/>
    </xf>
    <xf numFmtId="1" fontId="1" fillId="2" borderId="0" xfId="0" applyNumberFormat="1" applyFont="1" applyFill="1"/>
    <xf numFmtId="172" fontId="0" fillId="0" borderId="0" xfId="0" applyNumberFormat="1"/>
    <xf numFmtId="2" fontId="56" fillId="0" borderId="28" xfId="0" applyNumberFormat="1" applyFont="1" applyBorder="1" applyAlignment="1">
      <alignment horizontal="left" vertical="center"/>
    </xf>
    <xf numFmtId="1" fontId="58" fillId="10" borderId="0" xfId="2" applyNumberFormat="1" applyFont="1" applyFill="1" applyAlignment="1">
      <alignment horizontal="left"/>
    </xf>
    <xf numFmtId="1" fontId="58" fillId="0" borderId="0" xfId="2" applyNumberFormat="1" applyFont="1" applyFill="1" applyAlignment="1">
      <alignment horizontal="left"/>
    </xf>
    <xf numFmtId="1" fontId="58" fillId="0" borderId="1" xfId="2" applyNumberFormat="1" applyFont="1" applyFill="1" applyBorder="1" applyAlignment="1">
      <alignment horizontal="left"/>
    </xf>
    <xf numFmtId="3" fontId="58" fillId="10" borderId="0" xfId="2" applyNumberFormat="1" applyFont="1" applyFill="1" applyAlignment="1">
      <alignment horizontal="center"/>
    </xf>
    <xf numFmtId="3" fontId="58" fillId="0" borderId="0" xfId="2" applyNumberFormat="1" applyFont="1" applyFill="1" applyAlignment="1">
      <alignment horizontal="center"/>
    </xf>
    <xf numFmtId="3" fontId="58" fillId="0" borderId="1" xfId="2" applyNumberFormat="1" applyFont="1" applyFill="1" applyBorder="1" applyAlignment="1">
      <alignment horizontal="center"/>
    </xf>
    <xf numFmtId="172" fontId="59" fillId="4" borderId="0" xfId="0" applyNumberFormat="1" applyFont="1" applyFill="1"/>
    <xf numFmtId="1" fontId="14" fillId="0" borderId="0" xfId="0" applyNumberFormat="1" applyFont="1"/>
    <xf numFmtId="1" fontId="14" fillId="0" borderId="1" xfId="0" applyNumberFormat="1" applyFont="1" applyBorder="1"/>
    <xf numFmtId="164" fontId="20" fillId="0" borderId="0" xfId="0" applyNumberFormat="1" applyFont="1" applyAlignment="1">
      <alignment horizontal="right"/>
    </xf>
    <xf numFmtId="0" fontId="21" fillId="4" borderId="1" xfId="0" applyFont="1" applyFill="1" applyBorder="1"/>
    <xf numFmtId="164" fontId="21" fillId="4" borderId="1" xfId="0" applyNumberFormat="1" applyFont="1" applyFill="1" applyBorder="1"/>
    <xf numFmtId="10" fontId="13" fillId="11" borderId="0" xfId="3" applyNumberFormat="1" applyFont="1" applyFill="1" applyAlignment="1">
      <alignment horizontal="right" vertical="center"/>
    </xf>
    <xf numFmtId="1" fontId="21" fillId="0" borderId="1" xfId="0" applyNumberFormat="1" applyFont="1" applyBorder="1"/>
    <xf numFmtId="9" fontId="21" fillId="4" borderId="0" xfId="0" applyNumberFormat="1" applyFont="1" applyFill="1"/>
    <xf numFmtId="1" fontId="21" fillId="4" borderId="0" xfId="0" applyNumberFormat="1" applyFont="1" applyFill="1"/>
    <xf numFmtId="1" fontId="21" fillId="4" borderId="1" xfId="0" applyNumberFormat="1" applyFont="1" applyFill="1" applyBorder="1"/>
    <xf numFmtId="0" fontId="20" fillId="4" borderId="0" xfId="0" applyFont="1" applyFill="1"/>
    <xf numFmtId="1" fontId="20" fillId="4" borderId="0" xfId="0" applyNumberFormat="1" applyFont="1" applyFill="1"/>
    <xf numFmtId="0" fontId="20" fillId="4" borderId="7" xfId="0" applyFont="1" applyFill="1" applyBorder="1"/>
    <xf numFmtId="1" fontId="20" fillId="4" borderId="8" xfId="0" applyNumberFormat="1" applyFont="1" applyFill="1" applyBorder="1"/>
    <xf numFmtId="1" fontId="20" fillId="4" borderId="9" xfId="0" applyNumberFormat="1" applyFont="1" applyFill="1" applyBorder="1"/>
    <xf numFmtId="0" fontId="20" fillId="0" borderId="12" xfId="0" applyFont="1" applyBorder="1"/>
    <xf numFmtId="0" fontId="20" fillId="0" borderId="13" xfId="0" applyFont="1" applyBorder="1"/>
    <xf numFmtId="9" fontId="20" fillId="0" borderId="13" xfId="0" applyNumberFormat="1" applyFont="1" applyBorder="1"/>
    <xf numFmtId="9" fontId="20" fillId="0" borderId="14" xfId="0" applyNumberFormat="1" applyFont="1" applyBorder="1"/>
    <xf numFmtId="9" fontId="1" fillId="0" borderId="0" xfId="3" applyNumberFormat="1" applyFont="1" applyAlignment="1">
      <alignment horizontal="right" vertical="center"/>
    </xf>
    <xf numFmtId="168" fontId="13" fillId="0" borderId="16" xfId="3" applyNumberFormat="1" applyFont="1" applyBorder="1" applyAlignment="1">
      <alignment horizontal="right" vertical="center"/>
    </xf>
    <xf numFmtId="168" fontId="15" fillId="0" borderId="16" xfId="3" applyNumberFormat="1" applyFont="1" applyBorder="1" applyAlignment="1">
      <alignment horizontal="right" vertical="center"/>
    </xf>
    <xf numFmtId="1" fontId="3" fillId="0" borderId="16" xfId="0" applyNumberFormat="1" applyFont="1" applyBorder="1"/>
    <xf numFmtId="0" fontId="65" fillId="12" borderId="1" xfId="0" applyFont="1" applyFill="1" applyBorder="1" applyAlignment="1">
      <alignment vertical="center"/>
    </xf>
    <xf numFmtId="0" fontId="66" fillId="12" borderId="1" xfId="0" applyFont="1" applyFill="1" applyBorder="1"/>
    <xf numFmtId="0" fontId="65" fillId="12" borderId="1" xfId="0" applyFont="1" applyFill="1" applyBorder="1" applyAlignment="1">
      <alignment horizontal="right"/>
    </xf>
    <xf numFmtId="0" fontId="65" fillId="12" borderId="0" xfId="0" applyFont="1" applyFill="1" applyAlignment="1">
      <alignment horizontal="right"/>
    </xf>
    <xf numFmtId="1" fontId="16" fillId="0" borderId="0" xfId="0" applyNumberFormat="1" applyFont="1"/>
    <xf numFmtId="0" fontId="0" fillId="0" borderId="16" xfId="0" applyBorder="1"/>
    <xf numFmtId="168" fontId="1" fillId="0" borderId="16" xfId="3" applyNumberFormat="1" applyFont="1" applyBorder="1" applyAlignment="1">
      <alignment horizontal="right" vertical="center"/>
    </xf>
    <xf numFmtId="164" fontId="1" fillId="0" borderId="0" xfId="3" applyNumberFormat="1" applyFont="1" applyAlignment="1">
      <alignment horizontal="right" vertical="center"/>
    </xf>
    <xf numFmtId="1" fontId="3" fillId="2" borderId="16" xfId="0" applyNumberFormat="1" applyFont="1" applyFill="1" applyBorder="1"/>
    <xf numFmtId="168" fontId="8" fillId="0" borderId="16" xfId="3" applyNumberFormat="1" applyFont="1" applyBorder="1" applyAlignment="1">
      <alignment horizontal="right" vertical="center"/>
    </xf>
    <xf numFmtId="0" fontId="67" fillId="13" borderId="0" xfId="0" applyFont="1" applyFill="1" applyAlignment="1">
      <alignment horizontal="right" vertical="center" wrapText="1"/>
    </xf>
    <xf numFmtId="0" fontId="67" fillId="14" borderId="0" xfId="0" applyFont="1" applyFill="1" applyAlignment="1">
      <alignment horizontal="right" vertical="center" wrapText="1"/>
    </xf>
    <xf numFmtId="17" fontId="0" fillId="0" borderId="0" xfId="0" applyNumberFormat="1"/>
    <xf numFmtId="0" fontId="13" fillId="0" borderId="0" xfId="0" applyFont="1"/>
    <xf numFmtId="0" fontId="9" fillId="0" borderId="0" xfId="0" applyFont="1"/>
    <xf numFmtId="164" fontId="4" fillId="0" borderId="0" xfId="0" applyNumberFormat="1" applyFont="1"/>
    <xf numFmtId="168" fontId="15" fillId="2" borderId="16" xfId="3" applyNumberFormat="1" applyFont="1" applyFill="1" applyBorder="1" applyAlignment="1">
      <alignment horizontal="right" vertical="center"/>
    </xf>
    <xf numFmtId="10" fontId="0" fillId="4" borderId="0" xfId="0" applyNumberFormat="1" applyFill="1"/>
    <xf numFmtId="180" fontId="0" fillId="4" borderId="0" xfId="0" applyNumberFormat="1" applyFill="1"/>
    <xf numFmtId="3" fontId="0" fillId="0" borderId="0" xfId="0" applyNumberFormat="1" applyAlignment="1">
      <alignment horizontal="right"/>
    </xf>
    <xf numFmtId="0" fontId="68" fillId="0" borderId="1" xfId="0" applyFont="1" applyBorder="1"/>
    <xf numFmtId="0" fontId="69" fillId="4" borderId="0" xfId="0" applyFont="1" applyFill="1"/>
    <xf numFmtId="1" fontId="69" fillId="4" borderId="0" xfId="0" applyNumberFormat="1" applyFont="1" applyFill="1"/>
    <xf numFmtId="0" fontId="69" fillId="0" borderId="0" xfId="0" applyFont="1"/>
    <xf numFmtId="3" fontId="69" fillId="0" borderId="0" xfId="0" applyNumberFormat="1" applyFont="1"/>
    <xf numFmtId="3" fontId="69" fillId="4" borderId="0" xfId="0" applyNumberFormat="1" applyFont="1" applyFill="1"/>
    <xf numFmtId="0" fontId="68" fillId="4" borderId="0" xfId="0" applyFont="1" applyFill="1"/>
    <xf numFmtId="0" fontId="68" fillId="0" borderId="0" xfId="0" applyFont="1"/>
    <xf numFmtId="164" fontId="69" fillId="4" borderId="0" xfId="0" applyNumberFormat="1" applyFont="1" applyFill="1"/>
    <xf numFmtId="164" fontId="69" fillId="0" borderId="0" xfId="0" applyNumberFormat="1" applyFont="1"/>
    <xf numFmtId="165" fontId="16" fillId="0" borderId="0" xfId="0" applyNumberFormat="1" applyFont="1"/>
    <xf numFmtId="164" fontId="62" fillId="0" borderId="11" xfId="0" applyNumberFormat="1" applyFont="1" applyBorder="1"/>
    <xf numFmtId="164" fontId="62" fillId="4" borderId="11" xfId="0" applyNumberFormat="1" applyFont="1" applyFill="1" applyBorder="1"/>
    <xf numFmtId="0" fontId="21" fillId="0" borderId="9" xfId="0" applyFont="1" applyBorder="1"/>
    <xf numFmtId="164" fontId="62" fillId="10" borderId="11" xfId="0" applyNumberFormat="1" applyFont="1" applyFill="1" applyBorder="1"/>
    <xf numFmtId="164" fontId="62" fillId="0" borderId="30" xfId="0" applyNumberFormat="1" applyFont="1" applyBorder="1"/>
    <xf numFmtId="164" fontId="62" fillId="10" borderId="31" xfId="0" applyNumberFormat="1" applyFont="1" applyFill="1" applyBorder="1"/>
    <xf numFmtId="164" fontId="62" fillId="4" borderId="14" xfId="0" applyNumberFormat="1" applyFont="1" applyFill="1" applyBorder="1"/>
    <xf numFmtId="168" fontId="16" fillId="0" borderId="0" xfId="3" applyNumberFormat="1" applyFont="1" applyAlignment="1">
      <alignment horizontal="left" vertical="center"/>
    </xf>
    <xf numFmtId="0" fontId="3" fillId="4" borderId="0" xfId="0" applyFont="1" applyFill="1"/>
    <xf numFmtId="165" fontId="0" fillId="0" borderId="0" xfId="0" applyNumberFormat="1" applyAlignment="1">
      <alignment horizontal="left"/>
    </xf>
    <xf numFmtId="168" fontId="15" fillId="0" borderId="0" xfId="3" applyNumberFormat="1" applyFont="1" applyAlignment="1">
      <alignment horizontal="left" vertical="center"/>
    </xf>
    <xf numFmtId="9" fontId="15" fillId="0" borderId="0" xfId="3" applyNumberFormat="1" applyFont="1" applyAlignment="1">
      <alignment horizontal="left" vertical="center"/>
    </xf>
    <xf numFmtId="10" fontId="3" fillId="0" borderId="1" xfId="0" applyNumberFormat="1" applyFont="1" applyBorder="1"/>
    <xf numFmtId="3" fontId="0" fillId="4" borderId="27" xfId="0" applyNumberFormat="1" applyFill="1" applyBorder="1"/>
    <xf numFmtId="10" fontId="0" fillId="0" borderId="27" xfId="0" applyNumberFormat="1" applyBorder="1"/>
    <xf numFmtId="10" fontId="3" fillId="4" borderId="1" xfId="0" applyNumberFormat="1" applyFont="1" applyFill="1" applyBorder="1"/>
    <xf numFmtId="0" fontId="63" fillId="0" borderId="31" xfId="0" applyFont="1" applyBorder="1" applyAlignment="1">
      <alignment horizontal="right"/>
    </xf>
    <xf numFmtId="1" fontId="10" fillId="0" borderId="0" xfId="0" applyNumberFormat="1" applyFont="1"/>
    <xf numFmtId="165" fontId="0" fillId="0" borderId="0" xfId="0" applyNumberFormat="1" applyAlignment="1">
      <alignment horizontal="right"/>
    </xf>
    <xf numFmtId="9" fontId="0" fillId="0" borderId="1" xfId="0" applyNumberFormat="1" applyBorder="1" applyAlignment="1">
      <alignment horizontal="right"/>
    </xf>
    <xf numFmtId="9" fontId="0" fillId="0" borderId="22" xfId="0" applyNumberFormat="1" applyBorder="1"/>
    <xf numFmtId="9" fontId="0" fillId="0" borderId="3" xfId="0" applyNumberFormat="1" applyBorder="1"/>
    <xf numFmtId="1" fontId="0" fillId="0" borderId="22" xfId="0" applyNumberFormat="1" applyBorder="1"/>
    <xf numFmtId="1" fontId="0" fillId="0" borderId="3" xfId="0" applyNumberFormat="1" applyBorder="1"/>
    <xf numFmtId="164" fontId="0" fillId="2" borderId="0" xfId="0" applyNumberFormat="1" applyFill="1" applyAlignment="1">
      <alignment horizontal="right"/>
    </xf>
    <xf numFmtId="9" fontId="3" fillId="0" borderId="0" xfId="3" applyNumberFormat="1" applyFont="1" applyAlignment="1">
      <alignment horizontal="right" vertical="center"/>
    </xf>
    <xf numFmtId="1" fontId="0" fillId="15" borderId="0" xfId="0" applyNumberFormat="1" applyFill="1"/>
    <xf numFmtId="1" fontId="0" fillId="15" borderId="1" xfId="0" applyNumberFormat="1" applyFill="1" applyBorder="1"/>
    <xf numFmtId="9" fontId="13" fillId="0" borderId="0" xfId="0" applyNumberFormat="1" applyFont="1"/>
    <xf numFmtId="168" fontId="70" fillId="0" borderId="0" xfId="3" applyNumberFormat="1" applyFont="1" applyAlignment="1">
      <alignment horizontal="right" vertical="center"/>
    </xf>
    <xf numFmtId="9" fontId="70" fillId="0" borderId="0" xfId="2" applyFont="1" applyFill="1" applyBorder="1" applyAlignment="1">
      <alignment horizontal="right" vertical="center"/>
    </xf>
    <xf numFmtId="1" fontId="0" fillId="0" borderId="16" xfId="0" applyNumberFormat="1" applyBorder="1"/>
    <xf numFmtId="168" fontId="10" fillId="0" borderId="16" xfId="3" applyNumberFormat="1" applyFont="1" applyBorder="1" applyAlignment="1">
      <alignment horizontal="right" vertical="center"/>
    </xf>
    <xf numFmtId="168" fontId="13" fillId="2" borderId="16" xfId="3" applyNumberFormat="1" applyFont="1" applyFill="1" applyBorder="1" applyAlignment="1">
      <alignment horizontal="right" vertical="center"/>
    </xf>
    <xf numFmtId="9" fontId="8" fillId="0" borderId="0" xfId="3" applyNumberFormat="1" applyFont="1" applyAlignment="1">
      <alignment horizontal="right" vertical="center"/>
    </xf>
    <xf numFmtId="9" fontId="70" fillId="0" borderId="0" xfId="3" applyNumberFormat="1" applyFont="1" applyAlignment="1">
      <alignment horizontal="right" vertical="center"/>
    </xf>
    <xf numFmtId="165" fontId="69" fillId="0" borderId="0" xfId="0" applyNumberFormat="1" applyFont="1"/>
    <xf numFmtId="9" fontId="69" fillId="0" borderId="0" xfId="0" applyNumberFormat="1" applyFont="1"/>
    <xf numFmtId="165" fontId="69" fillId="2" borderId="0" xfId="0" applyNumberFormat="1" applyFont="1" applyFill="1"/>
    <xf numFmtId="0" fontId="69" fillId="2" borderId="0" xfId="0" applyFont="1" applyFill="1"/>
    <xf numFmtId="17" fontId="68" fillId="16" borderId="16" xfId="0" applyNumberFormat="1" applyFont="1" applyFill="1" applyBorder="1" applyAlignment="1">
      <alignment horizontal="right"/>
    </xf>
    <xf numFmtId="165" fontId="1" fillId="0" borderId="1" xfId="0" applyNumberFormat="1" applyFont="1" applyBorder="1"/>
    <xf numFmtId="0" fontId="69" fillId="0" borderId="1" xfId="0" applyFont="1" applyBorder="1"/>
    <xf numFmtId="164" fontId="69" fillId="0" borderId="1" xfId="0" applyNumberFormat="1" applyFont="1" applyBorder="1"/>
    <xf numFmtId="0" fontId="68" fillId="0" borderId="7" xfId="0" applyFont="1" applyBorder="1" applyAlignment="1">
      <alignment horizontal="right"/>
    </xf>
    <xf numFmtId="0" fontId="68" fillId="0" borderId="9" xfId="0" applyFont="1" applyBorder="1" applyAlignment="1">
      <alignment horizontal="right"/>
    </xf>
    <xf numFmtId="0" fontId="68" fillId="0" borderId="0" xfId="0" applyFont="1" applyAlignment="1">
      <alignment horizontal="right"/>
    </xf>
    <xf numFmtId="0" fontId="68" fillId="0" borderId="32" xfId="0" applyFont="1" applyBorder="1" applyAlignment="1">
      <alignment horizontal="right"/>
    </xf>
    <xf numFmtId="0" fontId="68" fillId="0" borderId="11" xfId="0" applyFont="1" applyBorder="1" applyAlignment="1">
      <alignment horizontal="right"/>
    </xf>
    <xf numFmtId="0" fontId="69" fillId="10" borderId="29" xfId="0" applyFont="1" applyFill="1" applyBorder="1"/>
    <xf numFmtId="3" fontId="69" fillId="10" borderId="29" xfId="0" applyNumberFormat="1" applyFont="1" applyFill="1" applyBorder="1"/>
    <xf numFmtId="3" fontId="69" fillId="10" borderId="33" xfId="0" applyNumberFormat="1" applyFont="1" applyFill="1" applyBorder="1"/>
    <xf numFmtId="3" fontId="69" fillId="10" borderId="30" xfId="0" applyNumberFormat="1" applyFont="1" applyFill="1" applyBorder="1"/>
    <xf numFmtId="164" fontId="69" fillId="10" borderId="29" xfId="0" applyNumberFormat="1" applyFont="1" applyFill="1" applyBorder="1"/>
    <xf numFmtId="3" fontId="69" fillId="0" borderId="10" xfId="0" applyNumberFormat="1" applyFont="1" applyBorder="1"/>
    <xf numFmtId="3" fontId="69" fillId="0" borderId="11" xfId="0" applyNumberFormat="1" applyFont="1" applyBorder="1"/>
    <xf numFmtId="0" fontId="69" fillId="10" borderId="0" xfId="0" applyFont="1" applyFill="1"/>
    <xf numFmtId="3" fontId="69" fillId="10" borderId="0" xfId="0" applyNumberFormat="1" applyFont="1" applyFill="1"/>
    <xf numFmtId="3" fontId="69" fillId="10" borderId="10" xfId="0" applyNumberFormat="1" applyFont="1" applyFill="1" applyBorder="1"/>
    <xf numFmtId="3" fontId="69" fillId="10" borderId="11" xfId="0" applyNumberFormat="1" applyFont="1" applyFill="1" applyBorder="1"/>
    <xf numFmtId="164" fontId="69" fillId="10" borderId="0" xfId="0" applyNumberFormat="1" applyFont="1" applyFill="1"/>
    <xf numFmtId="0" fontId="69" fillId="0" borderId="29" xfId="0" applyFont="1" applyBorder="1"/>
    <xf numFmtId="3" fontId="69" fillId="0" borderId="29" xfId="0" applyNumberFormat="1" applyFont="1" applyBorder="1"/>
    <xf numFmtId="3" fontId="69" fillId="0" borderId="33" xfId="0" applyNumberFormat="1" applyFont="1" applyBorder="1"/>
    <xf numFmtId="3" fontId="69" fillId="0" borderId="30" xfId="0" applyNumberFormat="1" applyFont="1" applyBorder="1"/>
    <xf numFmtId="164" fontId="69" fillId="0" borderId="29" xfId="0" applyNumberFormat="1" applyFont="1" applyBorder="1"/>
    <xf numFmtId="0" fontId="71" fillId="0" borderId="0" xfId="0" applyFont="1"/>
    <xf numFmtId="0" fontId="69" fillId="10" borderId="1" xfId="0" applyFont="1" applyFill="1" applyBorder="1"/>
    <xf numFmtId="3" fontId="69" fillId="10" borderId="1" xfId="0" applyNumberFormat="1" applyFont="1" applyFill="1" applyBorder="1"/>
    <xf numFmtId="3" fontId="69" fillId="10" borderId="32" xfId="0" applyNumberFormat="1" applyFont="1" applyFill="1" applyBorder="1"/>
    <xf numFmtId="3" fontId="69" fillId="10" borderId="31" xfId="0" applyNumberFormat="1" applyFont="1" applyFill="1" applyBorder="1"/>
    <xf numFmtId="164" fontId="69" fillId="10" borderId="1" xfId="0" applyNumberFormat="1" applyFont="1" applyFill="1" applyBorder="1"/>
    <xf numFmtId="164" fontId="69" fillId="0" borderId="10" xfId="0" applyNumberFormat="1" applyFont="1" applyBorder="1"/>
    <xf numFmtId="164" fontId="69" fillId="0" borderId="11" xfId="0" applyNumberFormat="1" applyFont="1" applyBorder="1"/>
    <xf numFmtId="164" fontId="69" fillId="4" borderId="10" xfId="0" applyNumberFormat="1" applyFont="1" applyFill="1" applyBorder="1"/>
    <xf numFmtId="164" fontId="69" fillId="4" borderId="11" xfId="0" applyNumberFormat="1" applyFont="1" applyFill="1" applyBorder="1"/>
    <xf numFmtId="3" fontId="69" fillId="4" borderId="10" xfId="0" applyNumberFormat="1" applyFont="1" applyFill="1" applyBorder="1"/>
    <xf numFmtId="3" fontId="69" fillId="4" borderId="11" xfId="0" applyNumberFormat="1" applyFont="1" applyFill="1" applyBorder="1"/>
    <xf numFmtId="0" fontId="69" fillId="4" borderId="1" xfId="0" applyFont="1" applyFill="1" applyBorder="1"/>
    <xf numFmtId="3" fontId="69" fillId="4" borderId="1" xfId="0" applyNumberFormat="1" applyFont="1" applyFill="1" applyBorder="1"/>
    <xf numFmtId="3" fontId="69" fillId="4" borderId="12" xfId="0" applyNumberFormat="1" applyFont="1" applyFill="1" applyBorder="1"/>
    <xf numFmtId="3" fontId="69" fillId="4" borderId="14" xfId="0" applyNumberFormat="1" applyFont="1" applyFill="1" applyBorder="1"/>
    <xf numFmtId="164" fontId="69" fillId="4" borderId="1" xfId="0" applyNumberFormat="1" applyFont="1" applyFill="1" applyBorder="1"/>
    <xf numFmtId="9" fontId="0" fillId="4" borderId="0" xfId="0" applyNumberFormat="1" applyFill="1" applyAlignment="1">
      <alignment horizontal="right"/>
    </xf>
    <xf numFmtId="9" fontId="3" fillId="4" borderId="0" xfId="0" applyNumberFormat="1" applyFont="1" applyFill="1"/>
    <xf numFmtId="9" fontId="3" fillId="4" borderId="1" xfId="0" applyNumberFormat="1" applyFont="1" applyFill="1" applyBorder="1"/>
    <xf numFmtId="9" fontId="69" fillId="0" borderId="1" xfId="0" applyNumberFormat="1" applyFont="1" applyBorder="1"/>
    <xf numFmtId="17" fontId="68" fillId="0" borderId="0" xfId="0" applyNumberFormat="1" applyFont="1"/>
    <xf numFmtId="10" fontId="69" fillId="4" borderId="0" xfId="0" applyNumberFormat="1" applyFont="1" applyFill="1"/>
    <xf numFmtId="9" fontId="69" fillId="4" borderId="0" xfId="0" applyNumberFormat="1" applyFont="1" applyFill="1"/>
    <xf numFmtId="9" fontId="69" fillId="4" borderId="1" xfId="0" applyNumberFormat="1" applyFont="1" applyFill="1" applyBorder="1"/>
    <xf numFmtId="0" fontId="72" fillId="0" borderId="0" xfId="0" applyFont="1"/>
    <xf numFmtId="0" fontId="68" fillId="0" borderId="34" xfId="0" applyFont="1" applyBorder="1" applyAlignment="1">
      <alignment horizontal="right"/>
    </xf>
    <xf numFmtId="0" fontId="68" fillId="0" borderId="1" xfId="0" applyFont="1" applyBorder="1" applyAlignment="1">
      <alignment horizontal="right"/>
    </xf>
    <xf numFmtId="0" fontId="68" fillId="0" borderId="35" xfId="0" applyFont="1" applyBorder="1" applyAlignment="1">
      <alignment horizontal="right"/>
    </xf>
    <xf numFmtId="0" fontId="69" fillId="4" borderId="0" xfId="0" applyFont="1" applyFill="1" applyAlignment="1">
      <alignment horizontal="right"/>
    </xf>
    <xf numFmtId="9" fontId="69" fillId="4" borderId="36" xfId="0" applyNumberFormat="1" applyFont="1" applyFill="1" applyBorder="1"/>
    <xf numFmtId="164" fontId="69" fillId="0" borderId="0" xfId="0" applyNumberFormat="1" applyFont="1" applyAlignment="1">
      <alignment horizontal="right"/>
    </xf>
    <xf numFmtId="0" fontId="69" fillId="0" borderId="36" xfId="0" applyFont="1" applyBorder="1"/>
    <xf numFmtId="2" fontId="69" fillId="4" borderId="0" xfId="0" applyNumberFormat="1" applyFont="1" applyFill="1"/>
    <xf numFmtId="4" fontId="69" fillId="4" borderId="0" xfId="0" applyNumberFormat="1" applyFont="1" applyFill="1"/>
    <xf numFmtId="9" fontId="69" fillId="4" borderId="37" xfId="0" applyNumberFormat="1" applyFont="1" applyFill="1" applyBorder="1"/>
    <xf numFmtId="9" fontId="73" fillId="0" borderId="0" xfId="0" applyNumberFormat="1" applyFont="1"/>
    <xf numFmtId="164" fontId="0" fillId="0" borderId="27" xfId="0" applyNumberFormat="1" applyBorder="1"/>
    <xf numFmtId="10" fontId="73" fillId="0" borderId="0" xfId="0" applyNumberFormat="1" applyFont="1"/>
    <xf numFmtId="0" fontId="0" fillId="0" borderId="26" xfId="0" applyBorder="1" applyAlignment="1">
      <alignment horizontal="right" vertical="center" wrapText="1"/>
    </xf>
    <xf numFmtId="0" fontId="0" fillId="0" borderId="24" xfId="0" applyBorder="1" applyAlignment="1">
      <alignment horizontal="right" vertic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</cellXfs>
  <cellStyles count="10">
    <cellStyle name="%" xfId="7" xr:uid="{81824A4A-B00E-4E0B-A74C-6394B9388C71}"/>
    <cellStyle name="Comma" xfId="5" builtinId="3"/>
    <cellStyle name="Comma 10 2" xfId="6" xr:uid="{BFD91F7C-B36D-4E35-97FD-2CF925A85E79}"/>
    <cellStyle name="Comma 3" xfId="9" xr:uid="{67CD003E-B005-46E9-867A-329118C24DB2}"/>
    <cellStyle name="Currency 2" xfId="4" xr:uid="{A1B7ACAC-E06C-4396-B2DC-BF3C3C4B86A0}"/>
    <cellStyle name="Hyperlink" xfId="1" builtinId="8"/>
    <cellStyle name="Normal" xfId="0" builtinId="0"/>
    <cellStyle name="Normal 2 2 3" xfId="3" xr:uid="{1462831D-1BF1-4033-88C8-8AA83603D0F3}"/>
    <cellStyle name="Normal 4" xfId="8" xr:uid="{16CF871F-DF25-4AA3-A628-259638752E11}"/>
    <cellStyle name="Percent" xfId="2" builtinId="5"/>
  </cellStyles>
  <dxfs count="0"/>
  <tableStyles count="0" defaultTableStyle="TableStyleMedium2" defaultPivotStyle="PivotStyleLight16"/>
  <colors>
    <mruColors>
      <color rgb="FF799098"/>
      <color rgb="FF00C994"/>
      <color rgb="FFF8F8F8"/>
      <color rgb="FFF9663E"/>
      <color rgb="FFC7FE02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val>
            <c:numRef>
              <c:f>Quarts!$M$401:$Q$401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Quarts!$M$379:$Q$379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792-4CCB-9CEF-5601BA14C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4595760"/>
        <c:axId val="654587232"/>
      </c:barChart>
      <c:catAx>
        <c:axId val="65459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54587232"/>
        <c:crosses val="autoZero"/>
        <c:auto val="1"/>
        <c:lblAlgn val="ctr"/>
        <c:lblOffset val="100"/>
        <c:noMultiLvlLbl val="0"/>
      </c:catAx>
      <c:valAx>
        <c:axId val="6545872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US"/>
                  <a:t>Share of TPV from debit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545957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Quarts!$W$4:$AH$4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Quarts!$W$341:$AH$341</c:f>
              <c:numCache>
                <c:formatCode>0%</c:formatCode>
                <c:ptCount val="12"/>
                <c:pt idx="0">
                  <c:v>-0.22965478997551786</c:v>
                </c:pt>
                <c:pt idx="1">
                  <c:v>-0.19344858392060327</c:v>
                </c:pt>
                <c:pt idx="2">
                  <c:v>-0.16574030592814543</c:v>
                </c:pt>
                <c:pt idx="3">
                  <c:v>3.2102717340667199E-2</c:v>
                </c:pt>
                <c:pt idx="4">
                  <c:v>0.20836679719032455</c:v>
                </c:pt>
                <c:pt idx="5">
                  <c:v>-2.8806584362139915E-3</c:v>
                </c:pt>
                <c:pt idx="6">
                  <c:v>7.6923076923076927E-3</c:v>
                </c:pt>
                <c:pt idx="7">
                  <c:v>0.20996441281138789</c:v>
                </c:pt>
                <c:pt idx="8">
                  <c:v>0.10556781216734118</c:v>
                </c:pt>
                <c:pt idx="9">
                  <c:v>0.11837382339479853</c:v>
                </c:pt>
                <c:pt idx="10">
                  <c:v>0.18435898154038219</c:v>
                </c:pt>
                <c:pt idx="11">
                  <c:v>0.24149159080723293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8-4CE4-9E87-E5CA01AA3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8734416"/>
        <c:axId val="678750256"/>
      </c:barChart>
      <c:catAx>
        <c:axId val="67873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678750256"/>
        <c:crosses val="autoZero"/>
        <c:auto val="1"/>
        <c:lblAlgn val="ctr"/>
        <c:lblOffset val="100"/>
        <c:noMultiLvlLbl val="0"/>
      </c:catAx>
      <c:valAx>
        <c:axId val="6787502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678734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'Earnings snaps'!$B$247</c:f>
              <c:strCache>
                <c:ptCount val="1"/>
                <c:pt idx="0">
                  <c:v>EBITDA (Old)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snaps'!$C$243:$I$243</c:f>
              <c:strCache>
                <c:ptCount val="7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</c:strCache>
            </c:strRef>
          </c:cat>
          <c:val>
            <c:numRef>
              <c:f>'Earnings snaps'!$C$247:$I$247</c:f>
              <c:numCache>
                <c:formatCode>0</c:formatCode>
                <c:ptCount val="7"/>
                <c:pt idx="0">
                  <c:v>-76.37532595368063</c:v>
                </c:pt>
                <c:pt idx="1">
                  <c:v>-66.500363314964247</c:v>
                </c:pt>
                <c:pt idx="2">
                  <c:v>-62.279519015963544</c:v>
                </c:pt>
                <c:pt idx="3">
                  <c:v>11.614551315863878</c:v>
                </c:pt>
                <c:pt idx="4">
                  <c:v>68.885493601362384</c:v>
                </c:pt>
                <c:pt idx="5">
                  <c:v>-0.7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B-478E-A611-A9E791E1DDD2}"/>
            </c:ext>
          </c:extLst>
        </c:ser>
        <c:ser>
          <c:idx val="1"/>
          <c:order val="1"/>
          <c:tx>
            <c:strRef>
              <c:f>'Earnings snaps'!$B$248</c:f>
              <c:strCache>
                <c:ptCount val="1"/>
                <c:pt idx="0">
                  <c:v>EBITDA (New)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snaps'!$C$243:$I$243</c:f>
              <c:strCache>
                <c:ptCount val="7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</c:strCache>
            </c:strRef>
          </c:cat>
          <c:val>
            <c:numRef>
              <c:f>'Earnings snaps'!$C$248:$I$248</c:f>
              <c:numCache>
                <c:formatCode>0</c:formatCode>
                <c:ptCount val="7"/>
                <c:pt idx="0">
                  <c:v>-104.37100101976003</c:v>
                </c:pt>
                <c:pt idx="1">
                  <c:v>-95.783634161961672</c:v>
                </c:pt>
                <c:pt idx="2">
                  <c:v>-98.621744390384976</c:v>
                </c:pt>
                <c:pt idx="3">
                  <c:v>-21</c:v>
                </c:pt>
                <c:pt idx="4">
                  <c:v>36.1</c:v>
                </c:pt>
                <c:pt idx="5">
                  <c:v>-34.6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B-478E-A611-A9E791E1D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091505904"/>
        <c:axId val="2091503024"/>
      </c:barChart>
      <c:catAx>
        <c:axId val="209150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2091503024"/>
        <c:crosses val="autoZero"/>
        <c:auto val="1"/>
        <c:lblAlgn val="ctr"/>
        <c:lblOffset val="100"/>
        <c:noMultiLvlLbl val="0"/>
      </c:catAx>
      <c:valAx>
        <c:axId val="209150302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20915059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'Earnings snaps'!$B$250</c:f>
              <c:strCache>
                <c:ptCount val="1"/>
                <c:pt idx="0">
                  <c:v>ECL as Fin Service revenue</c:v>
                </c:pt>
              </c:strCache>
            </c:strRef>
          </c:tx>
          <c:spPr>
            <a:ln w="25400" cap="rnd">
              <a:solidFill>
                <a:srgbClr val="263238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snaps'!$C$243:$J$243</c:f>
              <c:strCache>
                <c:ptCount val="8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</c:strCache>
            </c:strRef>
          </c:cat>
          <c:val>
            <c:numRef>
              <c:f>'Earnings snaps'!$C$250:$J$250</c:f>
              <c:numCache>
                <c:formatCode>0%</c:formatCode>
                <c:ptCount val="8"/>
                <c:pt idx="0">
                  <c:v>0.48411474156564993</c:v>
                </c:pt>
                <c:pt idx="1">
                  <c:v>0.45641980440598123</c:v>
                </c:pt>
                <c:pt idx="2">
                  <c:v>0.39146736177877306</c:v>
                </c:pt>
                <c:pt idx="3">
                  <c:v>0.22941269678114923</c:v>
                </c:pt>
                <c:pt idx="4">
                  <c:v>0.11796830748501655</c:v>
                </c:pt>
                <c:pt idx="5">
                  <c:v>2.4691358024691357E-2</c:v>
                </c:pt>
                <c:pt idx="6">
                  <c:v>0.13076923076923078</c:v>
                </c:pt>
                <c:pt idx="7">
                  <c:v>0.11466982997232107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E-4DA4-BD31-23F416451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2385136"/>
        <c:axId val="2042369296"/>
      </c:lineChart>
      <c:catAx>
        <c:axId val="204238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2042369296"/>
        <c:crosses val="autoZero"/>
        <c:auto val="1"/>
        <c:lblAlgn val="ctr"/>
        <c:lblOffset val="100"/>
        <c:noMultiLvlLbl val="0"/>
      </c:catAx>
      <c:valAx>
        <c:axId val="20423692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04238513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38910761154855"/>
          <c:y val="3.7037037037037035E-2"/>
          <c:w val="0.82561089238845142"/>
          <c:h val="0.5824919801691455"/>
        </c:manualLayout>
      </c:layout>
      <c:lineChart>
        <c:grouping val="standard"/>
        <c:varyColors val="0"/>
        <c:ser>
          <c:idx val="0"/>
          <c:order val="0"/>
          <c:tx>
            <c:strRef>
              <c:f>'CB data'!$B$32</c:f>
              <c:strCache>
                <c:ptCount val="1"/>
                <c:pt idx="0">
                  <c:v> - Revolving credit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'CB data'!$D$30:$AL$30</c:f>
              <c:numCache>
                <c:formatCode>mmm\-yy</c:formatCode>
                <c:ptCount val="35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</c:numCache>
            </c:numRef>
          </c:cat>
          <c:val>
            <c:numRef>
              <c:f>'CB data'!$C$32:$AL$32</c:f>
              <c:numCache>
                <c:formatCode>0</c:formatCode>
                <c:ptCount val="36"/>
                <c:pt idx="0">
                  <c:v>287.10000000000002</c:v>
                </c:pt>
                <c:pt idx="1">
                  <c:v>295.60000000000002</c:v>
                </c:pt>
                <c:pt idx="2">
                  <c:v>299.5</c:v>
                </c:pt>
                <c:pt idx="3">
                  <c:v>298.7</c:v>
                </c:pt>
                <c:pt idx="4">
                  <c:v>299.89999999999998</c:v>
                </c:pt>
                <c:pt idx="5">
                  <c:v>300.2</c:v>
                </c:pt>
                <c:pt idx="6">
                  <c:v>300.39999999999998</c:v>
                </c:pt>
                <c:pt idx="7">
                  <c:v>307.3</c:v>
                </c:pt>
                <c:pt idx="8">
                  <c:v>307.89999999999998</c:v>
                </c:pt>
                <c:pt idx="9">
                  <c:v>317.2</c:v>
                </c:pt>
                <c:pt idx="10">
                  <c:v>317.10000000000002</c:v>
                </c:pt>
                <c:pt idx="11">
                  <c:v>318.7</c:v>
                </c:pt>
                <c:pt idx="12">
                  <c:v>316.7</c:v>
                </c:pt>
                <c:pt idx="13">
                  <c:v>322.8</c:v>
                </c:pt>
                <c:pt idx="14">
                  <c:v>328.9</c:v>
                </c:pt>
                <c:pt idx="15">
                  <c:v>315.3</c:v>
                </c:pt>
                <c:pt idx="16">
                  <c:v>298.60000000000002</c:v>
                </c:pt>
                <c:pt idx="17">
                  <c:v>264.39999999999998</c:v>
                </c:pt>
                <c:pt idx="18">
                  <c:v>312</c:v>
                </c:pt>
                <c:pt idx="19">
                  <c:v>310.2</c:v>
                </c:pt>
                <c:pt idx="20">
                  <c:v>309.7</c:v>
                </c:pt>
                <c:pt idx="21">
                  <c:v>317.5</c:v>
                </c:pt>
                <c:pt idx="22">
                  <c:v>320.89999999999998</c:v>
                </c:pt>
                <c:pt idx="23">
                  <c:v>327.8</c:v>
                </c:pt>
                <c:pt idx="24">
                  <c:v>329</c:v>
                </c:pt>
                <c:pt idx="25">
                  <c:v>326.60000000000002</c:v>
                </c:pt>
                <c:pt idx="26">
                  <c:v>334.6</c:v>
                </c:pt>
                <c:pt idx="27">
                  <c:v>336.1</c:v>
                </c:pt>
                <c:pt idx="28">
                  <c:v>329.6</c:v>
                </c:pt>
                <c:pt idx="29">
                  <c:v>327.5</c:v>
                </c:pt>
                <c:pt idx="30">
                  <c:v>331.5</c:v>
                </c:pt>
                <c:pt idx="31">
                  <c:v>335.8</c:v>
                </c:pt>
                <c:pt idx="32">
                  <c:v>339.6</c:v>
                </c:pt>
                <c:pt idx="33">
                  <c:v>343.7</c:v>
                </c:pt>
                <c:pt idx="34">
                  <c:v>345.9</c:v>
                </c:pt>
                <c:pt idx="35">
                  <c:v>349.6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A-4CD4-93A1-FF0553BF8D16}"/>
            </c:ext>
          </c:extLst>
        </c:ser>
        <c:ser>
          <c:idx val="1"/>
          <c:order val="1"/>
          <c:tx>
            <c:strRef>
              <c:f>'CB data'!$B$33</c:f>
              <c:strCache>
                <c:ptCount val="1"/>
                <c:pt idx="0">
                  <c:v> - Instalments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'CB data'!$D$30:$AL$30</c:f>
              <c:numCache>
                <c:formatCode>mmm\-yy</c:formatCode>
                <c:ptCount val="35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</c:numCache>
            </c:numRef>
          </c:cat>
          <c:val>
            <c:numRef>
              <c:f>'CB data'!$C$33:$AL$33</c:f>
              <c:numCache>
                <c:formatCode>0</c:formatCode>
                <c:ptCount val="36"/>
                <c:pt idx="0">
                  <c:v>152.1</c:v>
                </c:pt>
                <c:pt idx="1">
                  <c:v>152.69999999999999</c:v>
                </c:pt>
                <c:pt idx="2">
                  <c:v>153.9</c:v>
                </c:pt>
                <c:pt idx="3">
                  <c:v>154.19999999999999</c:v>
                </c:pt>
                <c:pt idx="4">
                  <c:v>155.1</c:v>
                </c:pt>
                <c:pt idx="5">
                  <c:v>155.9</c:v>
                </c:pt>
                <c:pt idx="6">
                  <c:v>156.69999999999999</c:v>
                </c:pt>
                <c:pt idx="7">
                  <c:v>157.5</c:v>
                </c:pt>
                <c:pt idx="8">
                  <c:v>158.4</c:v>
                </c:pt>
                <c:pt idx="9">
                  <c:v>158.69999999999999</c:v>
                </c:pt>
                <c:pt idx="10">
                  <c:v>159.5</c:v>
                </c:pt>
                <c:pt idx="11">
                  <c:v>159.69999999999999</c:v>
                </c:pt>
                <c:pt idx="12">
                  <c:v>161.80000000000001</c:v>
                </c:pt>
                <c:pt idx="13">
                  <c:v>163</c:v>
                </c:pt>
                <c:pt idx="14">
                  <c:v>167.9</c:v>
                </c:pt>
                <c:pt idx="15">
                  <c:v>159.30000000000001</c:v>
                </c:pt>
                <c:pt idx="16">
                  <c:v>155.1</c:v>
                </c:pt>
                <c:pt idx="17">
                  <c:v>147.19999999999999</c:v>
                </c:pt>
                <c:pt idx="18">
                  <c:v>147.30000000000001</c:v>
                </c:pt>
                <c:pt idx="19">
                  <c:v>147.69999999999999</c:v>
                </c:pt>
                <c:pt idx="20">
                  <c:v>147.69999999999999</c:v>
                </c:pt>
                <c:pt idx="21">
                  <c:v>149</c:v>
                </c:pt>
                <c:pt idx="22">
                  <c:v>148.4</c:v>
                </c:pt>
                <c:pt idx="23">
                  <c:v>149.6</c:v>
                </c:pt>
                <c:pt idx="24">
                  <c:v>151.4</c:v>
                </c:pt>
                <c:pt idx="25">
                  <c:v>153.30000000000001</c:v>
                </c:pt>
                <c:pt idx="26">
                  <c:v>154.6</c:v>
                </c:pt>
                <c:pt idx="27">
                  <c:v>154.80000000000001</c:v>
                </c:pt>
                <c:pt idx="28">
                  <c:v>155.19999999999999</c:v>
                </c:pt>
                <c:pt idx="29">
                  <c:v>155.69999999999999</c:v>
                </c:pt>
                <c:pt idx="30">
                  <c:v>156.1</c:v>
                </c:pt>
                <c:pt idx="31">
                  <c:v>156.5</c:v>
                </c:pt>
                <c:pt idx="32">
                  <c:v>157.9</c:v>
                </c:pt>
                <c:pt idx="33">
                  <c:v>159.4</c:v>
                </c:pt>
                <c:pt idx="34">
                  <c:v>158.9</c:v>
                </c:pt>
                <c:pt idx="35">
                  <c:v>159.4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A-4CD4-93A1-FF0553BF8D16}"/>
            </c:ext>
          </c:extLst>
        </c:ser>
        <c:ser>
          <c:idx val="3"/>
          <c:order val="2"/>
          <c:tx>
            <c:strRef>
              <c:f>'CB data'!$B$35</c:f>
              <c:strCache>
                <c:ptCount val="1"/>
                <c:pt idx="0">
                  <c:v> - Average (inc. paid &lt; month)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'CB data'!$D$30:$AL$30</c:f>
              <c:numCache>
                <c:formatCode>mmm\-yy</c:formatCode>
                <c:ptCount val="35"/>
                <c:pt idx="0">
                  <c:v>43497</c:v>
                </c:pt>
                <c:pt idx="1">
                  <c:v>43525</c:v>
                </c:pt>
                <c:pt idx="2">
                  <c:v>43556</c:v>
                </c:pt>
                <c:pt idx="3">
                  <c:v>43586</c:v>
                </c:pt>
                <c:pt idx="4">
                  <c:v>43617</c:v>
                </c:pt>
                <c:pt idx="5">
                  <c:v>43647</c:v>
                </c:pt>
                <c:pt idx="6">
                  <c:v>43678</c:v>
                </c:pt>
                <c:pt idx="7">
                  <c:v>43709</c:v>
                </c:pt>
                <c:pt idx="8">
                  <c:v>43739</c:v>
                </c:pt>
                <c:pt idx="9">
                  <c:v>43770</c:v>
                </c:pt>
                <c:pt idx="10">
                  <c:v>43800</c:v>
                </c:pt>
                <c:pt idx="11">
                  <c:v>43831</c:v>
                </c:pt>
                <c:pt idx="12">
                  <c:v>43862</c:v>
                </c:pt>
                <c:pt idx="13">
                  <c:v>43891</c:v>
                </c:pt>
                <c:pt idx="14">
                  <c:v>43922</c:v>
                </c:pt>
                <c:pt idx="15">
                  <c:v>43952</c:v>
                </c:pt>
                <c:pt idx="16">
                  <c:v>43983</c:v>
                </c:pt>
                <c:pt idx="17">
                  <c:v>44013</c:v>
                </c:pt>
                <c:pt idx="18">
                  <c:v>44044</c:v>
                </c:pt>
                <c:pt idx="19">
                  <c:v>44075</c:v>
                </c:pt>
                <c:pt idx="20">
                  <c:v>44105</c:v>
                </c:pt>
                <c:pt idx="21">
                  <c:v>44136</c:v>
                </c:pt>
                <c:pt idx="22">
                  <c:v>44166</c:v>
                </c:pt>
                <c:pt idx="23">
                  <c:v>44197</c:v>
                </c:pt>
                <c:pt idx="24">
                  <c:v>44228</c:v>
                </c:pt>
                <c:pt idx="25">
                  <c:v>44256</c:v>
                </c:pt>
                <c:pt idx="26">
                  <c:v>44287</c:v>
                </c:pt>
                <c:pt idx="27">
                  <c:v>44317</c:v>
                </c:pt>
                <c:pt idx="28">
                  <c:v>44348</c:v>
                </c:pt>
                <c:pt idx="29">
                  <c:v>44378</c:v>
                </c:pt>
                <c:pt idx="30">
                  <c:v>44409</c:v>
                </c:pt>
                <c:pt idx="31">
                  <c:v>44440</c:v>
                </c:pt>
                <c:pt idx="32">
                  <c:v>44470</c:v>
                </c:pt>
                <c:pt idx="33">
                  <c:v>44501</c:v>
                </c:pt>
                <c:pt idx="34">
                  <c:v>44531</c:v>
                </c:pt>
              </c:numCache>
            </c:numRef>
          </c:cat>
          <c:val>
            <c:numRef>
              <c:f>'CB data'!$C$35:$AL$35</c:f>
              <c:numCache>
                <c:formatCode>0</c:formatCode>
                <c:ptCount val="36"/>
                <c:pt idx="0">
                  <c:v>34.4</c:v>
                </c:pt>
                <c:pt idx="1">
                  <c:v>37.700000000000003</c:v>
                </c:pt>
                <c:pt idx="2">
                  <c:v>37.6</c:v>
                </c:pt>
                <c:pt idx="3">
                  <c:v>38.1</c:v>
                </c:pt>
                <c:pt idx="4">
                  <c:v>37.700000000000003</c:v>
                </c:pt>
                <c:pt idx="5">
                  <c:v>39.1</c:v>
                </c:pt>
                <c:pt idx="6">
                  <c:v>37.799999999999997</c:v>
                </c:pt>
                <c:pt idx="7">
                  <c:v>39.1</c:v>
                </c:pt>
                <c:pt idx="8">
                  <c:v>39.799999999999997</c:v>
                </c:pt>
                <c:pt idx="9">
                  <c:v>39.299999999999997</c:v>
                </c:pt>
                <c:pt idx="10">
                  <c:v>38.9</c:v>
                </c:pt>
                <c:pt idx="11">
                  <c:v>36.4</c:v>
                </c:pt>
                <c:pt idx="12">
                  <c:v>37.6</c:v>
                </c:pt>
                <c:pt idx="13">
                  <c:v>40.6</c:v>
                </c:pt>
                <c:pt idx="14">
                  <c:v>44</c:v>
                </c:pt>
                <c:pt idx="15">
                  <c:v>49.2</c:v>
                </c:pt>
                <c:pt idx="16">
                  <c:v>47.2</c:v>
                </c:pt>
                <c:pt idx="17">
                  <c:v>41.2</c:v>
                </c:pt>
                <c:pt idx="18">
                  <c:v>41.7</c:v>
                </c:pt>
                <c:pt idx="19">
                  <c:v>38.299999999999997</c:v>
                </c:pt>
                <c:pt idx="20">
                  <c:v>35.9</c:v>
                </c:pt>
                <c:pt idx="21">
                  <c:v>35.9</c:v>
                </c:pt>
                <c:pt idx="22">
                  <c:v>34.299999999999997</c:v>
                </c:pt>
                <c:pt idx="23">
                  <c:v>33.5</c:v>
                </c:pt>
                <c:pt idx="24">
                  <c:v>34.1</c:v>
                </c:pt>
                <c:pt idx="25">
                  <c:v>34.6</c:v>
                </c:pt>
                <c:pt idx="26">
                  <c:v>34.700000000000003</c:v>
                </c:pt>
                <c:pt idx="27">
                  <c:v>34.799999999999997</c:v>
                </c:pt>
                <c:pt idx="28">
                  <c:v>34.299999999999997</c:v>
                </c:pt>
                <c:pt idx="29">
                  <c:v>34.299999999999997</c:v>
                </c:pt>
                <c:pt idx="30">
                  <c:v>34.1</c:v>
                </c:pt>
                <c:pt idx="31">
                  <c:v>34.5</c:v>
                </c:pt>
                <c:pt idx="32">
                  <c:v>34.6</c:v>
                </c:pt>
                <c:pt idx="33">
                  <c:v>34.9</c:v>
                </c:pt>
                <c:pt idx="34">
                  <c:v>35</c:v>
                </c:pt>
                <c:pt idx="3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2A-4CD4-93A1-FF0553BF8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9919184"/>
        <c:axId val="869922464"/>
      </c:lineChart>
      <c:dateAx>
        <c:axId val="869919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69922464"/>
        <c:crosses val="autoZero"/>
        <c:auto val="1"/>
        <c:lblOffset val="100"/>
        <c:baseTimeUnit val="months"/>
      </c:dateAx>
      <c:valAx>
        <c:axId val="8699224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GB"/>
                  <a:t>Annual rates,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6991918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9374015748031522E-2"/>
          <c:y val="0.81952974628171482"/>
          <c:w val="0.8623630796150481"/>
          <c:h val="0.1526924759405074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'CB data'!$B$5</c:f>
              <c:strCache>
                <c:ptCount val="1"/>
                <c:pt idx="0">
                  <c:v> - Revolving credit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'CB data'!$C$4:$AL$4</c:f>
              <c:numCache>
                <c:formatCode>mmm\-yy</c:formatCode>
                <c:ptCount val="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</c:numCache>
            </c:numRef>
          </c:cat>
          <c:val>
            <c:numRef>
              <c:f>'CB data'!$C$5:$AL$5</c:f>
              <c:numCache>
                <c:formatCode>General</c:formatCode>
                <c:ptCount val="36"/>
                <c:pt idx="0">
                  <c:v>35824</c:v>
                </c:pt>
                <c:pt idx="1">
                  <c:v>37436</c:v>
                </c:pt>
                <c:pt idx="2">
                  <c:v>36801</c:v>
                </c:pt>
                <c:pt idx="3">
                  <c:v>37873</c:v>
                </c:pt>
                <c:pt idx="4">
                  <c:v>38097</c:v>
                </c:pt>
                <c:pt idx="5">
                  <c:v>39096</c:v>
                </c:pt>
                <c:pt idx="6">
                  <c:v>38936</c:v>
                </c:pt>
                <c:pt idx="7">
                  <c:v>40624</c:v>
                </c:pt>
                <c:pt idx="8">
                  <c:v>41863</c:v>
                </c:pt>
                <c:pt idx="9">
                  <c:v>41486</c:v>
                </c:pt>
                <c:pt idx="10">
                  <c:v>42480</c:v>
                </c:pt>
                <c:pt idx="11">
                  <c:v>42218</c:v>
                </c:pt>
                <c:pt idx="12">
                  <c:v>43071</c:v>
                </c:pt>
                <c:pt idx="13">
                  <c:v>44624</c:v>
                </c:pt>
                <c:pt idx="14">
                  <c:v>45778</c:v>
                </c:pt>
                <c:pt idx="15">
                  <c:v>46359</c:v>
                </c:pt>
                <c:pt idx="16">
                  <c:v>44613</c:v>
                </c:pt>
                <c:pt idx="17">
                  <c:v>42912</c:v>
                </c:pt>
                <c:pt idx="18">
                  <c:v>41767</c:v>
                </c:pt>
                <c:pt idx="19">
                  <c:v>40228</c:v>
                </c:pt>
                <c:pt idx="20">
                  <c:v>39176</c:v>
                </c:pt>
                <c:pt idx="21">
                  <c:v>38194</c:v>
                </c:pt>
                <c:pt idx="22">
                  <c:v>37283</c:v>
                </c:pt>
                <c:pt idx="23">
                  <c:v>35260</c:v>
                </c:pt>
                <c:pt idx="24">
                  <c:v>35978</c:v>
                </c:pt>
                <c:pt idx="25">
                  <c:v>37671</c:v>
                </c:pt>
                <c:pt idx="26">
                  <c:v>36423</c:v>
                </c:pt>
                <c:pt idx="27">
                  <c:v>36637</c:v>
                </c:pt>
                <c:pt idx="28">
                  <c:v>37417</c:v>
                </c:pt>
                <c:pt idx="29">
                  <c:v>38489</c:v>
                </c:pt>
                <c:pt idx="30">
                  <c:v>38783</c:v>
                </c:pt>
                <c:pt idx="31">
                  <c:v>40427</c:v>
                </c:pt>
                <c:pt idx="32">
                  <c:v>42394</c:v>
                </c:pt>
                <c:pt idx="33">
                  <c:v>44947</c:v>
                </c:pt>
                <c:pt idx="34">
                  <c:v>48428</c:v>
                </c:pt>
                <c:pt idx="35">
                  <c:v>49134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8-4D7B-B5F7-A0439ECD86E5}"/>
            </c:ext>
          </c:extLst>
        </c:ser>
        <c:ser>
          <c:idx val="1"/>
          <c:order val="1"/>
          <c:tx>
            <c:strRef>
              <c:f>'CB data'!$B$6</c:f>
              <c:strCache>
                <c:ptCount val="1"/>
                <c:pt idx="0">
                  <c:v> - Instalments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numRef>
              <c:f>'CB data'!$C$4:$AL$4</c:f>
              <c:numCache>
                <c:formatCode>mmm\-yy</c:formatCode>
                <c:ptCount val="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</c:numCache>
            </c:numRef>
          </c:cat>
          <c:val>
            <c:numRef>
              <c:f>'CB data'!$C$6:$AG$6</c:f>
              <c:numCache>
                <c:formatCode>General</c:formatCode>
                <c:ptCount val="31"/>
                <c:pt idx="0">
                  <c:v>20797</c:v>
                </c:pt>
                <c:pt idx="1">
                  <c:v>21538</c:v>
                </c:pt>
                <c:pt idx="2">
                  <c:v>22274</c:v>
                </c:pt>
                <c:pt idx="3">
                  <c:v>22843</c:v>
                </c:pt>
                <c:pt idx="4">
                  <c:v>23718</c:v>
                </c:pt>
                <c:pt idx="5">
                  <c:v>24253</c:v>
                </c:pt>
                <c:pt idx="6">
                  <c:v>24625</c:v>
                </c:pt>
                <c:pt idx="7">
                  <c:v>25042</c:v>
                </c:pt>
                <c:pt idx="8">
                  <c:v>25133</c:v>
                </c:pt>
                <c:pt idx="9">
                  <c:v>25237</c:v>
                </c:pt>
                <c:pt idx="10">
                  <c:v>25167</c:v>
                </c:pt>
                <c:pt idx="11">
                  <c:v>24717</c:v>
                </c:pt>
                <c:pt idx="12">
                  <c:v>25388</c:v>
                </c:pt>
                <c:pt idx="13">
                  <c:v>25884</c:v>
                </c:pt>
                <c:pt idx="14">
                  <c:v>26218</c:v>
                </c:pt>
                <c:pt idx="15">
                  <c:v>26998</c:v>
                </c:pt>
                <c:pt idx="16">
                  <c:v>26797</c:v>
                </c:pt>
                <c:pt idx="17">
                  <c:v>25653</c:v>
                </c:pt>
                <c:pt idx="18">
                  <c:v>24511</c:v>
                </c:pt>
                <c:pt idx="19">
                  <c:v>23356</c:v>
                </c:pt>
                <c:pt idx="20">
                  <c:v>22491</c:v>
                </c:pt>
                <c:pt idx="21">
                  <c:v>22344</c:v>
                </c:pt>
                <c:pt idx="22">
                  <c:v>22380</c:v>
                </c:pt>
                <c:pt idx="23">
                  <c:v>22479</c:v>
                </c:pt>
                <c:pt idx="24">
                  <c:v>23048</c:v>
                </c:pt>
                <c:pt idx="25">
                  <c:v>23878</c:v>
                </c:pt>
                <c:pt idx="26">
                  <c:v>24787</c:v>
                </c:pt>
                <c:pt idx="27">
                  <c:v>25544</c:v>
                </c:pt>
                <c:pt idx="28">
                  <c:v>26216</c:v>
                </c:pt>
                <c:pt idx="29">
                  <c:v>26587</c:v>
                </c:pt>
                <c:pt idx="30">
                  <c:v>27037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8-4D7B-B5F7-A0439ECD86E5}"/>
            </c:ext>
          </c:extLst>
        </c:ser>
        <c:ser>
          <c:idx val="2"/>
          <c:order val="2"/>
          <c:tx>
            <c:strRef>
              <c:f>'CB data'!$B$7</c:f>
              <c:strCache>
                <c:ptCount val="1"/>
                <c:pt idx="0">
                  <c:v> - Paid off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  <a:effectLst/>
          </c:spPr>
          <c:invertIfNegative val="0"/>
          <c:cat>
            <c:numRef>
              <c:f>'CB data'!$C$4:$AL$4</c:f>
              <c:numCache>
                <c:formatCode>mmm\-yy</c:formatCode>
                <c:ptCount val="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</c:numCache>
            </c:numRef>
          </c:cat>
          <c:val>
            <c:numRef>
              <c:f>'CB data'!$C$7:$AL$7</c:f>
              <c:numCache>
                <c:formatCode>General</c:formatCode>
                <c:ptCount val="36"/>
                <c:pt idx="0">
                  <c:v>181556</c:v>
                </c:pt>
                <c:pt idx="1">
                  <c:v>173356</c:v>
                </c:pt>
                <c:pt idx="2">
                  <c:v>174677</c:v>
                </c:pt>
                <c:pt idx="3">
                  <c:v>176901</c:v>
                </c:pt>
                <c:pt idx="4">
                  <c:v>181915</c:v>
                </c:pt>
                <c:pt idx="5">
                  <c:v>179132</c:v>
                </c:pt>
                <c:pt idx="6">
                  <c:v>187188</c:v>
                </c:pt>
                <c:pt idx="7">
                  <c:v>188714</c:v>
                </c:pt>
                <c:pt idx="8">
                  <c:v>189737</c:v>
                </c:pt>
                <c:pt idx="9">
                  <c:v>194865</c:v>
                </c:pt>
                <c:pt idx="10">
                  <c:v>200784</c:v>
                </c:pt>
                <c:pt idx="11">
                  <c:v>215575</c:v>
                </c:pt>
                <c:pt idx="12">
                  <c:v>211690</c:v>
                </c:pt>
                <c:pt idx="13">
                  <c:v>202555</c:v>
                </c:pt>
                <c:pt idx="14">
                  <c:v>192101</c:v>
                </c:pt>
                <c:pt idx="15">
                  <c:v>164806</c:v>
                </c:pt>
                <c:pt idx="16">
                  <c:v>161524</c:v>
                </c:pt>
                <c:pt idx="17">
                  <c:v>167613</c:v>
                </c:pt>
                <c:pt idx="18">
                  <c:v>176202</c:v>
                </c:pt>
                <c:pt idx="19">
                  <c:v>186749</c:v>
                </c:pt>
                <c:pt idx="20">
                  <c:v>195003</c:v>
                </c:pt>
                <c:pt idx="21">
                  <c:v>201596</c:v>
                </c:pt>
                <c:pt idx="22">
                  <c:v>219066</c:v>
                </c:pt>
                <c:pt idx="23">
                  <c:v>228891</c:v>
                </c:pt>
                <c:pt idx="24">
                  <c:v>219855</c:v>
                </c:pt>
                <c:pt idx="25">
                  <c:v>213999</c:v>
                </c:pt>
                <c:pt idx="26">
                  <c:v>215990</c:v>
                </c:pt>
                <c:pt idx="27">
                  <c:v>217100</c:v>
                </c:pt>
                <c:pt idx="28">
                  <c:v>229858</c:v>
                </c:pt>
                <c:pt idx="29">
                  <c:v>236230</c:v>
                </c:pt>
                <c:pt idx="30">
                  <c:v>242991</c:v>
                </c:pt>
                <c:pt idx="31">
                  <c:v>245760</c:v>
                </c:pt>
                <c:pt idx="32">
                  <c:v>262198</c:v>
                </c:pt>
                <c:pt idx="33">
                  <c:v>273695</c:v>
                </c:pt>
                <c:pt idx="34">
                  <c:v>298821</c:v>
                </c:pt>
                <c:pt idx="35">
                  <c:v>310010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B8-4D7B-B5F7-A0439ECD8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9396584"/>
        <c:axId val="809402816"/>
      </c:barChart>
      <c:dateAx>
        <c:axId val="80939658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09402816"/>
        <c:crosses val="autoZero"/>
        <c:auto val="1"/>
        <c:lblOffset val="100"/>
        <c:baseTimeUnit val="months"/>
      </c:dateAx>
      <c:valAx>
        <c:axId val="8094028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US"/>
                  <a:t>R$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0939658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'CB data'!$B$26</c:f>
              <c:strCache>
                <c:ptCount val="1"/>
                <c:pt idx="0">
                  <c:v>Total household debt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'CB data'!$C$30:$AL$30</c:f>
              <c:numCache>
                <c:formatCode>mmm\-yy</c:formatCode>
                <c:ptCount val="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</c:numCache>
            </c:numRef>
          </c:cat>
          <c:val>
            <c:numRef>
              <c:f>'CB data'!$C$26:$AL$26</c:f>
              <c:numCache>
                <c:formatCode>General</c:formatCode>
                <c:ptCount val="36"/>
                <c:pt idx="0">
                  <c:v>1814066</c:v>
                </c:pt>
                <c:pt idx="1">
                  <c:v>1823168</c:v>
                </c:pt>
                <c:pt idx="2">
                  <c:v>1836281</c:v>
                </c:pt>
                <c:pt idx="3">
                  <c:v>1852536</c:v>
                </c:pt>
                <c:pt idx="4">
                  <c:v>1870651</c:v>
                </c:pt>
                <c:pt idx="5">
                  <c:v>1882326</c:v>
                </c:pt>
                <c:pt idx="6">
                  <c:v>1898803</c:v>
                </c:pt>
                <c:pt idx="7">
                  <c:v>1921297</c:v>
                </c:pt>
                <c:pt idx="8">
                  <c:v>1941304</c:v>
                </c:pt>
                <c:pt idx="9">
                  <c:v>1965661</c:v>
                </c:pt>
                <c:pt idx="10">
                  <c:v>1987670</c:v>
                </c:pt>
                <c:pt idx="11">
                  <c:v>2017854</c:v>
                </c:pt>
                <c:pt idx="12">
                  <c:v>2034856</c:v>
                </c:pt>
                <c:pt idx="13">
                  <c:v>2043733</c:v>
                </c:pt>
                <c:pt idx="14">
                  <c:v>2049972</c:v>
                </c:pt>
                <c:pt idx="15">
                  <c:v>2029354</c:v>
                </c:pt>
                <c:pt idx="16">
                  <c:v>2027021</c:v>
                </c:pt>
                <c:pt idx="17">
                  <c:v>2040253</c:v>
                </c:pt>
                <c:pt idx="18">
                  <c:v>2058691</c:v>
                </c:pt>
                <c:pt idx="19">
                  <c:v>2092134</c:v>
                </c:pt>
                <c:pt idx="20">
                  <c:v>2123140</c:v>
                </c:pt>
                <c:pt idx="21">
                  <c:v>2158193</c:v>
                </c:pt>
                <c:pt idx="22">
                  <c:v>2206803</c:v>
                </c:pt>
                <c:pt idx="23">
                  <c:v>2242183</c:v>
                </c:pt>
                <c:pt idx="24">
                  <c:v>2254469</c:v>
                </c:pt>
                <c:pt idx="25">
                  <c:v>2271840</c:v>
                </c:pt>
                <c:pt idx="26">
                  <c:v>2298403</c:v>
                </c:pt>
                <c:pt idx="27">
                  <c:v>2323010</c:v>
                </c:pt>
                <c:pt idx="28">
                  <c:v>2362015</c:v>
                </c:pt>
                <c:pt idx="29">
                  <c:v>2399266</c:v>
                </c:pt>
                <c:pt idx="30">
                  <c:v>2438033</c:v>
                </c:pt>
                <c:pt idx="31">
                  <c:v>2488804</c:v>
                </c:pt>
                <c:pt idx="32">
                  <c:v>2549748</c:v>
                </c:pt>
                <c:pt idx="33">
                  <c:v>2603931</c:v>
                </c:pt>
                <c:pt idx="34">
                  <c:v>2663664</c:v>
                </c:pt>
                <c:pt idx="35">
                  <c:v>2708137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0-4599-8AE2-B7D454468DC0}"/>
            </c:ext>
          </c:extLst>
        </c:ser>
        <c:ser>
          <c:idx val="1"/>
          <c:order val="1"/>
          <c:tx>
            <c:strRef>
              <c:f>'CB data'!$B$71</c:f>
              <c:strCache>
                <c:ptCount val="1"/>
                <c:pt idx="0">
                  <c:v>Total corporation debt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numRef>
              <c:f>'CB data'!$C$30:$AL$30</c:f>
              <c:numCache>
                <c:formatCode>mmm\-yy</c:formatCode>
                <c:ptCount val="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</c:numCache>
            </c:numRef>
          </c:cat>
          <c:val>
            <c:numRef>
              <c:f>'CB data'!$C$71:$AL$71</c:f>
              <c:numCache>
                <c:formatCode>General</c:formatCode>
                <c:ptCount val="36"/>
                <c:pt idx="0">
                  <c:v>1422848</c:v>
                </c:pt>
                <c:pt idx="1">
                  <c:v>1424065</c:v>
                </c:pt>
                <c:pt idx="2">
                  <c:v>1436400</c:v>
                </c:pt>
                <c:pt idx="3">
                  <c:v>1419871</c:v>
                </c:pt>
                <c:pt idx="4">
                  <c:v>1420350</c:v>
                </c:pt>
                <c:pt idx="5">
                  <c:v>1419046</c:v>
                </c:pt>
                <c:pt idx="6">
                  <c:v>1396188</c:v>
                </c:pt>
                <c:pt idx="7">
                  <c:v>1410431</c:v>
                </c:pt>
                <c:pt idx="8">
                  <c:v>1426681</c:v>
                </c:pt>
                <c:pt idx="9">
                  <c:v>1414707</c:v>
                </c:pt>
                <c:pt idx="10">
                  <c:v>1434158</c:v>
                </c:pt>
                <c:pt idx="11">
                  <c:v>1460477</c:v>
                </c:pt>
                <c:pt idx="12">
                  <c:v>1433640</c:v>
                </c:pt>
                <c:pt idx="13">
                  <c:v>1443775</c:v>
                </c:pt>
                <c:pt idx="14">
                  <c:v>1535718</c:v>
                </c:pt>
                <c:pt idx="15">
                  <c:v>1555629</c:v>
                </c:pt>
                <c:pt idx="16">
                  <c:v>1569598</c:v>
                </c:pt>
                <c:pt idx="17">
                  <c:v>1582795</c:v>
                </c:pt>
                <c:pt idx="18">
                  <c:v>1610428</c:v>
                </c:pt>
                <c:pt idx="19">
                  <c:v>1649261</c:v>
                </c:pt>
                <c:pt idx="20">
                  <c:v>1695927</c:v>
                </c:pt>
                <c:pt idx="21">
                  <c:v>1713627</c:v>
                </c:pt>
                <c:pt idx="22">
                  <c:v>1749214</c:v>
                </c:pt>
                <c:pt idx="23">
                  <c:v>1778760</c:v>
                </c:pt>
                <c:pt idx="24">
                  <c:v>1762538</c:v>
                </c:pt>
                <c:pt idx="25">
                  <c:v>1771660</c:v>
                </c:pt>
                <c:pt idx="26">
                  <c:v>1807073</c:v>
                </c:pt>
                <c:pt idx="27">
                  <c:v>1804471</c:v>
                </c:pt>
                <c:pt idx="28">
                  <c:v>1813925</c:v>
                </c:pt>
                <c:pt idx="29">
                  <c:v>1816160</c:v>
                </c:pt>
                <c:pt idx="30">
                  <c:v>1832108</c:v>
                </c:pt>
                <c:pt idx="31">
                  <c:v>1849823</c:v>
                </c:pt>
                <c:pt idx="32">
                  <c:v>1892237</c:v>
                </c:pt>
                <c:pt idx="33">
                  <c:v>1908024</c:v>
                </c:pt>
                <c:pt idx="34">
                  <c:v>1931555</c:v>
                </c:pt>
                <c:pt idx="35">
                  <c:v>1976091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599-8AE2-B7D454468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6056528"/>
        <c:axId val="776055544"/>
      </c:barChart>
      <c:dateAx>
        <c:axId val="77605652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76055544"/>
        <c:crosses val="autoZero"/>
        <c:auto val="1"/>
        <c:lblOffset val="100"/>
        <c:baseTimeUnit val="months"/>
      </c:dateAx>
      <c:valAx>
        <c:axId val="7760555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76056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'CB data'!$B$94</c:f>
              <c:strCache>
                <c:ptCount val="1"/>
                <c:pt idx="0">
                  <c:v>Pre-payment rates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'CB data'!$C$93:$AL$93</c:f>
              <c:numCache>
                <c:formatCode>mmm\-yy</c:formatCode>
                <c:ptCount val="36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</c:numCache>
            </c:numRef>
          </c:cat>
          <c:val>
            <c:numRef>
              <c:f>'CB data'!$C$94:$AL$94</c:f>
              <c:numCache>
                <c:formatCode>General</c:formatCode>
                <c:ptCount val="36"/>
                <c:pt idx="0">
                  <c:v>17.2</c:v>
                </c:pt>
                <c:pt idx="1">
                  <c:v>15.5</c:v>
                </c:pt>
                <c:pt idx="2">
                  <c:v>15.2</c:v>
                </c:pt>
                <c:pt idx="3">
                  <c:v>16</c:v>
                </c:pt>
                <c:pt idx="4">
                  <c:v>16.2</c:v>
                </c:pt>
                <c:pt idx="5">
                  <c:v>13.3</c:v>
                </c:pt>
                <c:pt idx="6">
                  <c:v>15</c:v>
                </c:pt>
                <c:pt idx="7">
                  <c:v>14.2</c:v>
                </c:pt>
                <c:pt idx="8">
                  <c:v>12.5</c:v>
                </c:pt>
                <c:pt idx="9">
                  <c:v>11.8</c:v>
                </c:pt>
                <c:pt idx="10">
                  <c:v>11.4</c:v>
                </c:pt>
                <c:pt idx="11">
                  <c:v>9.5</c:v>
                </c:pt>
                <c:pt idx="12">
                  <c:v>10</c:v>
                </c:pt>
                <c:pt idx="13">
                  <c:v>8.9</c:v>
                </c:pt>
                <c:pt idx="14">
                  <c:v>8.3000000000000007</c:v>
                </c:pt>
                <c:pt idx="15">
                  <c:v>9.1999999999999993</c:v>
                </c:pt>
                <c:pt idx="16">
                  <c:v>7.8</c:v>
                </c:pt>
                <c:pt idx="17">
                  <c:v>6.8</c:v>
                </c:pt>
                <c:pt idx="18">
                  <c:v>7.1</c:v>
                </c:pt>
                <c:pt idx="19">
                  <c:v>7.1</c:v>
                </c:pt>
                <c:pt idx="20">
                  <c:v>6.7</c:v>
                </c:pt>
                <c:pt idx="21">
                  <c:v>7</c:v>
                </c:pt>
                <c:pt idx="22">
                  <c:v>7.2</c:v>
                </c:pt>
                <c:pt idx="23">
                  <c:v>6.9</c:v>
                </c:pt>
                <c:pt idx="24">
                  <c:v>7.5</c:v>
                </c:pt>
                <c:pt idx="25">
                  <c:v>7.2</c:v>
                </c:pt>
                <c:pt idx="26">
                  <c:v>7.2</c:v>
                </c:pt>
                <c:pt idx="27">
                  <c:v>7.3</c:v>
                </c:pt>
                <c:pt idx="28">
                  <c:v>8</c:v>
                </c:pt>
                <c:pt idx="29">
                  <c:v>8.1</c:v>
                </c:pt>
                <c:pt idx="30">
                  <c:v>8.5</c:v>
                </c:pt>
                <c:pt idx="31">
                  <c:v>9.1999999999999993</c:v>
                </c:pt>
                <c:pt idx="32">
                  <c:v>9.5</c:v>
                </c:pt>
                <c:pt idx="33">
                  <c:v>10.4</c:v>
                </c:pt>
                <c:pt idx="34">
                  <c:v>12.3</c:v>
                </c:pt>
                <c:pt idx="35">
                  <c:v>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6-4611-B650-5F5DA9FFA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69119"/>
        <c:axId val="361760799"/>
      </c:lineChart>
      <c:dateAx>
        <c:axId val="36176911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361760799"/>
        <c:crosses val="autoZero"/>
        <c:auto val="1"/>
        <c:lblOffset val="100"/>
        <c:baseTimeUnit val="months"/>
      </c:dateAx>
      <c:valAx>
        <c:axId val="361760799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361769119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Quarts!$AO$98:$AP$98</c:f>
              <c:strCache>
                <c:ptCount val="2"/>
                <c:pt idx="0">
                  <c:v>PAGS</c:v>
                </c:pt>
                <c:pt idx="1">
                  <c:v>StoneCo</c:v>
                </c:pt>
              </c:strCache>
            </c:strRef>
          </c:cat>
          <c:val>
            <c:numRef>
              <c:f>Quarts!$AO$99:$AP$99</c:f>
              <c:numCache>
                <c:formatCode>0%</c:formatCode>
                <c:ptCount val="2"/>
                <c:pt idx="0">
                  <c:v>0</c:v>
                </c:pt>
                <c:pt idx="1">
                  <c:v>5.7356664558308047E-2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B-4894-BD58-FE11E6DF8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144621584"/>
        <c:axId val="1144641264"/>
      </c:barChart>
      <c:catAx>
        <c:axId val="114462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144641264"/>
        <c:crosses val="autoZero"/>
        <c:auto val="1"/>
        <c:lblAlgn val="ctr"/>
        <c:lblOffset val="100"/>
        <c:noMultiLvlLbl val="0"/>
      </c:catAx>
      <c:valAx>
        <c:axId val="1144641264"/>
        <c:scaling>
          <c:orientation val="minMax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1446215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Quarts!$W$4:$AH$4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Quarts!$W$115:$AH$115</c:f>
              <c:numCache>
                <c:formatCode>0.0</c:formatCode>
                <c:ptCount val="12"/>
                <c:pt idx="0">
                  <c:v>371.28428005414173</c:v>
                </c:pt>
                <c:pt idx="1">
                  <c:v>403</c:v>
                </c:pt>
                <c:pt idx="2">
                  <c:v>411.3</c:v>
                </c:pt>
                <c:pt idx="3">
                  <c:v>411.3</c:v>
                </c:pt>
                <c:pt idx="4">
                  <c:v>392</c:v>
                </c:pt>
                <c:pt idx="5">
                  <c:v>415</c:v>
                </c:pt>
                <c:pt idx="6">
                  <c:v>440</c:v>
                </c:pt>
                <c:pt idx="7">
                  <c:v>520</c:v>
                </c:pt>
                <c:pt idx="8">
                  <c:v>497.86366315789456</c:v>
                </c:pt>
                <c:pt idx="9">
                  <c:v>499.67682526315838</c:v>
                </c:pt>
                <c:pt idx="10">
                  <c:v>565.7781249122811</c:v>
                </c:pt>
                <c:pt idx="11">
                  <c:v>604.08827034957403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7-440D-B7D0-6ABF46C74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874401872"/>
        <c:axId val="1781787408"/>
      </c:barChart>
      <c:catAx>
        <c:axId val="187440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781787408"/>
        <c:crosses val="autoZero"/>
        <c:auto val="1"/>
        <c:lblAlgn val="ctr"/>
        <c:lblOffset val="100"/>
        <c:noMultiLvlLbl val="0"/>
      </c:catAx>
      <c:valAx>
        <c:axId val="178178740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8744018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521266073194856E-2"/>
          <c:y val="4.7814212793577386E-2"/>
          <c:w val="0.95647873392680516"/>
          <c:h val="0.811835134586341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Quarts!$B$48</c:f>
              <c:strCache>
                <c:ptCount val="1"/>
                <c:pt idx="0">
                  <c:v>Take-rate (post-funding, ex-Pagbank)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Quarts!$W$4:$AH$4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Quarts!$W$38:$AH$38</c:f>
              <c:numCache>
                <c:formatCode>0.00%</c:formatCode>
                <c:ptCount val="12"/>
                <c:pt idx="0">
                  <c:v>2.599250936329588E-2</c:v>
                </c:pt>
                <c:pt idx="1">
                  <c:v>2.7486423766816141E-2</c:v>
                </c:pt>
                <c:pt idx="2">
                  <c:v>2.8992248062015506E-2</c:v>
                </c:pt>
                <c:pt idx="3">
                  <c:v>2.5885471898197242E-2</c:v>
                </c:pt>
                <c:pt idx="4">
                  <c:v>2.6064021429814614E-2</c:v>
                </c:pt>
                <c:pt idx="5">
                  <c:v>2.5315759613120117E-2</c:v>
                </c:pt>
                <c:pt idx="6">
                  <c:v>2.4555861344739523E-2</c:v>
                </c:pt>
                <c:pt idx="7">
                  <c:v>2.3064137013910385E-2</c:v>
                </c:pt>
                <c:pt idx="8">
                  <c:v>2.3699999999999999E-2</c:v>
                </c:pt>
                <c:pt idx="9">
                  <c:v>2.3400000000000001E-2</c:v>
                </c:pt>
                <c:pt idx="10">
                  <c:v>2.2800000000000001E-2</c:v>
                </c:pt>
                <c:pt idx="11">
                  <c:v>2.1436643332574147E-2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9-40A9-BC09-5C53E538E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786919887"/>
        <c:axId val="1786923215"/>
      </c:barChart>
      <c:catAx>
        <c:axId val="1786919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786923215"/>
        <c:crosses val="autoZero"/>
        <c:auto val="1"/>
        <c:lblAlgn val="ctr"/>
        <c:lblOffset val="100"/>
        <c:noMultiLvlLbl val="0"/>
      </c:catAx>
      <c:valAx>
        <c:axId val="1786923215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786919887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5400" cap="rnd">
              <a:solidFill>
                <a:srgbClr val="263238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Quarts!$W$4:$AH$4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Quarts!$W$233:$AH$233</c:f>
              <c:numCache>
                <c:formatCode>0.0%</c:formatCode>
                <c:ptCount val="12"/>
                <c:pt idx="0">
                  <c:v>9.7042832490241829E-2</c:v>
                </c:pt>
                <c:pt idx="1">
                  <c:v>8.7906245474664982E-2</c:v>
                </c:pt>
                <c:pt idx="2">
                  <c:v>9.3126562959445561E-2</c:v>
                </c:pt>
                <c:pt idx="3">
                  <c:v>9.1315851051813571E-2</c:v>
                </c:pt>
                <c:pt idx="4">
                  <c:v>8.8159271093390321E-2</c:v>
                </c:pt>
                <c:pt idx="5">
                  <c:v>6.3512807109252487E-2</c:v>
                </c:pt>
                <c:pt idx="6">
                  <c:v>6.4580228514654739E-2</c:v>
                </c:pt>
                <c:pt idx="7">
                  <c:v>5.8178053830227741E-2</c:v>
                </c:pt>
                <c:pt idx="8">
                  <c:v>6.5008403699731057E-2</c:v>
                </c:pt>
                <c:pt idx="9">
                  <c:v>6.1150516552089522E-2</c:v>
                </c:pt>
                <c:pt idx="10">
                  <c:v>6.0424251554959438E-2</c:v>
                </c:pt>
                <c:pt idx="11">
                  <c:v>6.0086900433139162E-2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3-4796-AA9C-B5CA488B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5836799"/>
        <c:axId val="1455825759"/>
      </c:lineChart>
      <c:catAx>
        <c:axId val="1455836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455825759"/>
        <c:crosses val="autoZero"/>
        <c:auto val="1"/>
        <c:lblAlgn val="ctr"/>
        <c:lblOffset val="100"/>
        <c:noMultiLvlLbl val="0"/>
      </c:catAx>
      <c:valAx>
        <c:axId val="1455825759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455836799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Quarts!$AY$4:$BJ$4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Quarts!$AY$115:$BJ$115</c:f>
              <c:numCache>
                <c:formatCode>0%</c:formatCode>
                <c:ptCount val="12"/>
                <c:pt idx="0">
                  <c:v>4.1688375675116962E-2</c:v>
                </c:pt>
                <c:pt idx="1">
                  <c:v>0.16754701017604834</c:v>
                </c:pt>
                <c:pt idx="2">
                  <c:v>-1.7588804551753268E-2</c:v>
                </c:pt>
                <c:pt idx="3">
                  <c:v>-3.4216466831025305E-2</c:v>
                </c:pt>
                <c:pt idx="4">
                  <c:v>5.5794767133252821E-2</c:v>
                </c:pt>
                <c:pt idx="5">
                  <c:v>2.977667493796532E-2</c:v>
                </c:pt>
                <c:pt idx="6">
                  <c:v>6.977875030391445E-2</c:v>
                </c:pt>
                <c:pt idx="7">
                  <c:v>0.26428397763189881</c:v>
                </c:pt>
                <c:pt idx="8">
                  <c:v>0.27006036519871057</c:v>
                </c:pt>
                <c:pt idx="9">
                  <c:v>0.20404054280279138</c:v>
                </c:pt>
                <c:pt idx="10">
                  <c:v>0.28585937480063883</c:v>
                </c:pt>
                <c:pt idx="11">
                  <c:v>0.16170821221071918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A-4456-9330-BF342FEDC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544940687"/>
        <c:axId val="1596290287"/>
      </c:barChart>
      <c:catAx>
        <c:axId val="15449406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596290287"/>
        <c:crosses val="autoZero"/>
        <c:auto val="1"/>
        <c:lblAlgn val="ctr"/>
        <c:lblOffset val="100"/>
        <c:noMultiLvlLbl val="0"/>
      </c:catAx>
      <c:valAx>
        <c:axId val="1596290287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44940687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 w="2540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88-4DBB-A29A-164F42CE00B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788-4DBB-A29A-164F42CE00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Analysis!$B$126:$B$140</c:f>
              <c:strCache>
                <c:ptCount val="15"/>
                <c:pt idx="0">
                  <c:v>India</c:v>
                </c:pt>
                <c:pt idx="1">
                  <c:v>Mexico</c:v>
                </c:pt>
                <c:pt idx="2">
                  <c:v>Peru</c:v>
                </c:pt>
                <c:pt idx="3">
                  <c:v>Colombia</c:v>
                </c:pt>
                <c:pt idx="4">
                  <c:v>China</c:v>
                </c:pt>
                <c:pt idx="5">
                  <c:v>Argentina</c:v>
                </c:pt>
                <c:pt idx="6">
                  <c:v>Brazil</c:v>
                </c:pt>
                <c:pt idx="7">
                  <c:v>Turkey</c:v>
                </c:pt>
                <c:pt idx="8">
                  <c:v>Germany</c:v>
                </c:pt>
                <c:pt idx="9">
                  <c:v>Europe</c:v>
                </c:pt>
                <c:pt idx="10">
                  <c:v>Hong Kong</c:v>
                </c:pt>
                <c:pt idx="11">
                  <c:v>UK</c:v>
                </c:pt>
                <c:pt idx="12">
                  <c:v>US</c:v>
                </c:pt>
                <c:pt idx="13">
                  <c:v>Japan</c:v>
                </c:pt>
                <c:pt idx="14">
                  <c:v>Canada</c:v>
                </c:pt>
              </c:strCache>
            </c:strRef>
          </c:cat>
          <c:val>
            <c:numRef>
              <c:f>Analysis!$D$126:$D$140</c:f>
              <c:numCache>
                <c:formatCode>0%</c:formatCode>
                <c:ptCount val="15"/>
                <c:pt idx="0">
                  <c:v>0.04</c:v>
                </c:pt>
                <c:pt idx="1">
                  <c:v>0.14000000000000001</c:v>
                </c:pt>
                <c:pt idx="2">
                  <c:v>0.16</c:v>
                </c:pt>
                <c:pt idx="3">
                  <c:v>0.17900000000000002</c:v>
                </c:pt>
                <c:pt idx="4">
                  <c:v>0.25</c:v>
                </c:pt>
                <c:pt idx="5">
                  <c:v>0.31</c:v>
                </c:pt>
                <c:pt idx="6">
                  <c:v>0.3867924528301887</c:v>
                </c:pt>
                <c:pt idx="7">
                  <c:v>0.45999999999999996</c:v>
                </c:pt>
                <c:pt idx="8">
                  <c:v>0.53</c:v>
                </c:pt>
                <c:pt idx="9">
                  <c:v>0.6</c:v>
                </c:pt>
                <c:pt idx="10">
                  <c:v>0.65</c:v>
                </c:pt>
                <c:pt idx="11">
                  <c:v>0.65</c:v>
                </c:pt>
                <c:pt idx="12">
                  <c:v>0.66</c:v>
                </c:pt>
                <c:pt idx="13">
                  <c:v>0.68</c:v>
                </c:pt>
                <c:pt idx="14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D-46E8-AF98-C9C4445C8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92029432"/>
        <c:axId val="792026808"/>
      </c:barChart>
      <c:catAx>
        <c:axId val="79202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792026808"/>
        <c:crosses val="autoZero"/>
        <c:auto val="1"/>
        <c:lblAlgn val="ctr"/>
        <c:lblOffset val="100"/>
        <c:noMultiLvlLbl val="0"/>
      </c:catAx>
      <c:valAx>
        <c:axId val="7920268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7920294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 w="25400"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263238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1B1-4156-B987-06335DFBBF64}"/>
              </c:ext>
            </c:extLst>
          </c:dPt>
          <c:dPt>
            <c:idx val="5"/>
            <c:invertIfNegative val="0"/>
            <c:bubble3D val="0"/>
            <c:spPr>
              <a:solidFill>
                <a:srgbClr val="263238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8F-4B9B-A4D7-7FA1E07744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Analysis!$B$156:$B$170</c:f>
              <c:strCache>
                <c:ptCount val="15"/>
                <c:pt idx="0">
                  <c:v>Indonesia</c:v>
                </c:pt>
                <c:pt idx="1">
                  <c:v>India</c:v>
                </c:pt>
                <c:pt idx="2">
                  <c:v>Argentina</c:v>
                </c:pt>
                <c:pt idx="3">
                  <c:v>Mexico</c:v>
                </c:pt>
                <c:pt idx="4">
                  <c:v>Malaysia</c:v>
                </c:pt>
                <c:pt idx="5">
                  <c:v>Brazil</c:v>
                </c:pt>
                <c:pt idx="6">
                  <c:v>Japan</c:v>
                </c:pt>
                <c:pt idx="7">
                  <c:v>China</c:v>
                </c:pt>
                <c:pt idx="8">
                  <c:v>Singapore</c:v>
                </c:pt>
                <c:pt idx="9">
                  <c:v>Korea</c:v>
                </c:pt>
                <c:pt idx="10">
                  <c:v>US</c:v>
                </c:pt>
                <c:pt idx="11">
                  <c:v>Finland</c:v>
                </c:pt>
                <c:pt idx="12">
                  <c:v>UK</c:v>
                </c:pt>
                <c:pt idx="13">
                  <c:v>Netherlands</c:v>
                </c:pt>
                <c:pt idx="14">
                  <c:v>Sweden</c:v>
                </c:pt>
              </c:strCache>
            </c:strRef>
          </c:cat>
          <c:val>
            <c:numRef>
              <c:f>Analysis!$C$156:$C$170</c:f>
              <c:numCache>
                <c:formatCode>0%</c:formatCode>
                <c:ptCount val="15"/>
                <c:pt idx="0">
                  <c:v>0.96</c:v>
                </c:pt>
                <c:pt idx="1">
                  <c:v>0.89</c:v>
                </c:pt>
                <c:pt idx="2">
                  <c:v>0.87</c:v>
                </c:pt>
                <c:pt idx="3">
                  <c:v>0.86</c:v>
                </c:pt>
                <c:pt idx="4">
                  <c:v>0.72</c:v>
                </c:pt>
                <c:pt idx="5">
                  <c:v>0.61448549363389682</c:v>
                </c:pt>
                <c:pt idx="6">
                  <c:v>0.54</c:v>
                </c:pt>
                <c:pt idx="7">
                  <c:v>0.41</c:v>
                </c:pt>
                <c:pt idx="8">
                  <c:v>0.39</c:v>
                </c:pt>
                <c:pt idx="9">
                  <c:v>0.34</c:v>
                </c:pt>
                <c:pt idx="10">
                  <c:v>0.28000000000000003</c:v>
                </c:pt>
                <c:pt idx="11">
                  <c:v>0.24</c:v>
                </c:pt>
                <c:pt idx="12">
                  <c:v>0.23</c:v>
                </c:pt>
                <c:pt idx="13">
                  <c:v>0.14000000000000001</c:v>
                </c:pt>
                <c:pt idx="1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2-47F1-AE53-6ADD43913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629655544"/>
        <c:axId val="629392736"/>
      </c:barChart>
      <c:catAx>
        <c:axId val="629655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629392736"/>
        <c:crosses val="autoZero"/>
        <c:auto val="1"/>
        <c:lblAlgn val="ctr"/>
        <c:lblOffset val="100"/>
        <c:noMultiLvlLbl val="0"/>
      </c:catAx>
      <c:valAx>
        <c:axId val="629392736"/>
        <c:scaling>
          <c:orientation val="minMax"/>
          <c:max val="1"/>
        </c:scaling>
        <c:delete val="1"/>
        <c:axPos val="l"/>
        <c:numFmt formatCode="0%" sourceLinked="1"/>
        <c:majorTickMark val="out"/>
        <c:minorTickMark val="none"/>
        <c:tickLblPos val="nextTo"/>
        <c:crossAx val="629655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42428501421222"/>
          <c:y val="5.3441357037232878E-2"/>
          <c:w val="0.70328364775217034"/>
          <c:h val="0.688273133343232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rgbClr val="000080"/>
                </a:fgClr>
                <a:bgClr>
                  <a:srgbClr val="000080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29-4F5A-A95E-E2270F9AD7FC}"/>
              </c:ext>
            </c:extLst>
          </c:dPt>
          <c:dPt>
            <c:idx val="1"/>
            <c:bubble3D val="0"/>
            <c:spPr>
              <a:pattFill prst="wdDnDiag">
                <a:fgClr>
                  <a:srgbClr val="9999FF"/>
                </a:fgClr>
                <a:bgClr>
                  <a:srgbClr val="9999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B29-4F5A-A95E-E2270F9AD7FC}"/>
              </c:ext>
            </c:extLst>
          </c:dPt>
          <c:dPt>
            <c:idx val="2"/>
            <c:bubble3D val="0"/>
            <c:spPr>
              <a:pattFill prst="wdDnDiag">
                <a:fgClr>
                  <a:srgbClr val="3366FF"/>
                </a:fgClr>
                <a:bgClr>
                  <a:srgbClr val="3366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29-4F5A-A95E-E2270F9AD7FC}"/>
              </c:ext>
            </c:extLst>
          </c:dPt>
          <c:dPt>
            <c:idx val="3"/>
            <c:bubble3D val="0"/>
            <c:spPr>
              <a:pattFill prst="wdDnDiag">
                <a:fgClr>
                  <a:srgbClr val="CCCCFF"/>
                </a:fgClr>
                <a:bgClr>
                  <a:srgbClr val="CCCC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29-4F5A-A95E-E2270F9AD7FC}"/>
              </c:ext>
            </c:extLst>
          </c:dPt>
          <c:dPt>
            <c:idx val="4"/>
            <c:bubble3D val="0"/>
            <c:spPr>
              <a:pattFill prst="wdDnDiag">
                <a:fgClr>
                  <a:srgbClr val="969696"/>
                </a:fgClr>
                <a:bgClr>
                  <a:srgbClr val="969696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B29-4F5A-A95E-E2270F9AD7FC}"/>
              </c:ext>
            </c:extLst>
          </c:dPt>
          <c:dPt>
            <c:idx val="5"/>
            <c:bubble3D val="0"/>
            <c:spPr>
              <a:pattFill prst="wdDnDiag">
                <a:fgClr>
                  <a:srgbClr val="C0C0C0"/>
                </a:fgClr>
                <a:bgClr>
                  <a:srgbClr val="C0C0C0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B29-4F5A-A95E-E2270F9AD7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Analysis!$B$66:$B$71</c:f>
              <c:strCache>
                <c:ptCount val="6"/>
                <c:pt idx="0">
                  <c:v>Pay roll</c:v>
                </c:pt>
                <c:pt idx="1">
                  <c:v>Credit cards</c:v>
                </c:pt>
                <c:pt idx="2">
                  <c:v>Vehicles</c:v>
                </c:pt>
                <c:pt idx="3">
                  <c:v>Regular loans</c:v>
                </c:pt>
                <c:pt idx="4">
                  <c:v>Other</c:v>
                </c:pt>
                <c:pt idx="5">
                  <c:v>Overdraft</c:v>
                </c:pt>
              </c:strCache>
            </c:strRef>
          </c:cat>
          <c:val>
            <c:numRef>
              <c:f>Analysis!$C$66:$C$71</c:f>
              <c:numCache>
                <c:formatCode>#,##0</c:formatCode>
                <c:ptCount val="6"/>
                <c:pt idx="0">
                  <c:v>413.08499999999998</c:v>
                </c:pt>
                <c:pt idx="1">
                  <c:v>256.67</c:v>
                </c:pt>
                <c:pt idx="2">
                  <c:v>209.21799999999999</c:v>
                </c:pt>
                <c:pt idx="3">
                  <c:v>140.88300000000001</c:v>
                </c:pt>
                <c:pt idx="4">
                  <c:v>114.194</c:v>
                </c:pt>
                <c:pt idx="5">
                  <c:v>19.445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9-4F5A-A95E-E2270F9AD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42428501421222"/>
          <c:y val="5.3441357037232878E-2"/>
          <c:w val="0.70328364775217034"/>
          <c:h val="0.688273133343232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rgbClr val="000080"/>
                </a:fgClr>
                <a:bgClr>
                  <a:srgbClr val="000080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87-4C75-BFC1-8430D654BEF5}"/>
              </c:ext>
            </c:extLst>
          </c:dPt>
          <c:dPt>
            <c:idx val="1"/>
            <c:bubble3D val="0"/>
            <c:spPr>
              <a:pattFill prst="wdDnDiag">
                <a:fgClr>
                  <a:srgbClr val="9999FF"/>
                </a:fgClr>
                <a:bgClr>
                  <a:srgbClr val="9999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87-4C75-BFC1-8430D654BEF5}"/>
              </c:ext>
            </c:extLst>
          </c:dPt>
          <c:dPt>
            <c:idx val="2"/>
            <c:bubble3D val="0"/>
            <c:spPr>
              <a:pattFill prst="wdDnDiag">
                <a:fgClr>
                  <a:srgbClr val="3366FF"/>
                </a:fgClr>
                <a:bgClr>
                  <a:srgbClr val="3366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787-4C75-BFC1-8430D654BEF5}"/>
              </c:ext>
            </c:extLst>
          </c:dPt>
          <c:dPt>
            <c:idx val="3"/>
            <c:bubble3D val="0"/>
            <c:spPr>
              <a:pattFill prst="wdDnDiag">
                <a:fgClr>
                  <a:srgbClr val="CCCCFF"/>
                </a:fgClr>
                <a:bgClr>
                  <a:srgbClr val="CCCC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87-4C75-BFC1-8430D654BE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Analysis!$B$74:$B$77</c:f>
              <c:strCache>
                <c:ptCount val="4"/>
                <c:pt idx="0">
                  <c:v>Earmarked real estate</c:v>
                </c:pt>
                <c:pt idx="1">
                  <c:v>Earmarked rural credit</c:v>
                </c:pt>
                <c:pt idx="2">
                  <c:v>BNDES</c:v>
                </c:pt>
                <c:pt idx="3">
                  <c:v>Other</c:v>
                </c:pt>
              </c:strCache>
            </c:strRef>
          </c:cat>
          <c:val>
            <c:numRef>
              <c:f>Analysis!$C$74:$C$77</c:f>
              <c:numCache>
                <c:formatCode>#,##0</c:formatCode>
                <c:ptCount val="4"/>
                <c:pt idx="0">
                  <c:v>689.7</c:v>
                </c:pt>
                <c:pt idx="1">
                  <c:v>219.19900000000001</c:v>
                </c:pt>
                <c:pt idx="2">
                  <c:v>53.706000000000003</c:v>
                </c:pt>
                <c:pt idx="3">
                  <c:v>7.039999999999921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87-4C75-BFC1-8430D654B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Quarts!$B$360</c:f>
              <c:strCache>
                <c:ptCount val="1"/>
                <c:pt idx="0">
                  <c:v>Cielo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Quarts!$C$359:$S$359</c:f>
              <c:strCache>
                <c:ptCount val="1"/>
                <c:pt idx="0">
                  <c:v>1Q21</c:v>
                </c:pt>
              </c:strCache>
            </c:strRef>
          </c:cat>
          <c:val>
            <c:numRef>
              <c:f>Quarts!$C$360:$S$360</c:f>
              <c:numCache>
                <c:formatCode>0.0%</c:formatCode>
                <c:ptCount val="1"/>
                <c:pt idx="0">
                  <c:v>0.28622540250447226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DC3-A42F-4DF0327287D4}"/>
            </c:ext>
          </c:extLst>
        </c:ser>
        <c:ser>
          <c:idx val="1"/>
          <c:order val="1"/>
          <c:tx>
            <c:strRef>
              <c:f>Quarts!$B$361</c:f>
              <c:strCache>
                <c:ptCount val="1"/>
                <c:pt idx="0">
                  <c:v>Rede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Quarts!$C$359:$S$359</c:f>
              <c:strCache>
                <c:ptCount val="1"/>
                <c:pt idx="0">
                  <c:v>1Q21</c:v>
                </c:pt>
              </c:strCache>
            </c:strRef>
          </c:cat>
          <c:val>
            <c:numRef>
              <c:f>Quarts!$C$361:$S$361</c:f>
              <c:numCache>
                <c:formatCode>0.0%</c:formatCode>
                <c:ptCount val="1"/>
                <c:pt idx="0">
                  <c:v>0.25016735604649998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B-4DC3-A42F-4DF0327287D4}"/>
            </c:ext>
          </c:extLst>
        </c:ser>
        <c:ser>
          <c:idx val="2"/>
          <c:order val="2"/>
          <c:tx>
            <c:strRef>
              <c:f>Quarts!$B$362</c:f>
              <c:strCache>
                <c:ptCount val="1"/>
                <c:pt idx="0">
                  <c:v>GetNet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Quarts!$C$359:$S$359</c:f>
              <c:strCache>
                <c:ptCount val="1"/>
                <c:pt idx="0">
                  <c:v>1Q21</c:v>
                </c:pt>
              </c:strCache>
            </c:strRef>
          </c:cat>
          <c:val>
            <c:numRef>
              <c:f>Quarts!$C$362:$S$362</c:f>
              <c:numCache>
                <c:formatCode>0.0%</c:formatCode>
                <c:ptCount val="1"/>
                <c:pt idx="0">
                  <c:v>0.15563506261180679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B-4DC3-A42F-4DF0327287D4}"/>
            </c:ext>
          </c:extLst>
        </c:ser>
        <c:ser>
          <c:idx val="3"/>
          <c:order val="3"/>
          <c:tx>
            <c:strRef>
              <c:f>Quarts!$B$363</c:f>
              <c:strCache>
                <c:ptCount val="1"/>
                <c:pt idx="0">
                  <c:v>PagSeguro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Quarts!$C$359:$S$359</c:f>
              <c:strCache>
                <c:ptCount val="1"/>
                <c:pt idx="0">
                  <c:v>1Q21</c:v>
                </c:pt>
              </c:strCache>
            </c:strRef>
          </c:cat>
          <c:val>
            <c:numRef>
              <c:f>Quarts!$C$363:$S$363</c:f>
              <c:numCache>
                <c:formatCode>0.0%</c:formatCode>
                <c:ptCount val="1"/>
                <c:pt idx="0">
                  <c:v>8.9445438282647588E-2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B-4DC3-A42F-4DF0327287D4}"/>
            </c:ext>
          </c:extLst>
        </c:ser>
        <c:ser>
          <c:idx val="4"/>
          <c:order val="4"/>
          <c:tx>
            <c:strRef>
              <c:f>Quarts!$B$364</c:f>
              <c:strCache>
                <c:ptCount val="1"/>
                <c:pt idx="0">
                  <c:v>Stone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Quarts!$C$359:$S$359</c:f>
              <c:strCache>
                <c:ptCount val="1"/>
                <c:pt idx="0">
                  <c:v>1Q21</c:v>
                </c:pt>
              </c:strCache>
            </c:strRef>
          </c:cat>
          <c:val>
            <c:numRef>
              <c:f>Quarts!$C$364:$S$364</c:f>
              <c:numCache>
                <c:formatCode>0.0%</c:formatCode>
                <c:ptCount val="1"/>
                <c:pt idx="0">
                  <c:v>9.0876565295169937E-2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6B-4DC3-A42F-4DF0327287D4}"/>
            </c:ext>
          </c:extLst>
        </c:ser>
        <c:ser>
          <c:idx val="5"/>
          <c:order val="5"/>
          <c:tx>
            <c:strRef>
              <c:f>Quarts!$B$365</c:f>
              <c:strCache>
                <c:ptCount val="1"/>
                <c:pt idx="0">
                  <c:v>Vero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Quarts!$C$359:$S$359</c:f>
              <c:strCache>
                <c:ptCount val="1"/>
                <c:pt idx="0">
                  <c:v>1Q21</c:v>
                </c:pt>
              </c:strCache>
            </c:strRef>
          </c:cat>
          <c:val>
            <c:numRef>
              <c:f>Quarts!$C$365:$S$365</c:f>
              <c:numCache>
                <c:formatCode>0.0%</c:formatCode>
                <c:ptCount val="1"/>
                <c:pt idx="0">
                  <c:v>1.7173524150268338E-2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6B-4DC3-A42F-4DF0327287D4}"/>
            </c:ext>
          </c:extLst>
        </c:ser>
        <c:ser>
          <c:idx val="6"/>
          <c:order val="6"/>
          <c:tx>
            <c:strRef>
              <c:f>Quarts!$B$366</c:f>
              <c:strCache>
                <c:ptCount val="1"/>
                <c:pt idx="0">
                  <c:v>Others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strRef>
              <c:f>Quarts!$C$359:$S$359</c:f>
              <c:strCache>
                <c:ptCount val="1"/>
                <c:pt idx="0">
                  <c:v>1Q21</c:v>
                </c:pt>
              </c:strCache>
            </c:strRef>
          </c:cat>
          <c:val>
            <c:numRef>
              <c:f>Quarts!$C$366:$S$366</c:f>
              <c:numCache>
                <c:formatCode>0.0%</c:formatCode>
                <c:ptCount val="1"/>
                <c:pt idx="0">
                  <c:v>0.11047665110913504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6B-4DC3-A42F-4DF032728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399592"/>
        <c:axId val="860405168"/>
      </c:lineChart>
      <c:catAx>
        <c:axId val="860399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60405168"/>
        <c:crosses val="autoZero"/>
        <c:auto val="1"/>
        <c:lblAlgn val="ctr"/>
        <c:lblOffset val="100"/>
        <c:noMultiLvlLbl val="0"/>
      </c:catAx>
      <c:valAx>
        <c:axId val="8604051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FF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6039959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42428501421222"/>
          <c:y val="5.3441357037232878E-2"/>
          <c:w val="0.70328364775217034"/>
          <c:h val="0.688273133343232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rgbClr val="000080"/>
                </a:fgClr>
                <a:bgClr>
                  <a:srgbClr val="000080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13-40C7-860E-4C1B4BBF20BE}"/>
              </c:ext>
            </c:extLst>
          </c:dPt>
          <c:dPt>
            <c:idx val="1"/>
            <c:bubble3D val="0"/>
            <c:spPr>
              <a:pattFill prst="wdDnDiag">
                <a:fgClr>
                  <a:srgbClr val="9999FF"/>
                </a:fgClr>
                <a:bgClr>
                  <a:srgbClr val="9999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13-40C7-860E-4C1B4BBF20BE}"/>
              </c:ext>
            </c:extLst>
          </c:dPt>
          <c:dPt>
            <c:idx val="2"/>
            <c:bubble3D val="0"/>
            <c:spPr>
              <a:pattFill prst="wdDnDiag">
                <a:fgClr>
                  <a:srgbClr val="3366FF"/>
                </a:fgClr>
                <a:bgClr>
                  <a:srgbClr val="3366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13-40C7-860E-4C1B4BBF20BE}"/>
              </c:ext>
            </c:extLst>
          </c:dPt>
          <c:dPt>
            <c:idx val="3"/>
            <c:bubble3D val="0"/>
            <c:spPr>
              <a:pattFill prst="wdDnDiag">
                <a:fgClr>
                  <a:srgbClr val="CCCCFF"/>
                </a:fgClr>
                <a:bgClr>
                  <a:srgbClr val="CCCC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13-40C7-860E-4C1B4BBF20BE}"/>
              </c:ext>
            </c:extLst>
          </c:dPt>
          <c:dPt>
            <c:idx val="4"/>
            <c:bubble3D val="0"/>
            <c:spPr>
              <a:pattFill prst="wdDnDiag">
                <a:fgClr>
                  <a:srgbClr val="969696"/>
                </a:fgClr>
                <a:bgClr>
                  <a:srgbClr val="969696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13-40C7-860E-4C1B4BBF20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Analysis!$B$49:$B$53</c:f>
              <c:strCache>
                <c:ptCount val="5"/>
                <c:pt idx="0">
                  <c:v>Other</c:v>
                </c:pt>
                <c:pt idx="1">
                  <c:v>Working Capital</c:v>
                </c:pt>
                <c:pt idx="2">
                  <c:v>Dis. receivables</c:v>
                </c:pt>
                <c:pt idx="3">
                  <c:v>Dis. credit card bills</c:v>
                </c:pt>
                <c:pt idx="4">
                  <c:v>Credit cards</c:v>
                </c:pt>
              </c:strCache>
            </c:strRef>
          </c:cat>
          <c:val>
            <c:numRef>
              <c:f>Analysis!$C$49:$C$53</c:f>
              <c:numCache>
                <c:formatCode>#,##0</c:formatCode>
                <c:ptCount val="5"/>
                <c:pt idx="0">
                  <c:v>465.08600000000001</c:v>
                </c:pt>
                <c:pt idx="1">
                  <c:v>426.61500000000001</c:v>
                </c:pt>
                <c:pt idx="2">
                  <c:v>96.447000000000003</c:v>
                </c:pt>
                <c:pt idx="3">
                  <c:v>40.234000000000002</c:v>
                </c:pt>
                <c:pt idx="4">
                  <c:v>12.173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413-40C7-860E-4C1B4BBF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42428501421222"/>
          <c:y val="5.3441357037232878E-2"/>
          <c:w val="0.70328364775217034"/>
          <c:h val="0.688273133343232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rgbClr val="000080"/>
                </a:fgClr>
                <a:bgClr>
                  <a:srgbClr val="000080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EC-4996-A392-D77B7E0678E0}"/>
              </c:ext>
            </c:extLst>
          </c:dPt>
          <c:dPt>
            <c:idx val="1"/>
            <c:bubble3D val="0"/>
            <c:spPr>
              <a:pattFill prst="wdDnDiag">
                <a:fgClr>
                  <a:srgbClr val="9999FF"/>
                </a:fgClr>
                <a:bgClr>
                  <a:srgbClr val="9999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EC-4996-A392-D77B7E0678E0}"/>
              </c:ext>
            </c:extLst>
          </c:dPt>
          <c:dPt>
            <c:idx val="2"/>
            <c:bubble3D val="0"/>
            <c:spPr>
              <a:pattFill prst="wdDnDiag">
                <a:fgClr>
                  <a:srgbClr val="3366FF"/>
                </a:fgClr>
                <a:bgClr>
                  <a:srgbClr val="3366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EC-4996-A392-D77B7E0678E0}"/>
              </c:ext>
            </c:extLst>
          </c:dPt>
          <c:dPt>
            <c:idx val="3"/>
            <c:bubble3D val="0"/>
            <c:spPr>
              <a:pattFill prst="wdDnDiag">
                <a:fgClr>
                  <a:srgbClr val="CCCCFF"/>
                </a:fgClr>
                <a:bgClr>
                  <a:srgbClr val="CCCC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EC-4996-A392-D77B7E0678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Analysis!$B$56:$B$59</c:f>
              <c:strCache>
                <c:ptCount val="4"/>
                <c:pt idx="0">
                  <c:v>BNDES</c:v>
                </c:pt>
                <c:pt idx="1">
                  <c:v>Other Earmarked</c:v>
                </c:pt>
                <c:pt idx="2">
                  <c:v>Rural credit</c:v>
                </c:pt>
                <c:pt idx="3">
                  <c:v>Real estate</c:v>
                </c:pt>
              </c:strCache>
            </c:strRef>
          </c:cat>
          <c:val>
            <c:numRef>
              <c:f>Analysis!$C$56:$C$59</c:f>
              <c:numCache>
                <c:formatCode>#,##0</c:formatCode>
                <c:ptCount val="4"/>
                <c:pt idx="0">
                  <c:v>393.18400000000003</c:v>
                </c:pt>
                <c:pt idx="1">
                  <c:v>179.429</c:v>
                </c:pt>
                <c:pt idx="2">
                  <c:v>52.481000000000002</c:v>
                </c:pt>
                <c:pt idx="3">
                  <c:v>30.277999999999999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EC-4996-A392-D77B7E06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rgbClr val="000080"/>
                </a:fgClr>
                <a:bgClr>
                  <a:srgbClr val="000080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3-42BF-A6FA-2DB3DBAE0958}"/>
              </c:ext>
            </c:extLst>
          </c:dPt>
          <c:dPt>
            <c:idx val="1"/>
            <c:bubble3D val="0"/>
            <c:spPr>
              <a:pattFill prst="wdDnDiag">
                <a:fgClr>
                  <a:srgbClr val="9999FF"/>
                </a:fgClr>
                <a:bgClr>
                  <a:srgbClr val="9999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03-42BF-A6FA-2DB3DBAE0958}"/>
              </c:ext>
            </c:extLst>
          </c:dPt>
          <c:dPt>
            <c:idx val="2"/>
            <c:bubble3D val="0"/>
            <c:spPr>
              <a:pattFill prst="wdDnDiag">
                <a:fgClr>
                  <a:srgbClr val="3366FF"/>
                </a:fgClr>
                <a:bgClr>
                  <a:srgbClr val="3366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03-42BF-A6FA-2DB3DBAE09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Analysis!$B$39:$B$41</c:f>
              <c:strCache>
                <c:ptCount val="3"/>
                <c:pt idx="0">
                  <c:v>Interchange</c:v>
                </c:pt>
                <c:pt idx="1">
                  <c:v>Interest on credit</c:v>
                </c:pt>
                <c:pt idx="2">
                  <c:v>Float </c:v>
                </c:pt>
              </c:strCache>
            </c:strRef>
          </c:cat>
          <c:val>
            <c:numRef>
              <c:f>Analysis!$D$39:$D$41</c:f>
              <c:numCache>
                <c:formatCode>0%</c:formatCode>
                <c:ptCount val="3"/>
                <c:pt idx="0">
                  <c:v>0.7</c:v>
                </c:pt>
                <c:pt idx="1">
                  <c:v>0.2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3-42BF-A6FA-2DB3DBAE0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Analysis!$B$204</c:f>
              <c:strCache>
                <c:ptCount val="1"/>
                <c:pt idx="0">
                  <c:v>Pagbank revenue (LHS)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strRef>
              <c:f>Analysis!$C$203:$I$203</c:f>
              <c:strCache>
                <c:ptCount val="7"/>
                <c:pt idx="0">
                  <c:v>1Q19</c:v>
                </c:pt>
                <c:pt idx="1">
                  <c:v>2Q19</c:v>
                </c:pt>
                <c:pt idx="2">
                  <c:v>3Q19</c:v>
                </c:pt>
                <c:pt idx="4">
                  <c:v>1Q 20</c:v>
                </c:pt>
                <c:pt idx="5">
                  <c:v>2Q 20</c:v>
                </c:pt>
                <c:pt idx="6">
                  <c:v>3Q 20</c:v>
                </c:pt>
              </c:strCache>
            </c:strRef>
          </c:cat>
          <c:val>
            <c:numRef>
              <c:f>Analysis!$C$204:$I$204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7-45BD-A1E2-EB6DD0808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5988288"/>
        <c:axId val="775983040"/>
      </c:barChart>
      <c:lineChart>
        <c:grouping val="standard"/>
        <c:varyColors val="0"/>
        <c:ser>
          <c:idx val="1"/>
          <c:order val="1"/>
          <c:tx>
            <c:strRef>
              <c:f>Analysis!$B$205</c:f>
              <c:strCache>
                <c:ptCount val="1"/>
                <c:pt idx="0">
                  <c:v>as % Group (RHS)</c:v>
                </c:pt>
              </c:strCache>
            </c:strRef>
          </c:tx>
          <c:spPr>
            <a:ln w="25400" cap="rnd">
              <a:solidFill>
                <a:schemeClr val="accent1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000080"/>
              </a:solidFill>
              <a:ln w="9525">
                <a:solidFill>
                  <a:srgbClr val="000080"/>
                </a:solidFill>
                <a:prstDash val="solid"/>
              </a:ln>
              <a:effectLst/>
            </c:spPr>
          </c:marker>
          <c:cat>
            <c:strRef>
              <c:f>Analysis!$C$203:$I$203</c:f>
              <c:strCache>
                <c:ptCount val="7"/>
                <c:pt idx="0">
                  <c:v>1Q19</c:v>
                </c:pt>
                <c:pt idx="1">
                  <c:v>2Q19</c:v>
                </c:pt>
                <c:pt idx="2">
                  <c:v>3Q19</c:v>
                </c:pt>
                <c:pt idx="4">
                  <c:v>1Q 20</c:v>
                </c:pt>
                <c:pt idx="5">
                  <c:v>2Q 20</c:v>
                </c:pt>
                <c:pt idx="6">
                  <c:v>3Q 20</c:v>
                </c:pt>
              </c:strCache>
            </c:strRef>
          </c:cat>
          <c:val>
            <c:numRef>
              <c:f>Analysis!$C$205:$I$205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7-45BD-A1E2-EB6DD0808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884040"/>
        <c:axId val="795881416"/>
      </c:lineChart>
      <c:catAx>
        <c:axId val="77598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75983040"/>
        <c:crosses val="autoZero"/>
        <c:auto val="1"/>
        <c:lblAlgn val="ctr"/>
        <c:lblOffset val="100"/>
        <c:noMultiLvlLbl val="0"/>
      </c:catAx>
      <c:valAx>
        <c:axId val="7759830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GB"/>
                  <a:t>BRL million/Q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75988288"/>
        <c:crosses val="autoZero"/>
        <c:crossBetween val="between"/>
      </c:valAx>
      <c:valAx>
        <c:axId val="79588141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US"/>
                  <a:t>% of Group Revenue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95884040"/>
        <c:crosses val="max"/>
        <c:crossBetween val="between"/>
      </c:valAx>
      <c:catAx>
        <c:axId val="795884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588141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square"/>
            <c:size val="8"/>
            <c:spPr>
              <a:solidFill>
                <a:srgbClr val="333399"/>
              </a:solidFill>
              <a:ln w="9525">
                <a:solidFill>
                  <a:srgbClr val="333399"/>
                </a:solidFill>
                <a:prstDash val="solid"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Acquirer!$E$2:$I$2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Acquirer!$E$24:$I$24</c:f>
              <c:numCache>
                <c:formatCode>0.0%</c:formatCode>
                <c:ptCount val="5"/>
                <c:pt idx="0">
                  <c:v>0.29838629592850052</c:v>
                </c:pt>
                <c:pt idx="1">
                  <c:v>0.31775480893744257</c:v>
                </c:pt>
                <c:pt idx="2">
                  <c:v>0.34234831411021255</c:v>
                </c:pt>
                <c:pt idx="3">
                  <c:v>0.38551450636610313</c:v>
                </c:pt>
                <c:pt idx="4">
                  <c:v>0.44981058976959559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4-49A7-B195-B2A04FAB9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906752"/>
        <c:axId val="421900848"/>
      </c:lineChart>
      <c:catAx>
        <c:axId val="42190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21900848"/>
        <c:crosses val="autoZero"/>
        <c:auto val="1"/>
        <c:lblAlgn val="ctr"/>
        <c:lblOffset val="100"/>
        <c:noMultiLvlLbl val="0"/>
      </c:catAx>
      <c:valAx>
        <c:axId val="4219008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219067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Analysis!$B$215</c:f>
              <c:strCache>
                <c:ptCount val="1"/>
                <c:pt idx="0">
                  <c:v>PAGS active merchants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Analysis!$C$208:$E$208</c:f>
              <c:strCache>
                <c:ptCount val="3"/>
                <c:pt idx="0">
                  <c:v>Q1 20</c:v>
                </c:pt>
                <c:pt idx="1">
                  <c:v>Q2 20</c:v>
                </c:pt>
                <c:pt idx="2">
                  <c:v>Q3 20</c:v>
                </c:pt>
              </c:strCache>
            </c:strRef>
          </c:cat>
          <c:val>
            <c:numRef>
              <c:f>Analysis!$C$215:$E$215</c:f>
              <c:numCache>
                <c:formatCode>0.0</c:formatCode>
                <c:ptCount val="3"/>
                <c:pt idx="0">
                  <c:v>5.4960050000000011</c:v>
                </c:pt>
                <c:pt idx="1">
                  <c:v>5.7949969999999995</c:v>
                </c:pt>
                <c:pt idx="2">
                  <c:v>6.2689469999999998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1-414D-9BFE-6E9B6CE2B2EE}"/>
            </c:ext>
          </c:extLst>
        </c:ser>
        <c:ser>
          <c:idx val="1"/>
          <c:order val="1"/>
          <c:tx>
            <c:strRef>
              <c:f>Analysis!$B$216</c:f>
              <c:strCache>
                <c:ptCount val="1"/>
                <c:pt idx="0">
                  <c:v>Pago Brasil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Analysis!$C$208:$E$208</c:f>
              <c:strCache>
                <c:ptCount val="3"/>
                <c:pt idx="0">
                  <c:v>Q1 20</c:v>
                </c:pt>
                <c:pt idx="1">
                  <c:v>Q2 20</c:v>
                </c:pt>
                <c:pt idx="2">
                  <c:v>Q3 20</c:v>
                </c:pt>
              </c:strCache>
            </c:strRef>
          </c:cat>
          <c:val>
            <c:numRef>
              <c:f>Analysis!$C$216:$E$216</c:f>
              <c:numCache>
                <c:formatCode>0.0</c:formatCode>
                <c:ptCount val="3"/>
                <c:pt idx="0">
                  <c:v>1.0941068139963168</c:v>
                </c:pt>
                <c:pt idx="1">
                  <c:v>1.5736434108527135</c:v>
                </c:pt>
                <c:pt idx="2">
                  <c:v>2.6123466257668713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1-414D-9BFE-6E9B6CE2B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1430560"/>
        <c:axId val="651431544"/>
      </c:barChart>
      <c:catAx>
        <c:axId val="6514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51431544"/>
        <c:crosses val="autoZero"/>
        <c:auto val="1"/>
        <c:lblAlgn val="ctr"/>
        <c:lblOffset val="100"/>
        <c:noMultiLvlLbl val="0"/>
      </c:catAx>
      <c:valAx>
        <c:axId val="6514315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514305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Analysis!$B$187</c:f>
              <c:strCache>
                <c:ptCount val="1"/>
                <c:pt idx="0">
                  <c:v>PAGS, USD million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Analysis!$C$181:$H$181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Analysis!$C$187:$H$187</c:f>
              <c:numCache>
                <c:formatCode>0</c:formatCode>
                <c:ptCount val="6"/>
                <c:pt idx="0">
                  <c:v>107.36842105263158</c:v>
                </c:pt>
                <c:pt idx="1">
                  <c:v>381.4</c:v>
                </c:pt>
                <c:pt idx="2">
                  <c:v>544.20000000000005</c:v>
                </c:pt>
                <c:pt idx="3">
                  <c:v>495.88235294117652</c:v>
                </c:pt>
                <c:pt idx="4">
                  <c:v>523.50057670126876</c:v>
                </c:pt>
                <c:pt idx="5">
                  <c:v>658.32522936125622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2-4683-93AB-F1BFA586FF7F}"/>
            </c:ext>
          </c:extLst>
        </c:ser>
        <c:ser>
          <c:idx val="1"/>
          <c:order val="1"/>
          <c:tx>
            <c:v>Mercado Credito</c:v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numRef>
              <c:f>Analysis!$C$181:$H$181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Analysis!$C$190:$H$190</c:f>
              <c:numCache>
                <c:formatCode>0</c:formatCode>
                <c:ptCount val="6"/>
                <c:pt idx="0">
                  <c:v>200</c:v>
                </c:pt>
                <c:pt idx="1">
                  <c:v>785.92803046218319</c:v>
                </c:pt>
                <c:pt idx="2">
                  <c:v>1389.2662380234306</c:v>
                </c:pt>
                <c:pt idx="3">
                  <c:v>2284.1093680000831</c:v>
                </c:pt>
                <c:pt idx="4">
                  <c:v>3458.5570614927356</c:v>
                </c:pt>
                <c:pt idx="5">
                  <c:v>5171.5017886009055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32-4683-93AB-F1BFA586F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663592"/>
        <c:axId val="439678024"/>
      </c:barChart>
      <c:catAx>
        <c:axId val="439663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39678024"/>
        <c:crosses val="autoZero"/>
        <c:auto val="1"/>
        <c:lblAlgn val="ctr"/>
        <c:lblOffset val="100"/>
        <c:noMultiLvlLbl val="0"/>
      </c:catAx>
      <c:valAx>
        <c:axId val="4396780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3966359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Analysis!$B$238:$B$240</c:f>
              <c:strCache>
                <c:ptCount val="3"/>
                <c:pt idx="0">
                  <c:v>Stone</c:v>
                </c:pt>
                <c:pt idx="1">
                  <c:v>PAGS</c:v>
                </c:pt>
                <c:pt idx="2">
                  <c:v>Pago</c:v>
                </c:pt>
              </c:strCache>
            </c:strRef>
          </c:cat>
          <c:val>
            <c:numRef>
              <c:f>Analysis!$C$238:$C$240</c:f>
              <c:numCache>
                <c:formatCode>0</c:formatCode>
                <c:ptCount val="3"/>
                <c:pt idx="0">
                  <c:v>3584.9056603773588</c:v>
                </c:pt>
                <c:pt idx="1">
                  <c:v>396.22641509433964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F-48D7-B9D5-A512FE3D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675072"/>
        <c:axId val="439675728"/>
      </c:barChart>
      <c:catAx>
        <c:axId val="43967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39675728"/>
        <c:crosses val="autoZero"/>
        <c:auto val="1"/>
        <c:lblAlgn val="ctr"/>
        <c:lblOffset val="100"/>
        <c:noMultiLvlLbl val="0"/>
      </c:catAx>
      <c:valAx>
        <c:axId val="4396757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US"/>
                  <a:t>USD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396750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Analysis!$B$252</c:f>
              <c:strCache>
                <c:ptCount val="1"/>
                <c:pt idx="0">
                  <c:v>Credit card penetration (LHS)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Analysis!$C$251:$N$251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Analysis!$C$252:$N$252</c:f>
              <c:numCache>
                <c:formatCode>0%</c:formatCode>
                <c:ptCount val="12"/>
                <c:pt idx="0">
                  <c:v>0.38364779874213834</c:v>
                </c:pt>
                <c:pt idx="1">
                  <c:v>0.41730606174991614</c:v>
                </c:pt>
                <c:pt idx="2">
                  <c:v>0.45131211152813011</c:v>
                </c:pt>
                <c:pt idx="3">
                  <c:v>0.48566869869658336</c:v>
                </c:pt>
                <c:pt idx="4">
                  <c:v>0.50431752561843302</c:v>
                </c:pt>
                <c:pt idx="5">
                  <c:v>0.52315129517772951</c:v>
                </c:pt>
                <c:pt idx="6">
                  <c:v>0.54217144876909873</c:v>
                </c:pt>
                <c:pt idx="7">
                  <c:v>0.561379437896811</c:v>
                </c:pt>
                <c:pt idx="8">
                  <c:v>0.58077672424159421</c:v>
                </c:pt>
                <c:pt idx="9">
                  <c:v>0.60036477972786928</c:v>
                </c:pt>
                <c:pt idx="10">
                  <c:v>0.62014508659141565</c:v>
                </c:pt>
                <c:pt idx="11">
                  <c:v>0.64011913744746529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9-49DE-889E-4A7BC93EC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882416"/>
        <c:axId val="731881432"/>
      </c:lineChart>
      <c:lineChart>
        <c:grouping val="standard"/>
        <c:varyColors val="0"/>
        <c:ser>
          <c:idx val="1"/>
          <c:order val="1"/>
          <c:tx>
            <c:strRef>
              <c:f>Analysis!$B$253</c:f>
              <c:strCache>
                <c:ptCount val="1"/>
                <c:pt idx="0">
                  <c:v>PAGS % share of total credit cards (RHS)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Analysis!$C$253:$N$253</c:f>
              <c:numCache>
                <c:formatCode>0.0%</c:formatCode>
                <c:ptCount val="12"/>
                <c:pt idx="0">
                  <c:v>2.5409836065573813E-3</c:v>
                </c:pt>
                <c:pt idx="1">
                  <c:v>3.9772727272727303E-3</c:v>
                </c:pt>
                <c:pt idx="2">
                  <c:v>4.7535211267605683E-3</c:v>
                </c:pt>
                <c:pt idx="3">
                  <c:v>4.7697368421052728E-3</c:v>
                </c:pt>
                <c:pt idx="4">
                  <c:v>5.5414012738853567E-3</c:v>
                </c:pt>
                <c:pt idx="5">
                  <c:v>5.3703703703703769E-3</c:v>
                </c:pt>
                <c:pt idx="6">
                  <c:v>5.2095808383233596E-3</c:v>
                </c:pt>
                <c:pt idx="7">
                  <c:v>5.0581395348837264E-3</c:v>
                </c:pt>
                <c:pt idx="8">
                  <c:v>4.9152542372881414E-3</c:v>
                </c:pt>
                <c:pt idx="9">
                  <c:v>4.780219780219786E-3</c:v>
                </c:pt>
                <c:pt idx="10">
                  <c:v>4.6524064171123052E-3</c:v>
                </c:pt>
                <c:pt idx="11">
                  <c:v>4.5312500000000049E-3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9-49DE-889E-4A7BC93EC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881760"/>
        <c:axId val="731880448"/>
      </c:lineChart>
      <c:catAx>
        <c:axId val="73188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31881432"/>
        <c:crosses val="autoZero"/>
        <c:auto val="1"/>
        <c:lblAlgn val="ctr"/>
        <c:lblOffset val="100"/>
        <c:noMultiLvlLbl val="0"/>
      </c:catAx>
      <c:valAx>
        <c:axId val="7318814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31882416"/>
        <c:crosses val="autoZero"/>
        <c:crossBetween val="between"/>
      </c:valAx>
      <c:valAx>
        <c:axId val="7318804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31881760"/>
        <c:crosses val="max"/>
        <c:crossBetween val="between"/>
      </c:valAx>
      <c:catAx>
        <c:axId val="73188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73188044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Analysis!$B$255</c:f>
              <c:strCache>
                <c:ptCount val="1"/>
                <c:pt idx="0">
                  <c:v>Credit cards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Analysis!$C$251:$N$251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Analysis!$C$255:$N$255</c:f>
              <c:numCache>
                <c:formatCode>General</c:formatCode>
                <c:ptCount val="12"/>
                <c:pt idx="0">
                  <c:v>0.3100000000000005</c:v>
                </c:pt>
                <c:pt idx="1">
                  <c:v>0.52500000000000036</c:v>
                </c:pt>
                <c:pt idx="2">
                  <c:v>0.67500000000000071</c:v>
                </c:pt>
                <c:pt idx="3">
                  <c:v>0.72500000000000142</c:v>
                </c:pt>
                <c:pt idx="4">
                  <c:v>0.87000000000000099</c:v>
                </c:pt>
                <c:pt idx="5">
                  <c:v>0.87000000000000099</c:v>
                </c:pt>
                <c:pt idx="6">
                  <c:v>0.87000000000000099</c:v>
                </c:pt>
                <c:pt idx="7">
                  <c:v>0.87000000000000099</c:v>
                </c:pt>
                <c:pt idx="8">
                  <c:v>0.87000000000000099</c:v>
                </c:pt>
                <c:pt idx="9">
                  <c:v>0.87000000000000099</c:v>
                </c:pt>
                <c:pt idx="10">
                  <c:v>0.87000000000000099</c:v>
                </c:pt>
                <c:pt idx="11">
                  <c:v>0.87000000000000099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E-4292-970B-F3810272537B}"/>
            </c:ext>
          </c:extLst>
        </c:ser>
        <c:ser>
          <c:idx val="1"/>
          <c:order val="1"/>
          <c:tx>
            <c:strRef>
              <c:f>Analysis!$B$256</c:f>
              <c:strCache>
                <c:ptCount val="1"/>
                <c:pt idx="0">
                  <c:v>Cash cards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numRef>
              <c:f>Analysis!$C$251:$N$251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Analysis!$C$256:$N$256</c:f>
              <c:numCache>
                <c:formatCode>General</c:formatCode>
                <c:ptCount val="12"/>
                <c:pt idx="0">
                  <c:v>5.89</c:v>
                </c:pt>
                <c:pt idx="1">
                  <c:v>9.9749999999999996</c:v>
                </c:pt>
                <c:pt idx="2">
                  <c:v>12.824999999999999</c:v>
                </c:pt>
                <c:pt idx="3">
                  <c:v>13.774999999999999</c:v>
                </c:pt>
                <c:pt idx="4">
                  <c:v>13.629999999999999</c:v>
                </c:pt>
                <c:pt idx="5">
                  <c:v>13.629999999999999</c:v>
                </c:pt>
                <c:pt idx="6">
                  <c:v>13.629999999999999</c:v>
                </c:pt>
                <c:pt idx="7">
                  <c:v>13.629999999999999</c:v>
                </c:pt>
                <c:pt idx="8">
                  <c:v>13.629999999999999</c:v>
                </c:pt>
                <c:pt idx="9">
                  <c:v>13.629999999999999</c:v>
                </c:pt>
                <c:pt idx="10">
                  <c:v>13.629999999999999</c:v>
                </c:pt>
                <c:pt idx="11">
                  <c:v>13.629999999999999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E-4292-970B-F38102725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1440400"/>
        <c:axId val="651441384"/>
      </c:barChart>
      <c:catAx>
        <c:axId val="65144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51441384"/>
        <c:crosses val="autoZero"/>
        <c:auto val="1"/>
        <c:lblAlgn val="ctr"/>
        <c:lblOffset val="100"/>
        <c:noMultiLvlLbl val="0"/>
      </c:catAx>
      <c:valAx>
        <c:axId val="6514413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US"/>
                  <a:t>millions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514404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Quarts!$B$360:$B$365</c:f>
              <c:strCache>
                <c:ptCount val="6"/>
                <c:pt idx="0">
                  <c:v>Cielo</c:v>
                </c:pt>
                <c:pt idx="1">
                  <c:v>Rede</c:v>
                </c:pt>
                <c:pt idx="2">
                  <c:v>GetNet</c:v>
                </c:pt>
                <c:pt idx="3">
                  <c:v>PagSeguro</c:v>
                </c:pt>
                <c:pt idx="4">
                  <c:v>Stone</c:v>
                </c:pt>
                <c:pt idx="5">
                  <c:v>Vero</c:v>
                </c:pt>
              </c:strCache>
            </c:strRef>
          </c:cat>
          <c:val>
            <c:numRef>
              <c:f>Quarts!$P$360:$P$365</c:f>
            </c:numRef>
          </c:val>
          <c:extLst>
            <c:ext xmlns:c16="http://schemas.microsoft.com/office/drawing/2014/chart" uri="{C3380CC4-5D6E-409C-BE32-E72D297353CC}">
              <c16:uniqueId val="{00000000-18E1-4C5A-B1E7-82D6FC3F7242}"/>
            </c:ext>
          </c:extLst>
        </c:ser>
        <c:ser>
          <c:idx val="1"/>
          <c:order val="1"/>
          <c:cat>
            <c:strRef>
              <c:f>Quarts!$B$360:$B$365</c:f>
              <c:strCache>
                <c:ptCount val="6"/>
                <c:pt idx="0">
                  <c:v>Cielo</c:v>
                </c:pt>
                <c:pt idx="1">
                  <c:v>Rede</c:v>
                </c:pt>
                <c:pt idx="2">
                  <c:v>GetNet</c:v>
                </c:pt>
                <c:pt idx="3">
                  <c:v>PagSeguro</c:v>
                </c:pt>
                <c:pt idx="4">
                  <c:v>Stone</c:v>
                </c:pt>
                <c:pt idx="5">
                  <c:v>Vero</c:v>
                </c:pt>
              </c:strCache>
            </c:strRef>
          </c:cat>
          <c:val>
            <c:numRef>
              <c:f>Quarts!$Q$360:$Q$365</c:f>
            </c:numRef>
          </c:val>
          <c:extLst>
            <c:ext xmlns:c16="http://schemas.microsoft.com/office/drawing/2014/chart" uri="{C3380CC4-5D6E-409C-BE32-E72D297353CC}">
              <c16:uniqueId val="{00000007-18E1-4C5A-B1E7-82D6FC3F7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Analysis!$B$278</c:f>
              <c:strCache>
                <c:ptCount val="1"/>
                <c:pt idx="0">
                  <c:v>Card issuance TPV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Analysis!$C$277:$N$277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Analysis!$C$278:$N$278</c:f>
              <c:numCache>
                <c:formatCode>#,##0</c:formatCode>
                <c:ptCount val="12"/>
                <c:pt idx="0">
                  <c:v>13206.777358109788</c:v>
                </c:pt>
                <c:pt idx="1">
                  <c:v>23038.030930656932</c:v>
                </c:pt>
                <c:pt idx="2">
                  <c:v>30619.94369274635</c:v>
                </c:pt>
                <c:pt idx="3">
                  <c:v>33536.252698562959</c:v>
                </c:pt>
                <c:pt idx="4">
                  <c:v>36038.88542678376</c:v>
                </c:pt>
                <c:pt idx="5">
                  <c:v>37367.844222235406</c:v>
                </c:pt>
                <c:pt idx="6">
                  <c:v>38678.99665108577</c:v>
                </c:pt>
                <c:pt idx="7">
                  <c:v>39990.149079936142</c:v>
                </c:pt>
                <c:pt idx="8">
                  <c:v>41301.301508786506</c:v>
                </c:pt>
                <c:pt idx="9">
                  <c:v>42612.45393763687</c:v>
                </c:pt>
                <c:pt idx="10">
                  <c:v>43923.606366487242</c:v>
                </c:pt>
                <c:pt idx="11">
                  <c:v>45234.758795337606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B-408A-9196-E3C1B58B53D3}"/>
            </c:ext>
          </c:extLst>
        </c:ser>
        <c:ser>
          <c:idx val="1"/>
          <c:order val="1"/>
          <c:tx>
            <c:strRef>
              <c:f>Analysis!$B$279</c:f>
              <c:strCache>
                <c:ptCount val="1"/>
                <c:pt idx="0">
                  <c:v>Wallet TPV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numRef>
              <c:f>Analysis!$C$277:$N$277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Analysis!$C$279:$N$279</c:f>
              <c:numCache>
                <c:formatCode>#,##0</c:formatCode>
                <c:ptCount val="12"/>
                <c:pt idx="0">
                  <c:v>7262.9226418902126</c:v>
                </c:pt>
                <c:pt idx="1">
                  <c:v>47290.969069343068</c:v>
                </c:pt>
                <c:pt idx="2">
                  <c:v>172145.05630725366</c:v>
                </c:pt>
                <c:pt idx="3">
                  <c:v>343513.74730143702</c:v>
                </c:pt>
                <c:pt idx="4">
                  <c:v>464699.36095162464</c:v>
                </c:pt>
                <c:pt idx="5">
                  <c:v>566623.42078701418</c:v>
                </c:pt>
                <c:pt idx="6">
                  <c:v>612401.94056027604</c:v>
                </c:pt>
                <c:pt idx="7">
                  <c:v>661341.75375889626</c:v>
                </c:pt>
                <c:pt idx="8">
                  <c:v>713644.54342597804</c:v>
                </c:pt>
                <c:pt idx="9">
                  <c:v>769524.25767537067</c:v>
                </c:pt>
                <c:pt idx="10">
                  <c:v>829207.83199113759</c:v>
                </c:pt>
                <c:pt idx="11">
                  <c:v>892935.95309429278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B-408A-9196-E3C1B58B5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7058288"/>
        <c:axId val="827058616"/>
      </c:barChart>
      <c:catAx>
        <c:axId val="82705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27058616"/>
        <c:crosses val="autoZero"/>
        <c:auto val="1"/>
        <c:lblAlgn val="ctr"/>
        <c:lblOffset val="100"/>
        <c:noMultiLvlLbl val="0"/>
      </c:catAx>
      <c:valAx>
        <c:axId val="8270586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GB"/>
                  <a:t>BRL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270582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Analysis!$B$281</c:f>
              <c:strCache>
                <c:ptCount val="1"/>
                <c:pt idx="0">
                  <c:v>Wallet spend/Pagbank user/month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Analysis!$C$277:$N$277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Analysis!$C$281:$N$281</c:f>
              <c:numCache>
                <c:formatCode>#,##0</c:formatCode>
                <c:ptCount val="12"/>
                <c:pt idx="0">
                  <c:v>605.24355349085101</c:v>
                </c:pt>
                <c:pt idx="1">
                  <c:v>798.96889794463698</c:v>
                </c:pt>
                <c:pt idx="2">
                  <c:v>1370.2761829150638</c:v>
                </c:pt>
                <c:pt idx="3">
                  <c:v>1955.8053912105413</c:v>
                </c:pt>
                <c:pt idx="4">
                  <c:v>2346.9664694526496</c:v>
                </c:pt>
                <c:pt idx="5">
                  <c:v>2769.4204339541261</c:v>
                </c:pt>
                <c:pt idx="6">
                  <c:v>2907.8914556518325</c:v>
                </c:pt>
                <c:pt idx="7">
                  <c:v>3053.2860284344242</c:v>
                </c:pt>
                <c:pt idx="8">
                  <c:v>3205.9503298561453</c:v>
                </c:pt>
                <c:pt idx="9">
                  <c:v>3366.2478463489529</c:v>
                </c:pt>
                <c:pt idx="10">
                  <c:v>3534.5602386664004</c:v>
                </c:pt>
                <c:pt idx="11">
                  <c:v>3711.2882505997204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6-4187-A102-2C78D2CB0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7058288"/>
        <c:axId val="827058616"/>
      </c:barChart>
      <c:catAx>
        <c:axId val="82705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27058616"/>
        <c:crosses val="autoZero"/>
        <c:auto val="1"/>
        <c:lblAlgn val="ctr"/>
        <c:lblOffset val="100"/>
        <c:noMultiLvlLbl val="0"/>
      </c:catAx>
      <c:valAx>
        <c:axId val="8270586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US"/>
                  <a:t>BRL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270582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Analysis!$B$285</c:f>
              <c:strCache>
                <c:ptCount val="1"/>
                <c:pt idx="0">
                  <c:v>as % active Pagbank users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Analysis!$D$284:$N$284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Analysis!$D$285:$N$285</c:f>
              <c:numCache>
                <c:formatCode>0%</c:formatCode>
                <c:ptCount val="11"/>
                <c:pt idx="0">
                  <c:v>1.6783216783216783E-2</c:v>
                </c:pt>
                <c:pt idx="1">
                  <c:v>0.02</c:v>
                </c:pt>
                <c:pt idx="2">
                  <c:v>2.5000000000000001E-2</c:v>
                </c:pt>
                <c:pt idx="3">
                  <c:v>3.1E-2</c:v>
                </c:pt>
                <c:pt idx="4">
                  <c:v>3.5000000000000003E-2</c:v>
                </c:pt>
                <c:pt idx="5">
                  <c:v>0.04</c:v>
                </c:pt>
                <c:pt idx="6">
                  <c:v>4.4999999999999998E-2</c:v>
                </c:pt>
                <c:pt idx="7">
                  <c:v>4.9999999999999996E-2</c:v>
                </c:pt>
                <c:pt idx="8">
                  <c:v>5.2499999999999998E-2</c:v>
                </c:pt>
                <c:pt idx="9">
                  <c:v>5.5E-2</c:v>
                </c:pt>
                <c:pt idx="10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D-4C32-BF22-6BB144BEEA4F}"/>
            </c:ext>
          </c:extLst>
        </c:ser>
        <c:ser>
          <c:idx val="1"/>
          <c:order val="1"/>
          <c:tx>
            <c:strRef>
              <c:f>Analysis!$B$286</c:f>
              <c:strCache>
                <c:ptCount val="1"/>
                <c:pt idx="0">
                  <c:v>as % active Merchants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Analysis!$D$284:$N$284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Analysis!$D$286:$N$286</c:f>
              <c:numCache>
                <c:formatCode>0%</c:formatCode>
                <c:ptCount val="11"/>
                <c:pt idx="0">
                  <c:v>2.5052192066805846E-2</c:v>
                </c:pt>
                <c:pt idx="1">
                  <c:v>3.7171164354806767E-2</c:v>
                </c:pt>
                <c:pt idx="2">
                  <c:v>5.2645261926426629E-2</c:v>
                </c:pt>
                <c:pt idx="3">
                  <c:v>7.3352112676056347E-2</c:v>
                </c:pt>
                <c:pt idx="4">
                  <c:v>9.3153846153846157E-2</c:v>
                </c:pt>
                <c:pt idx="5">
                  <c:v>0.10787878787878789</c:v>
                </c:pt>
                <c:pt idx="6">
                  <c:v>0.12110294117647059</c:v>
                </c:pt>
                <c:pt idx="7">
                  <c:v>0.13428571428571429</c:v>
                </c:pt>
                <c:pt idx="8">
                  <c:v>0.14072916666666666</c:v>
                </c:pt>
                <c:pt idx="9">
                  <c:v>0.14716216216216216</c:v>
                </c:pt>
                <c:pt idx="10">
                  <c:v>0.15358552631578951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2D-4C32-BF22-6BB144BEE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7347912"/>
        <c:axId val="437346600"/>
      </c:lineChart>
      <c:catAx>
        <c:axId val="437347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37346600"/>
        <c:crosses val="autoZero"/>
        <c:auto val="1"/>
        <c:lblAlgn val="ctr"/>
        <c:lblOffset val="100"/>
        <c:noMultiLvlLbl val="0"/>
      </c:catAx>
      <c:valAx>
        <c:axId val="4373466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373479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2540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9C-4996-B804-2C66C1DDA6CA}"/>
              </c:ext>
            </c:extLst>
          </c:dPt>
          <c:cat>
            <c:strRef>
              <c:f>Analysis!$B$308:$B$313</c:f>
              <c:strCache>
                <c:ptCount val="6"/>
                <c:pt idx="0">
                  <c:v>MELI Group</c:v>
                </c:pt>
                <c:pt idx="1">
                  <c:v>MELI Fintech</c:v>
                </c:pt>
                <c:pt idx="2">
                  <c:v>STNE</c:v>
                </c:pt>
                <c:pt idx="3">
                  <c:v>SQ *</c:v>
                </c:pt>
                <c:pt idx="4">
                  <c:v>PYPS</c:v>
                </c:pt>
                <c:pt idx="5">
                  <c:v>PAGS</c:v>
                </c:pt>
              </c:strCache>
            </c:strRef>
          </c:cat>
          <c:val>
            <c:numRef>
              <c:f>Analysis!$C$308:$C$313</c:f>
              <c:numCache>
                <c:formatCode>0%</c:formatCode>
                <c:ptCount val="6"/>
                <c:pt idx="0">
                  <c:v>1.0900000000000001</c:v>
                </c:pt>
                <c:pt idx="1">
                  <c:v>0.52</c:v>
                </c:pt>
                <c:pt idx="2">
                  <c:v>0.39</c:v>
                </c:pt>
                <c:pt idx="3">
                  <c:v>0.25</c:v>
                </c:pt>
                <c:pt idx="4">
                  <c:v>0.25</c:v>
                </c:pt>
                <c:pt idx="5">
                  <c:v>0.21771252979260836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C-4996-B804-2C66C1DDA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2909880"/>
        <c:axId val="612909224"/>
      </c:barChart>
      <c:catAx>
        <c:axId val="61290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12909224"/>
        <c:crosses val="autoZero"/>
        <c:auto val="1"/>
        <c:lblAlgn val="ctr"/>
        <c:lblOffset val="100"/>
        <c:noMultiLvlLbl val="0"/>
      </c:catAx>
      <c:valAx>
        <c:axId val="6129092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US"/>
                  <a:t>y/y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129098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Analysis!$B$412</c:f>
              <c:strCache>
                <c:ptCount val="1"/>
                <c:pt idx="0">
                  <c:v>Micromerchants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strRef>
              <c:f>Analysis!$C$411:$E$411</c:f>
              <c:strCache>
                <c:ptCount val="3"/>
                <c:pt idx="0">
                  <c:v>Q1 20</c:v>
                </c:pt>
                <c:pt idx="1">
                  <c:v>Q3 20</c:v>
                </c:pt>
                <c:pt idx="2">
                  <c:v>Q1 21</c:v>
                </c:pt>
              </c:strCache>
            </c:strRef>
          </c:cat>
          <c:val>
            <c:numRef>
              <c:f>Analysis!$C$412:$E$412</c:f>
              <c:numCache>
                <c:formatCode>#,##0</c:formatCode>
                <c:ptCount val="3"/>
                <c:pt idx="0">
                  <c:v>7428.7136294027559</c:v>
                </c:pt>
                <c:pt idx="1">
                  <c:v>7919.9183673469379</c:v>
                </c:pt>
                <c:pt idx="2">
                  <c:v>9701.9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9-4072-969A-1A5D426CCC78}"/>
            </c:ext>
          </c:extLst>
        </c:ser>
        <c:ser>
          <c:idx val="1"/>
          <c:order val="1"/>
          <c:tx>
            <c:strRef>
              <c:f>Analysis!$B$413</c:f>
              <c:strCache>
                <c:ptCount val="1"/>
                <c:pt idx="0">
                  <c:v>Individual (other)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strRef>
              <c:f>Analysis!$C$411:$E$411</c:f>
              <c:strCache>
                <c:ptCount val="3"/>
                <c:pt idx="0">
                  <c:v>Q1 20</c:v>
                </c:pt>
                <c:pt idx="1">
                  <c:v>Q3 20</c:v>
                </c:pt>
                <c:pt idx="2">
                  <c:v>Q1 21</c:v>
                </c:pt>
              </c:strCache>
            </c:strRef>
          </c:cat>
          <c:val>
            <c:numRef>
              <c:f>Analysis!$C$413:$E$413</c:f>
              <c:numCache>
                <c:formatCode>#,##0</c:formatCode>
                <c:ptCount val="3"/>
                <c:pt idx="0">
                  <c:v>2322.4279835390948</c:v>
                </c:pt>
                <c:pt idx="1">
                  <c:v>2373.7118822292327</c:v>
                </c:pt>
                <c:pt idx="2">
                  <c:v>2257.4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69-4072-969A-1A5D426CCC78}"/>
            </c:ext>
          </c:extLst>
        </c:ser>
        <c:ser>
          <c:idx val="2"/>
          <c:order val="2"/>
          <c:tx>
            <c:strRef>
              <c:f>Analysis!$B$414</c:f>
              <c:strCache>
                <c:ptCount val="1"/>
                <c:pt idx="0">
                  <c:v>Individual (limited liability)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  <a:effectLst/>
          </c:spPr>
          <c:invertIfNegative val="0"/>
          <c:cat>
            <c:strRef>
              <c:f>Analysis!$C$411:$E$411</c:f>
              <c:strCache>
                <c:ptCount val="3"/>
                <c:pt idx="0">
                  <c:v>Q1 20</c:v>
                </c:pt>
                <c:pt idx="1">
                  <c:v>Q3 20</c:v>
                </c:pt>
                <c:pt idx="2">
                  <c:v>Q1 21</c:v>
                </c:pt>
              </c:strCache>
            </c:strRef>
          </c:cat>
          <c:val>
            <c:numRef>
              <c:f>Analysis!$C$414:$E$414</c:f>
              <c:numCache>
                <c:formatCode>#,##0</c:formatCode>
                <c:ptCount val="3"/>
                <c:pt idx="0">
                  <c:v>963.76101860920676</c:v>
                </c:pt>
                <c:pt idx="1">
                  <c:v>1120.7289293849658</c:v>
                </c:pt>
                <c:pt idx="2">
                  <c:v>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E-4274-93F3-6C460D9B4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0209280"/>
        <c:axId val="300115056"/>
      </c:barChart>
      <c:catAx>
        <c:axId val="111020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300115056"/>
        <c:crosses val="autoZero"/>
        <c:auto val="1"/>
        <c:lblAlgn val="ctr"/>
        <c:lblOffset val="100"/>
        <c:noMultiLvlLbl val="0"/>
      </c:catAx>
      <c:valAx>
        <c:axId val="3001150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11020928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val>
            <c:numRef>
              <c:f>Analysis!$E$422</c:f>
              <c:numCache>
                <c:formatCode>0%</c:formatCode>
                <c:ptCount val="1"/>
                <c:pt idx="0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2-4098-8809-80F66AF0A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8975823"/>
        <c:axId val="1358962095"/>
      </c:barChart>
      <c:catAx>
        <c:axId val="1358975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358962095"/>
        <c:crosses val="autoZero"/>
        <c:auto val="1"/>
        <c:lblAlgn val="ctr"/>
        <c:lblOffset val="100"/>
        <c:noMultiLvlLbl val="0"/>
      </c:catAx>
      <c:valAx>
        <c:axId val="135896209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358975823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Analysis!$B$472</c:f>
              <c:strCache>
                <c:ptCount val="1"/>
                <c:pt idx="0">
                  <c:v>Interchange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Analysis!$C$471:$H$471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Analysis!$C$472:$H$472</c:f>
              <c:numCache>
                <c:formatCode>#,##0</c:formatCode>
                <c:ptCount val="6"/>
                <c:pt idx="0">
                  <c:v>310.4968917826186</c:v>
                </c:pt>
                <c:pt idx="1">
                  <c:v>339.85543874520988</c:v>
                </c:pt>
                <c:pt idx="2">
                  <c:v>503.06992742037039</c:v>
                </c:pt>
                <c:pt idx="3">
                  <c:v>321.96475354903708</c:v>
                </c:pt>
                <c:pt idx="4">
                  <c:v>313.91563471031117</c:v>
                </c:pt>
                <c:pt idx="5">
                  <c:v>329.61141644582676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C-45B7-B319-69115B09DD45}"/>
            </c:ext>
          </c:extLst>
        </c:ser>
        <c:ser>
          <c:idx val="1"/>
          <c:order val="1"/>
          <c:tx>
            <c:strRef>
              <c:f>Analysis!$B$473</c:f>
              <c:strCache>
                <c:ptCount val="1"/>
                <c:pt idx="0">
                  <c:v>Lending/wallet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numRef>
              <c:f>Analysis!$C$471:$H$471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Analysis!$C$473:$H$473</c:f>
              <c:numCache>
                <c:formatCode>#,##0</c:formatCode>
                <c:ptCount val="6"/>
                <c:pt idx="0">
                  <c:v>253.70310821738144</c:v>
                </c:pt>
                <c:pt idx="1">
                  <c:v>577.0445612547901</c:v>
                </c:pt>
                <c:pt idx="2">
                  <c:v>910.93007257962961</c:v>
                </c:pt>
                <c:pt idx="3">
                  <c:v>737.72577213541672</c:v>
                </c:pt>
                <c:pt idx="4">
                  <c:v>759.36512138671878</c:v>
                </c:pt>
                <c:pt idx="5">
                  <c:v>1149.1181223046876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C-45B7-B319-69115B09DD45}"/>
            </c:ext>
          </c:extLst>
        </c:ser>
        <c:ser>
          <c:idx val="2"/>
          <c:order val="2"/>
          <c:tx>
            <c:strRef>
              <c:f>Analysis!$B$474</c:f>
              <c:strCache>
                <c:ptCount val="1"/>
                <c:pt idx="0">
                  <c:v>Acquiring/non-Pagank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  <a:effectLst/>
          </c:spPr>
          <c:invertIfNegative val="0"/>
          <c:cat>
            <c:numRef>
              <c:f>Analysis!$C$471:$H$471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Analysis!$C$474:$H$474</c:f>
              <c:numCache>
                <c:formatCode>#,##0</c:formatCode>
                <c:ptCount val="6"/>
                <c:pt idx="0">
                  <c:v>6250.5</c:v>
                </c:pt>
                <c:pt idx="1">
                  <c:v>9529.1</c:v>
                </c:pt>
                <c:pt idx="2">
                  <c:v>13920.8</c:v>
                </c:pt>
                <c:pt idx="3">
                  <c:v>14889.309474315547</c:v>
                </c:pt>
                <c:pt idx="4">
                  <c:v>16360.601827270577</c:v>
                </c:pt>
                <c:pt idx="5">
                  <c:v>17680.529957286173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CC-45B7-B319-69115B09D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227679"/>
        <c:axId val="67228511"/>
      </c:barChart>
      <c:catAx>
        <c:axId val="67227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7228511"/>
        <c:crosses val="autoZero"/>
        <c:auto val="1"/>
        <c:lblAlgn val="ctr"/>
        <c:lblOffset val="100"/>
        <c:noMultiLvlLbl val="0"/>
      </c:catAx>
      <c:valAx>
        <c:axId val="6722851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7227679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Analysis!$B$479</c:f>
              <c:strCache>
                <c:ptCount val="1"/>
                <c:pt idx="0">
                  <c:v>After-tax cut from Interchange 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Analysis!$C$471:$H$471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Analysis!$C$479:$H$479</c:f>
              <c:numCache>
                <c:formatCode>#,##0</c:formatCode>
                <c:ptCount val="6"/>
                <c:pt idx="0">
                  <c:v>147.54812297510037</c:v>
                </c:pt>
                <c:pt idx="1">
                  <c:v>161.49930449172373</c:v>
                </c:pt>
                <c:pt idx="2">
                  <c:v>239.05882951016002</c:v>
                </c:pt>
                <c:pt idx="3">
                  <c:v>152.99765088650244</c:v>
                </c:pt>
                <c:pt idx="4">
                  <c:v>149.17270961433988</c:v>
                </c:pt>
                <c:pt idx="5">
                  <c:v>156.63134509505687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7-4552-813B-5854310F4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69388976"/>
        <c:axId val="1269392304"/>
      </c:barChart>
      <c:lineChart>
        <c:grouping val="standard"/>
        <c:varyColors val="0"/>
        <c:ser>
          <c:idx val="1"/>
          <c:order val="1"/>
          <c:tx>
            <c:strRef>
              <c:f>Analysis!$B$480</c:f>
              <c:strCache>
                <c:ptCount val="1"/>
                <c:pt idx="0">
                  <c:v>Interchange as % net income (GAAP)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Analysis!$C$480:$H$480</c:f>
              <c:numCache>
                <c:formatCode>0%</c:formatCode>
                <c:ptCount val="6"/>
                <c:pt idx="0">
                  <c:v>0.10293576320294433</c:v>
                </c:pt>
                <c:pt idx="1">
                  <c:v>0.11348415746730645</c:v>
                </c:pt>
                <c:pt idx="2">
                  <c:v>0.14960812911331128</c:v>
                </c:pt>
                <c:pt idx="3">
                  <c:v>8.7898364310706814E-2</c:v>
                </c:pt>
                <c:pt idx="4">
                  <c:v>6.8825429473981542E-2</c:v>
                </c:pt>
                <c:pt idx="5">
                  <c:v>5.7631941969625011E-2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7-4552-813B-5854310F4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204688"/>
        <c:axId val="1269185136"/>
      </c:lineChart>
      <c:catAx>
        <c:axId val="126938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269392304"/>
        <c:crosses val="autoZero"/>
        <c:auto val="1"/>
        <c:lblAlgn val="ctr"/>
        <c:lblOffset val="100"/>
        <c:noMultiLvlLbl val="0"/>
      </c:catAx>
      <c:valAx>
        <c:axId val="12693923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269388976"/>
        <c:crosses val="autoZero"/>
        <c:crossBetween val="between"/>
      </c:valAx>
      <c:valAx>
        <c:axId val="12691851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269204688"/>
        <c:crosses val="max"/>
        <c:crossBetween val="between"/>
      </c:valAx>
      <c:catAx>
        <c:axId val="126920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918513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 w="25400">
              <a:noFill/>
            </a:ln>
            <a:effectLst/>
          </c:spPr>
          <c:invertIfNegative val="0"/>
          <c:cat>
            <c:strRef>
              <c:f>Analysis!$C$531:$C$535</c:f>
              <c:strCache>
                <c:ptCount val="5"/>
                <c:pt idx="0">
                  <c:v>Q3 20</c:v>
                </c:pt>
                <c:pt idx="1">
                  <c:v>CDI</c:v>
                </c:pt>
                <c:pt idx="2">
                  <c:v>Depreciation</c:v>
                </c:pt>
                <c:pt idx="3">
                  <c:v>Other / op leverage</c:v>
                </c:pt>
                <c:pt idx="4">
                  <c:v>Q3 21</c:v>
                </c:pt>
              </c:strCache>
            </c:strRef>
          </c:cat>
          <c:val>
            <c:numRef>
              <c:f>Analysis!$D$531:$D$535</c:f>
              <c:numCache>
                <c:formatCode>0%</c:formatCode>
                <c:ptCount val="5"/>
                <c:pt idx="1">
                  <c:v>0.14942885822000374</c:v>
                </c:pt>
                <c:pt idx="2">
                  <c:v>0.13317973339851361</c:v>
                </c:pt>
                <c:pt idx="3">
                  <c:v>0.13317973339851361</c:v>
                </c:pt>
                <c:pt idx="4">
                  <c:v>-9.9999999999999992E-2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7-4BD5-84B0-679532788827}"/>
            </c:ext>
          </c:extLst>
        </c:ser>
        <c:ser>
          <c:idx val="1"/>
          <c:order val="1"/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008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57-4BD5-84B0-679532788827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C57-4BD5-84B0-679532788827}"/>
              </c:ext>
            </c:extLst>
          </c:dPt>
          <c:dPt>
            <c:idx val="4"/>
            <c:invertIfNegative val="0"/>
            <c:bubble3D val="0"/>
            <c:spPr>
              <a:solidFill>
                <a:srgbClr val="00008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C6-4BE5-8649-1856D9668931}"/>
              </c:ext>
            </c:extLst>
          </c:dPt>
          <c:cat>
            <c:strRef>
              <c:f>Analysis!$C$531:$C$535</c:f>
              <c:strCache>
                <c:ptCount val="5"/>
                <c:pt idx="0">
                  <c:v>Q3 20</c:v>
                </c:pt>
                <c:pt idx="1">
                  <c:v>CDI</c:v>
                </c:pt>
                <c:pt idx="2">
                  <c:v>Depreciation</c:v>
                </c:pt>
                <c:pt idx="3">
                  <c:v>Other / op leverage</c:v>
                </c:pt>
                <c:pt idx="4">
                  <c:v>Q3 21</c:v>
                </c:pt>
              </c:strCache>
            </c:strRef>
          </c:cat>
          <c:val>
            <c:numRef>
              <c:f>Analysis!$E$531:$E$535</c:f>
              <c:numCache>
                <c:formatCode>0%</c:formatCode>
                <c:ptCount val="5"/>
                <c:pt idx="0">
                  <c:v>0.18545450848299097</c:v>
                </c:pt>
                <c:pt idx="1">
                  <c:v>3.6025650262987242E-2</c:v>
                </c:pt>
                <c:pt idx="2">
                  <c:v>1.624912482149013E-2</c:v>
                </c:pt>
                <c:pt idx="3">
                  <c:v>1.624912482149013E-2</c:v>
                </c:pt>
                <c:pt idx="4">
                  <c:v>0.15083939765112758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57-4BD5-84B0-67953278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6789071"/>
        <c:axId val="1966789487"/>
      </c:barChart>
      <c:catAx>
        <c:axId val="1966789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966789487"/>
        <c:crosses val="autoZero"/>
        <c:auto val="1"/>
        <c:lblAlgn val="ctr"/>
        <c:lblOffset val="100"/>
        <c:noMultiLvlLbl val="0"/>
      </c:catAx>
      <c:valAx>
        <c:axId val="1966789487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96678907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Analysis!$C$553:$H$553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Analysis!$C$554:$H$554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6-45CB-94D3-17DFC980D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2596784"/>
        <c:axId val="1282595952"/>
      </c:barChart>
      <c:catAx>
        <c:axId val="128259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282595952"/>
        <c:crosses val="autoZero"/>
        <c:auto val="1"/>
        <c:lblAlgn val="ctr"/>
        <c:lblOffset val="100"/>
        <c:noMultiLvlLbl val="0"/>
      </c:catAx>
      <c:valAx>
        <c:axId val="12825959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2825967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strRef>
              <c:f>Quarts!$M$158:$S$158</c:f>
              <c:strCache>
                <c:ptCount val="1"/>
                <c:pt idx="0">
                  <c:v>1Q 21</c:v>
                </c:pt>
              </c:strCache>
            </c:strRef>
          </c:cat>
          <c:val>
            <c:numRef>
              <c:f>Quarts!$M$214:$S$214</c:f>
              <c:numCache>
                <c:formatCode>#,##0"  ";\(#,##0\)" ";#,##0"  ";@"  "</c:formatCode>
                <c:ptCount val="1"/>
                <c:pt idx="0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A-4145-BE93-0262AEF30FA3}"/>
            </c:ext>
          </c:extLst>
        </c:ser>
        <c:ser>
          <c:idx val="1"/>
          <c:order val="1"/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strRef>
              <c:f>Quarts!$M$158:$S$158</c:f>
              <c:strCache>
                <c:ptCount val="1"/>
                <c:pt idx="0">
                  <c:v>1Q 21</c:v>
                </c:pt>
              </c:strCache>
            </c:strRef>
          </c:cat>
          <c:val>
            <c:numRef>
              <c:f>Quarts!$M$215:$S$215</c:f>
              <c:numCache>
                <c:formatCode>#,##0"  ";\(#,##0\)" ";#,##0"  ";@"  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9A-4145-BE93-0262AEF30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60764464"/>
        <c:axId val="760765448"/>
      </c:barChart>
      <c:catAx>
        <c:axId val="76076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60765448"/>
        <c:crosses val="autoZero"/>
        <c:auto val="1"/>
        <c:lblAlgn val="ctr"/>
        <c:lblOffset val="100"/>
        <c:noMultiLvlLbl val="0"/>
      </c:catAx>
      <c:valAx>
        <c:axId val="7607654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US"/>
                  <a:t>000s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#,##0&quot;  &quot;;\(#,##0\)&quot; &quot;;#,##0&quot;  &quot;;@&quot;  &quot;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607644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Analysis!$B$557</c:f>
              <c:strCache>
                <c:ptCount val="1"/>
                <c:pt idx="0">
                  <c:v>WC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Analysis!$C$553:$H$553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Analysis!$C$557:$H$557</c:f>
              <c:numCache>
                <c:formatCode>#,##0</c:formatCode>
                <c:ptCount val="6"/>
                <c:pt idx="0">
                  <c:v>23.5</c:v>
                </c:pt>
                <c:pt idx="1">
                  <c:v>111.2</c:v>
                </c:pt>
                <c:pt idx="2">
                  <c:v>865</c:v>
                </c:pt>
                <c:pt idx="3">
                  <c:v>1356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A-4749-9705-4B645F3A6DDD}"/>
            </c:ext>
          </c:extLst>
        </c:ser>
        <c:ser>
          <c:idx val="1"/>
          <c:order val="1"/>
          <c:tx>
            <c:strRef>
              <c:f>Analysis!$B$558</c:f>
              <c:strCache>
                <c:ptCount val="1"/>
                <c:pt idx="0">
                  <c:v>Credit cards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numRef>
              <c:f>Analysis!$C$553:$H$553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Analysis!$C$558:$H$558</c:f>
              <c:numCache>
                <c:formatCode>#,##0</c:formatCode>
                <c:ptCount val="6"/>
                <c:pt idx="0">
                  <c:v>257.7</c:v>
                </c:pt>
                <c:pt idx="1">
                  <c:v>726.09999999999991</c:v>
                </c:pt>
                <c:pt idx="2">
                  <c:v>1113</c:v>
                </c:pt>
                <c:pt idx="3">
                  <c:v>763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A-4749-9705-4B645F3A6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3220224"/>
        <c:axId val="1663205664"/>
      </c:barChart>
      <c:catAx>
        <c:axId val="166322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663205664"/>
        <c:crosses val="autoZero"/>
        <c:auto val="1"/>
        <c:lblAlgn val="ctr"/>
        <c:lblOffset val="100"/>
        <c:noMultiLvlLbl val="0"/>
      </c:catAx>
      <c:valAx>
        <c:axId val="16632056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6632202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2540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809-48CB-BF1B-4DCA524E1F0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2540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FA2-4B1D-8986-5770CB5DB5F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2540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FA2-4B1D-8986-5770CB5DB5F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2540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A2-4B1D-8986-5770CB5DB5F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2540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57-49B5-847B-8E4503BF685B}"/>
              </c:ext>
            </c:extLst>
          </c:dPt>
          <c:cat>
            <c:strRef>
              <c:f>Analysis!$B$571:$B$583</c:f>
              <c:strCache>
                <c:ptCount val="13"/>
                <c:pt idx="0">
                  <c:v>ADYEN</c:v>
                </c:pt>
                <c:pt idx="1">
                  <c:v>WISE</c:v>
                </c:pt>
                <c:pt idx="2">
                  <c:v>SQ</c:v>
                </c:pt>
                <c:pt idx="3">
                  <c:v>MELI</c:v>
                </c:pt>
                <c:pt idx="4">
                  <c:v>DLO</c:v>
                </c:pt>
                <c:pt idx="5">
                  <c:v>BIDI</c:v>
                </c:pt>
                <c:pt idx="6">
                  <c:v>MA</c:v>
                </c:pt>
                <c:pt idx="7">
                  <c:v>PYPL</c:v>
                </c:pt>
                <c:pt idx="8">
                  <c:v>V</c:v>
                </c:pt>
                <c:pt idx="9">
                  <c:v>STNE</c:v>
                </c:pt>
                <c:pt idx="10">
                  <c:v>PAGS</c:v>
                </c:pt>
                <c:pt idx="11">
                  <c:v>GET</c:v>
                </c:pt>
                <c:pt idx="12">
                  <c:v>Cielo</c:v>
                </c:pt>
              </c:strCache>
            </c:strRef>
          </c:cat>
          <c:val>
            <c:numRef>
              <c:f>Analysis!$C$571:$C$583</c:f>
              <c:numCache>
                <c:formatCode>General</c:formatCode>
                <c:ptCount val="13"/>
                <c:pt idx="0" formatCode="0">
                  <c:v>74</c:v>
                </c:pt>
                <c:pt idx="1">
                  <c:v>71</c:v>
                </c:pt>
                <c:pt idx="2" formatCode="0">
                  <c:v>59.3</c:v>
                </c:pt>
                <c:pt idx="3">
                  <c:v>59</c:v>
                </c:pt>
                <c:pt idx="4" formatCode="0">
                  <c:v>46</c:v>
                </c:pt>
                <c:pt idx="5" formatCode="0">
                  <c:v>35</c:v>
                </c:pt>
                <c:pt idx="6" formatCode="0">
                  <c:v>28.626095578053434</c:v>
                </c:pt>
                <c:pt idx="7" formatCode="0">
                  <c:v>29.353295140019465</c:v>
                </c:pt>
                <c:pt idx="8" formatCode="0">
                  <c:v>26.382754878852658</c:v>
                </c:pt>
                <c:pt idx="9" formatCode="0">
                  <c:v>24</c:v>
                </c:pt>
                <c:pt idx="10" formatCode="#,##0">
                  <c:v>17</c:v>
                </c:pt>
                <c:pt idx="11" formatCode="0">
                  <c:v>7.5</c:v>
                </c:pt>
                <c:pt idx="12" formatCode="0">
                  <c:v>6.1817990898359358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3-4445-854E-2FCAFA5F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63153248"/>
        <c:axId val="1663153664"/>
      </c:barChart>
      <c:catAx>
        <c:axId val="166315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663153664"/>
        <c:crosses val="autoZero"/>
        <c:auto val="1"/>
        <c:lblAlgn val="ctr"/>
        <c:lblOffset val="100"/>
        <c:noMultiLvlLbl val="0"/>
      </c:catAx>
      <c:valAx>
        <c:axId val="16631536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6631532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strRef>
              <c:f>Analysis!$B$590:$B$595</c:f>
              <c:strCache>
                <c:ptCount val="6"/>
                <c:pt idx="0">
                  <c:v>DLO</c:v>
                </c:pt>
                <c:pt idx="1">
                  <c:v>NU</c:v>
                </c:pt>
                <c:pt idx="2">
                  <c:v>STNE</c:v>
                </c:pt>
                <c:pt idx="3">
                  <c:v>MELI</c:v>
                </c:pt>
                <c:pt idx="4">
                  <c:v>PAGS</c:v>
                </c:pt>
                <c:pt idx="5">
                  <c:v>GET</c:v>
                </c:pt>
              </c:strCache>
            </c:strRef>
          </c:cat>
          <c:val>
            <c:numRef>
              <c:f>Analysis!$C$590:$C$595</c:f>
              <c:numCache>
                <c:formatCode>0%</c:formatCode>
                <c:ptCount val="6"/>
                <c:pt idx="0">
                  <c:v>0.79</c:v>
                </c:pt>
                <c:pt idx="1">
                  <c:v>0.72</c:v>
                </c:pt>
                <c:pt idx="2">
                  <c:v>0.61767937411081941</c:v>
                </c:pt>
                <c:pt idx="3">
                  <c:v>0.61</c:v>
                </c:pt>
                <c:pt idx="4">
                  <c:v>0.62283147393961324</c:v>
                </c:pt>
                <c:pt idx="5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5-4B02-835C-EEC3BA297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4404928"/>
        <c:axId val="1084415744"/>
      </c:barChart>
      <c:catAx>
        <c:axId val="10844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084415744"/>
        <c:crosses val="autoZero"/>
        <c:auto val="1"/>
        <c:lblAlgn val="ctr"/>
        <c:lblOffset val="100"/>
        <c:noMultiLvlLbl val="0"/>
      </c:catAx>
      <c:valAx>
        <c:axId val="10844157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0844049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Analysis!$B$638</c:f>
              <c:strCache>
                <c:ptCount val="1"/>
                <c:pt idx="0">
                  <c:v>PagSeguro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Analysis!$C$636:$H$636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Analysis!$C$638:$H$638</c:f>
              <c:numCache>
                <c:formatCode>#,##0</c:formatCode>
                <c:ptCount val="6"/>
                <c:pt idx="0">
                  <c:v>6250.5000000000009</c:v>
                </c:pt>
                <c:pt idx="1">
                  <c:v>9529.1</c:v>
                </c:pt>
                <c:pt idx="2">
                  <c:v>13920.8</c:v>
                </c:pt>
                <c:pt idx="3">
                  <c:v>14889.309474315545</c:v>
                </c:pt>
                <c:pt idx="4">
                  <c:v>16360.601827270579</c:v>
                </c:pt>
                <c:pt idx="5">
                  <c:v>17680.529957286173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E-4E99-9099-5921FB715688}"/>
            </c:ext>
          </c:extLst>
        </c:ser>
        <c:ser>
          <c:idx val="1"/>
          <c:order val="1"/>
          <c:tx>
            <c:strRef>
              <c:f>Analysis!$B$640</c:f>
              <c:strCache>
                <c:ptCount val="1"/>
                <c:pt idx="0">
                  <c:v>Stone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numRef>
              <c:f>Analysis!$C$636:$H$636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Analysis!$C$640:$H$640</c:f>
              <c:numCache>
                <c:formatCode>#,##0</c:formatCode>
                <c:ptCount val="6"/>
                <c:pt idx="0">
                  <c:v>2953.1101999999996</c:v>
                </c:pt>
                <c:pt idx="1">
                  <c:v>4359.0641822134166</c:v>
                </c:pt>
                <c:pt idx="2">
                  <c:v>6248.4202256805547</c:v>
                </c:pt>
                <c:pt idx="3">
                  <c:v>7789.0525198164614</c:v>
                </c:pt>
                <c:pt idx="4">
                  <c:v>8957.5188996239431</c:v>
                </c:pt>
                <c:pt idx="5">
                  <c:v>9934.0296058897129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2E-4E99-9099-5921FB715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4598927"/>
        <c:axId val="544586447"/>
      </c:barChart>
      <c:catAx>
        <c:axId val="544598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544586447"/>
        <c:crosses val="autoZero"/>
        <c:auto val="1"/>
        <c:lblAlgn val="ctr"/>
        <c:lblOffset val="100"/>
        <c:noMultiLvlLbl val="0"/>
      </c:catAx>
      <c:valAx>
        <c:axId val="54458644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54459892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17521604840619"/>
          <c:y val="3.813769043934237E-2"/>
          <c:w val="0.85634180216173872"/>
          <c:h val="0.77646508654143565"/>
        </c:manualLayout>
      </c:layout>
      <c:lineChart>
        <c:grouping val="standard"/>
        <c:varyColors val="0"/>
        <c:ser>
          <c:idx val="0"/>
          <c:order val="0"/>
          <c:tx>
            <c:strRef>
              <c:f>Analysis!$B$693</c:f>
              <c:strCache>
                <c:ptCount val="1"/>
                <c:pt idx="0">
                  <c:v>Take-rate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Analysis!$C$692:$N$692</c:f>
              <c:strCache>
                <c:ptCount val="12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#REF!</c:v>
                </c:pt>
                <c:pt idx="9">
                  <c:v>#REF!</c:v>
                </c:pt>
                <c:pt idx="10">
                  <c:v>#REF!</c:v>
                </c:pt>
                <c:pt idx="11">
                  <c:v>#REF!</c:v>
                </c:pt>
              </c:strCache>
            </c:strRef>
          </c:cat>
          <c:val>
            <c:numRef>
              <c:f>Analysis!$C$693:$N$693</c:f>
              <c:numCache>
                <c:formatCode>0.0%</c:formatCode>
                <c:ptCount val="12"/>
                <c:pt idx="0">
                  <c:v>2.80694245804789E-2</c:v>
                </c:pt>
                <c:pt idx="1">
                  <c:v>2.4342391163562307E-2</c:v>
                </c:pt>
                <c:pt idx="2">
                  <c:v>2.0295743387978665E-2</c:v>
                </c:pt>
                <c:pt idx="3">
                  <c:v>1.9748686399967869E-2</c:v>
                </c:pt>
                <c:pt idx="4">
                  <c:v>2.09631721879588E-2</c:v>
                </c:pt>
                <c:pt idx="5">
                  <c:v>2.0882654890729147E-2</c:v>
                </c:pt>
                <c:pt idx="6">
                  <c:v>2.0343508504983728E-2</c:v>
                </c:pt>
                <c:pt idx="7">
                  <c:v>1.8793229014612538E-2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48-4BB3-AE39-CA49D23FE16B}"/>
            </c:ext>
          </c:extLst>
        </c:ser>
        <c:ser>
          <c:idx val="1"/>
          <c:order val="1"/>
          <c:tx>
            <c:strRef>
              <c:f>Analysis!$B$694</c:f>
              <c:strCache>
                <c:ptCount val="1"/>
                <c:pt idx="0">
                  <c:v>Take-rate afer funding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Analysis!$C$692:$N$692</c:f>
              <c:strCache>
                <c:ptCount val="12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#REF!</c:v>
                </c:pt>
                <c:pt idx="9">
                  <c:v>#REF!</c:v>
                </c:pt>
                <c:pt idx="10">
                  <c:v>#REF!</c:v>
                </c:pt>
                <c:pt idx="11">
                  <c:v>#REF!</c:v>
                </c:pt>
              </c:strCache>
            </c:strRef>
          </c:cat>
          <c:val>
            <c:numRef>
              <c:f>Analysis!$C$694:$N$694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1.9899810205148485E-2</c:v>
                </c:pt>
                <c:pt idx="5">
                  <c:v>1.8498701753248008E-2</c:v>
                </c:pt>
                <c:pt idx="6">
                  <c:v>1.7203221300475857E-2</c:v>
                </c:pt>
                <c:pt idx="7">
                  <c:v>1.3690567417654363E-2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48-4BB3-AE39-CA49D23FE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870416"/>
        <c:axId val="609866672"/>
      </c:lineChart>
      <c:catAx>
        <c:axId val="60987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09866672"/>
        <c:crosses val="autoZero"/>
        <c:auto val="1"/>
        <c:lblAlgn val="ctr"/>
        <c:lblOffset val="100"/>
        <c:noMultiLvlLbl val="0"/>
      </c:catAx>
      <c:valAx>
        <c:axId val="6098666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098704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17521604840619"/>
          <c:y val="3.813769043934237E-2"/>
          <c:w val="0.85634180216173872"/>
          <c:h val="0.77646508654143565"/>
        </c:manualLayout>
      </c:layout>
      <c:lineChart>
        <c:grouping val="standard"/>
        <c:varyColors val="0"/>
        <c:ser>
          <c:idx val="0"/>
          <c:order val="0"/>
          <c:tx>
            <c:strRef>
              <c:f>Analysis!$B$697</c:f>
              <c:strCache>
                <c:ptCount val="1"/>
                <c:pt idx="0">
                  <c:v>SMB/micro take-rate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Analysis!$C$692:$N$692</c:f>
              <c:strCache>
                <c:ptCount val="12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#REF!</c:v>
                </c:pt>
                <c:pt idx="9">
                  <c:v>#REF!</c:v>
                </c:pt>
                <c:pt idx="10">
                  <c:v>#REF!</c:v>
                </c:pt>
                <c:pt idx="11">
                  <c:v>#REF!</c:v>
                </c:pt>
              </c:strCache>
            </c:strRef>
          </c:cat>
          <c:val>
            <c:numRef>
              <c:f>Analysis!$C$697:$N$697</c:f>
              <c:numCache>
                <c:formatCode>0.0%</c:formatCode>
                <c:ptCount val="12"/>
                <c:pt idx="0">
                  <c:v>2.12E-2</c:v>
                </c:pt>
                <c:pt idx="1">
                  <c:v>0.02</c:v>
                </c:pt>
                <c:pt idx="2">
                  <c:v>1.8100000000000002E-2</c:v>
                </c:pt>
                <c:pt idx="3">
                  <c:v>1.7999999999999999E-2</c:v>
                </c:pt>
                <c:pt idx="4">
                  <c:v>1.7899999999999999E-2</c:v>
                </c:pt>
                <c:pt idx="5">
                  <c:v>1.7899999999999999E-2</c:v>
                </c:pt>
                <c:pt idx="6">
                  <c:v>1.67E-2</c:v>
                </c:pt>
                <c:pt idx="7">
                  <c:v>1.7100000000000001E-2</c:v>
                </c:pt>
                <c:pt idx="8">
                  <c:v>2.0400000000000001E-2</c:v>
                </c:pt>
                <c:pt idx="9">
                  <c:v>2.1499999999999998E-2</c:v>
                </c:pt>
                <c:pt idx="10">
                  <c:v>2.12E-2</c:v>
                </c:pt>
                <c:pt idx="11">
                  <c:v>2.0969494322500001E-2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5-49BB-A212-F048FDABE20D}"/>
            </c:ext>
          </c:extLst>
        </c:ser>
        <c:ser>
          <c:idx val="1"/>
          <c:order val="1"/>
          <c:tx>
            <c:strRef>
              <c:f>Analysis!$B$698</c:f>
              <c:strCache>
                <c:ptCount val="1"/>
                <c:pt idx="0">
                  <c:v>After funding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Analysis!$C$692:$N$692</c:f>
              <c:strCache>
                <c:ptCount val="12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#REF!</c:v>
                </c:pt>
                <c:pt idx="9">
                  <c:v>#REF!</c:v>
                </c:pt>
                <c:pt idx="10">
                  <c:v>#REF!</c:v>
                </c:pt>
                <c:pt idx="11">
                  <c:v>#REF!</c:v>
                </c:pt>
              </c:strCache>
            </c:strRef>
          </c:cat>
          <c:val>
            <c:numRef>
              <c:f>Analysis!$C$698:$N$698</c:f>
              <c:numCache>
                <c:formatCode>0.0%</c:formatCode>
                <c:ptCount val="12"/>
                <c:pt idx="0">
                  <c:v>1.684095744680851E-2</c:v>
                </c:pt>
                <c:pt idx="1">
                  <c:v>1.8060367454068242E-2</c:v>
                </c:pt>
                <c:pt idx="2">
                  <c:v>1.6887661406025826E-2</c:v>
                </c:pt>
                <c:pt idx="3">
                  <c:v>1.6703416149068322E-2</c:v>
                </c:pt>
                <c:pt idx="4">
                  <c:v>1.5794117647058823E-2</c:v>
                </c:pt>
                <c:pt idx="5">
                  <c:v>1.5022516556291388E-2</c:v>
                </c:pt>
                <c:pt idx="6">
                  <c:v>1.2890666666666667E-2</c:v>
                </c:pt>
                <c:pt idx="7">
                  <c:v>1.1111235955056182E-2</c:v>
                </c:pt>
                <c:pt idx="8">
                  <c:v>1.2802867393480922E-2</c:v>
                </c:pt>
                <c:pt idx="9">
                  <c:v>1.2605795972855712E-2</c:v>
                </c:pt>
                <c:pt idx="10">
                  <c:v>1.2166082851262659E-2</c:v>
                </c:pt>
                <c:pt idx="11">
                  <c:v>1.2043677667679799E-2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5-49BB-A212-F048FDABE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870416"/>
        <c:axId val="609866672"/>
      </c:lineChart>
      <c:catAx>
        <c:axId val="60987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09866672"/>
        <c:crosses val="autoZero"/>
        <c:auto val="1"/>
        <c:lblAlgn val="ctr"/>
        <c:lblOffset val="100"/>
        <c:noMultiLvlLbl val="0"/>
      </c:catAx>
      <c:valAx>
        <c:axId val="6098666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6098704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strRef>
              <c:f>Analysis!$B$736:$B$737</c:f>
              <c:strCache>
                <c:ptCount val="2"/>
                <c:pt idx="0">
                  <c:v>TPV increase</c:v>
                </c:pt>
                <c:pt idx="1">
                  <c:v>Anticipated TPV increase</c:v>
                </c:pt>
              </c:strCache>
            </c:strRef>
          </c:cat>
          <c:val>
            <c:numRef>
              <c:f>Analysis!$C$736:$C$737</c:f>
              <c:numCache>
                <c:formatCode>0%</c:formatCode>
                <c:ptCount val="2"/>
                <c:pt idx="0">
                  <c:v>0.05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7-428D-A5B2-3A046664F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318144"/>
        <c:axId val="416309824"/>
      </c:barChart>
      <c:catAx>
        <c:axId val="41631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16309824"/>
        <c:crosses val="autoZero"/>
        <c:auto val="1"/>
        <c:lblAlgn val="ctr"/>
        <c:lblOffset val="100"/>
        <c:noMultiLvlLbl val="0"/>
      </c:catAx>
      <c:valAx>
        <c:axId val="4163098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163181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Old</c:v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numRef>
              <c:f>Analysis!$C$760:$L$760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Analysis!$C$761:$L$761</c:f>
              <c:numCache>
                <c:formatCode>#,##0</c:formatCode>
                <c:ptCount val="10"/>
                <c:pt idx="0">
                  <c:v>2521.550619613266</c:v>
                </c:pt>
                <c:pt idx="1">
                  <c:v>2975.429731143654</c:v>
                </c:pt>
                <c:pt idx="2">
                  <c:v>3421.7441908152018</c:v>
                </c:pt>
                <c:pt idx="3">
                  <c:v>3900.7883775293303</c:v>
                </c:pt>
                <c:pt idx="4">
                  <c:v>4290.8672152822637</c:v>
                </c:pt>
                <c:pt idx="5">
                  <c:v>4719.9539368104906</c:v>
                </c:pt>
                <c:pt idx="6">
                  <c:v>5191.9493304915404</c:v>
                </c:pt>
                <c:pt idx="7">
                  <c:v>5711.1442635406947</c:v>
                </c:pt>
                <c:pt idx="8">
                  <c:v>6282.2586898947648</c:v>
                </c:pt>
                <c:pt idx="9">
                  <c:v>6910.4845588842418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6-484B-9117-CC0A4B1A998B}"/>
            </c:ext>
          </c:extLst>
        </c:ser>
        <c:ser>
          <c:idx val="0"/>
          <c:order val="1"/>
          <c:tx>
            <c:v>New</c:v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Analysis!$C$760:$L$760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Analysis!$C$755:$L$755</c:f>
              <c:numCache>
                <c:formatCode>#,##0</c:formatCode>
                <c:ptCount val="10"/>
                <c:pt idx="0">
                  <c:v>2662</c:v>
                </c:pt>
                <c:pt idx="1">
                  <c:v>3394</c:v>
                </c:pt>
                <c:pt idx="2">
                  <c:v>3735</c:v>
                </c:pt>
                <c:pt idx="3">
                  <c:v>4183.2000000000007</c:v>
                </c:pt>
                <c:pt idx="4">
                  <c:v>4685.1840000000011</c:v>
                </c:pt>
                <c:pt idx="5">
                  <c:v>5247.4060800000016</c:v>
                </c:pt>
                <c:pt idx="6">
                  <c:v>5772.1466880000025</c:v>
                </c:pt>
                <c:pt idx="7">
                  <c:v>6291.639889920003</c:v>
                </c:pt>
                <c:pt idx="8">
                  <c:v>6794.9710811136038</c:v>
                </c:pt>
                <c:pt idx="9">
                  <c:v>7338.5687676026928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6-484B-9117-CC0A4B1A9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73968"/>
        <c:axId val="44473136"/>
      </c:barChart>
      <c:catAx>
        <c:axId val="4447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4473136"/>
        <c:crosses val="autoZero"/>
        <c:auto val="1"/>
        <c:lblAlgn val="ctr"/>
        <c:lblOffset val="100"/>
        <c:noMultiLvlLbl val="0"/>
      </c:catAx>
      <c:valAx>
        <c:axId val="444731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447396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Old</c:v>
          </c:tx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numRef>
              <c:f>Analysis!$C$760:$L$760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Analysis!$C$763:$L$763</c:f>
              <c:numCache>
                <c:formatCode>#,##0</c:formatCode>
                <c:ptCount val="10"/>
                <c:pt idx="0">
                  <c:v>247.18663452939171</c:v>
                </c:pt>
                <c:pt idx="1">
                  <c:v>333.60888120729237</c:v>
                </c:pt>
                <c:pt idx="2">
                  <c:v>420.00163117662612</c:v>
                </c:pt>
                <c:pt idx="3">
                  <c:v>509.57401943167025</c:v>
                </c:pt>
                <c:pt idx="4">
                  <c:v>609.75070300449431</c:v>
                </c:pt>
                <c:pt idx="5">
                  <c:v>719.98320503795776</c:v>
                </c:pt>
                <c:pt idx="6">
                  <c:v>837.79222264374584</c:v>
                </c:pt>
                <c:pt idx="7">
                  <c:v>972.48766994239463</c:v>
                </c:pt>
                <c:pt idx="8">
                  <c:v>1128.7414264211534</c:v>
                </c:pt>
                <c:pt idx="9">
                  <c:v>1309.9903372698363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D-4E5D-8A23-55D5800BAD7F}"/>
            </c:ext>
          </c:extLst>
        </c:ser>
        <c:ser>
          <c:idx val="0"/>
          <c:order val="1"/>
          <c:tx>
            <c:v>New</c:v>
          </c:tx>
          <c:spPr>
            <a:solidFill>
              <a:srgbClr val="9999FF"/>
            </a:solidFill>
            <a:ln w="25400">
              <a:noFill/>
            </a:ln>
            <a:effectLst/>
          </c:spPr>
          <c:invertIfNegative val="0"/>
          <c:cat>
            <c:numRef>
              <c:f>Analysis!$C$760:$L$760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Analysis!$C$757:$L$757</c:f>
              <c:numCache>
                <c:formatCode>#,##0</c:formatCode>
                <c:ptCount val="10"/>
                <c:pt idx="0">
                  <c:v>253</c:v>
                </c:pt>
                <c:pt idx="1">
                  <c:v>354</c:v>
                </c:pt>
                <c:pt idx="2">
                  <c:v>394.6</c:v>
                </c:pt>
                <c:pt idx="3">
                  <c:v>457.82619834710738</c:v>
                </c:pt>
                <c:pt idx="4">
                  <c:v>522.17537685950413</c:v>
                </c:pt>
                <c:pt idx="5">
                  <c:v>586.17561545454555</c:v>
                </c:pt>
                <c:pt idx="6">
                  <c:v>647.7415691727274</c:v>
                </c:pt>
                <c:pt idx="7">
                  <c:v>715.48830822190939</c:v>
                </c:pt>
                <c:pt idx="8">
                  <c:v>783.67357120013207</c:v>
                </c:pt>
                <c:pt idx="9">
                  <c:v>843.96657569733736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D-4E5D-8A23-55D5800BA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73968"/>
        <c:axId val="44473136"/>
      </c:barChart>
      <c:catAx>
        <c:axId val="4447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4473136"/>
        <c:crosses val="autoZero"/>
        <c:auto val="1"/>
        <c:lblAlgn val="ctr"/>
        <c:lblOffset val="100"/>
        <c:noMultiLvlLbl val="0"/>
      </c:catAx>
      <c:valAx>
        <c:axId val="444731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4447396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strRef>
              <c:f>Analysis!$C$789:$R$789</c:f>
              <c:strCache>
                <c:ptCount val="16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#REF!</c:v>
                </c:pt>
                <c:pt idx="9">
                  <c:v>#REF!</c:v>
                </c:pt>
                <c:pt idx="10">
                  <c:v>#REF!</c:v>
                </c:pt>
                <c:pt idx="11">
                  <c:v>#REF!</c:v>
                </c:pt>
                <c:pt idx="12">
                  <c:v>#REF!</c:v>
                </c:pt>
                <c:pt idx="13">
                  <c:v>#REF!</c:v>
                </c:pt>
                <c:pt idx="14">
                  <c:v>#REF!</c:v>
                </c:pt>
                <c:pt idx="15">
                  <c:v>#REF!</c:v>
                </c:pt>
              </c:strCache>
            </c:strRef>
          </c:cat>
          <c:val>
            <c:numRef>
              <c:f>Analysis!$C$790:$R$790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9-4A48-8EC9-268399A8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7451039"/>
        <c:axId val="1367452703"/>
      </c:barChart>
      <c:catAx>
        <c:axId val="1367451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367452703"/>
        <c:crosses val="autoZero"/>
        <c:auto val="1"/>
        <c:lblAlgn val="ctr"/>
        <c:lblOffset val="100"/>
        <c:noMultiLvlLbl val="0"/>
      </c:catAx>
      <c:valAx>
        <c:axId val="136745270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367451039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80"/>
            </a:solidFill>
            <a:ln w="25400">
              <a:noFill/>
            </a:ln>
            <a:effectLst/>
          </c:spPr>
          <c:invertIfNegative val="0"/>
          <c:cat>
            <c:strRef>
              <c:f>Quarts!$M$158:$W$158</c:f>
              <c:strCache>
                <c:ptCount val="5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</c:strCache>
            </c:strRef>
          </c:cat>
          <c:val>
            <c:numRef>
              <c:f>Quarts!$M$165:$W$165</c:f>
              <c:numCache>
                <c:formatCode>#,##0"  ";\(#,##0\)" ";#,##0"  ";@"  "</c:formatCode>
                <c:ptCount val="5"/>
                <c:pt idx="0">
                  <c:v>2321.2178566654702</c:v>
                </c:pt>
                <c:pt idx="1">
                  <c:v>2521.2674740764496</c:v>
                </c:pt>
                <c:pt idx="2">
                  <c:v>2918.6432533962347</c:v>
                </c:pt>
                <c:pt idx="3">
                  <c:v>3416.9156814343255</c:v>
                </c:pt>
                <c:pt idx="4">
                  <c:v>3468.7275229988568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1C-46B6-BD78-60882E159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722808"/>
        <c:axId val="760724120"/>
      </c:barChart>
      <c:catAx>
        <c:axId val="760722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60724120"/>
        <c:crosses val="autoZero"/>
        <c:auto val="1"/>
        <c:lblAlgn val="ctr"/>
        <c:lblOffset val="100"/>
        <c:noMultiLvlLbl val="0"/>
      </c:catAx>
      <c:valAx>
        <c:axId val="7607241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/>
                    <a:ea typeface="Trebuchet MS"/>
                    <a:cs typeface="Trebuchet MS"/>
                  </a:defRPr>
                </a:pPr>
                <a:r>
                  <a:rPr lang="en-GB"/>
                  <a:t>BRL million per 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/>
                  <a:ea typeface="Trebuchet MS"/>
                  <a:cs typeface="Trebuchet MS"/>
                </a:defRPr>
              </a:pPr>
              <a:endParaRPr lang="en-US"/>
            </a:p>
          </c:txPr>
        </c:title>
        <c:numFmt formatCode="#,##0&quot;  &quot;;\(#,##0\)&quot; &quot;;#,##0&quot;  &quot;;@&quot;  &quot;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7607228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Analysis!$C$789:$R$789</c:f>
              <c:strCache>
                <c:ptCount val="16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#REF!</c:v>
                </c:pt>
                <c:pt idx="9">
                  <c:v>#REF!</c:v>
                </c:pt>
                <c:pt idx="10">
                  <c:v>#REF!</c:v>
                </c:pt>
                <c:pt idx="11">
                  <c:v>#REF!</c:v>
                </c:pt>
                <c:pt idx="12">
                  <c:v>#REF!</c:v>
                </c:pt>
                <c:pt idx="13">
                  <c:v>#REF!</c:v>
                </c:pt>
                <c:pt idx="14">
                  <c:v>#REF!</c:v>
                </c:pt>
                <c:pt idx="15">
                  <c:v>#REF!</c:v>
                </c:pt>
              </c:strCache>
            </c:strRef>
          </c:cat>
          <c:val>
            <c:numRef>
              <c:f>Analysis!$C$792:$R$792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A-4643-8FFD-745BA13DF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451039"/>
        <c:axId val="1367452703"/>
      </c:lineChart>
      <c:catAx>
        <c:axId val="1367451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367452703"/>
        <c:crosses val="autoZero"/>
        <c:auto val="1"/>
        <c:lblAlgn val="ctr"/>
        <c:lblOffset val="100"/>
        <c:noMultiLvlLbl val="0"/>
      </c:catAx>
      <c:valAx>
        <c:axId val="136745270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367451039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Analysis!$B$824</c:f>
              <c:strCache>
                <c:ptCount val="1"/>
                <c:pt idx="0">
                  <c:v>PagSeguro</c:v>
                </c:pt>
              </c:strCache>
            </c:strRef>
          </c:tx>
          <c:spPr>
            <a:ln w="25400" cap="rnd">
              <a:solidFill>
                <a:srgbClr val="263238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Analysis!$C$823:$L$823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Analysis!$C$824:$L$824</c:f>
              <c:numCache>
                <c:formatCode>0%</c:formatCode>
                <c:ptCount val="10"/>
                <c:pt idx="0">
                  <c:v>0.35492768749068127</c:v>
                </c:pt>
                <c:pt idx="1">
                  <c:v>0.30518001234857023</c:v>
                </c:pt>
                <c:pt idx="2">
                  <c:v>0.21086086827678166</c:v>
                </c:pt>
                <c:pt idx="3">
                  <c:v>0.16059619288829921</c:v>
                </c:pt>
                <c:pt idx="4">
                  <c:v>0.17106830466830461</c:v>
                </c:pt>
                <c:pt idx="5">
                  <c:v>0.20002602278962595</c:v>
                </c:pt>
                <c:pt idx="6">
                  <c:v>0.23127919048329734</c:v>
                </c:pt>
                <c:pt idx="7">
                  <c:v>0.22971976260061147</c:v>
                </c:pt>
                <c:pt idx="8">
                  <c:v>0.22900521668512833</c:v>
                </c:pt>
                <c:pt idx="9">
                  <c:v>0.23311668701364452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39-4F09-9BEB-9AC2C8DD440C}"/>
            </c:ext>
          </c:extLst>
        </c:ser>
        <c:ser>
          <c:idx val="1"/>
          <c:order val="1"/>
          <c:tx>
            <c:strRef>
              <c:f>Analysis!$B$825</c:f>
              <c:strCache>
                <c:ptCount val="1"/>
                <c:pt idx="0">
                  <c:v>Stone</c:v>
                </c:pt>
              </c:strCache>
            </c:strRef>
          </c:tx>
          <c:spPr>
            <a:ln w="25400" cap="rnd">
              <a:solidFill>
                <a:srgbClr val="799098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Analysis!$C$823:$L$823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Analysis!$C$825:$L$825</c:f>
              <c:numCache>
                <c:formatCode>0%</c:formatCode>
                <c:ptCount val="10"/>
                <c:pt idx="0">
                  <c:v>0.33271223943169909</c:v>
                </c:pt>
                <c:pt idx="1">
                  <c:v>0.22989756570698566</c:v>
                </c:pt>
                <c:pt idx="2">
                  <c:v>1.7367579264277181E-2</c:v>
                </c:pt>
                <c:pt idx="3">
                  <c:v>1.3510228657955854E-2</c:v>
                </c:pt>
                <c:pt idx="4">
                  <c:v>8.4199987166509449E-2</c:v>
                </c:pt>
                <c:pt idx="5">
                  <c:v>0.11309909114596522</c:v>
                </c:pt>
                <c:pt idx="6">
                  <c:v>0.12914857948325642</c:v>
                </c:pt>
                <c:pt idx="7">
                  <c:v>0.12570044845230469</c:v>
                </c:pt>
                <c:pt idx="8">
                  <c:v>0.12400110780150307</c:v>
                </c:pt>
                <c:pt idx="9">
                  <c:v>0.13315662366416758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39-4F09-9BEB-9AC2C8DD4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3231471"/>
        <c:axId val="1863213999"/>
      </c:lineChart>
      <c:catAx>
        <c:axId val="186323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863213999"/>
        <c:crosses val="autoZero"/>
        <c:auto val="1"/>
        <c:lblAlgn val="ctr"/>
        <c:lblOffset val="100"/>
        <c:noMultiLvlLbl val="0"/>
      </c:catAx>
      <c:valAx>
        <c:axId val="18632139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86323147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Analysis!$B$850</c:f>
              <c:strCache>
                <c:ptCount val="1"/>
                <c:pt idx="0">
                  <c:v>Stone</c:v>
                </c:pt>
              </c:strCache>
            </c:strRef>
          </c:tx>
          <c:spPr>
            <a:ln w="25400" cap="rnd">
              <a:solidFill>
                <a:srgbClr val="263238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Analysis!$C$849:$N$849</c:f>
              <c:strCache>
                <c:ptCount val="12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#REF!</c:v>
                </c:pt>
                <c:pt idx="9">
                  <c:v>#REF!</c:v>
                </c:pt>
                <c:pt idx="10">
                  <c:v>#REF!</c:v>
                </c:pt>
                <c:pt idx="11">
                  <c:v>#REF!</c:v>
                </c:pt>
              </c:strCache>
            </c:strRef>
          </c:cat>
          <c:val>
            <c:numRef>
              <c:f>Analysis!$C$850:$N$850</c:f>
              <c:numCache>
                <c:formatCode>0.0%</c:formatCode>
                <c:ptCount val="12"/>
                <c:pt idx="0">
                  <c:v>0.43806509945750455</c:v>
                </c:pt>
                <c:pt idx="1">
                  <c:v>0.32828924569712364</c:v>
                </c:pt>
                <c:pt idx="2">
                  <c:v>0.32206042460533474</c:v>
                </c:pt>
                <c:pt idx="3">
                  <c:v>0.36561665776828628</c:v>
                </c:pt>
                <c:pt idx="4">
                  <c:v>0.39487030865092021</c:v>
                </c:pt>
                <c:pt idx="5">
                  <c:v>0.38695947499999994</c:v>
                </c:pt>
                <c:pt idx="6">
                  <c:v>0.41277734947368416</c:v>
                </c:pt>
                <c:pt idx="7">
                  <c:v>0.39207072831957551</c:v>
                </c:pt>
                <c:pt idx="8">
                  <c:v>0.41581023396226402</c:v>
                </c:pt>
                <c:pt idx="9">
                  <c:v>0.43199534145492519</c:v>
                </c:pt>
                <c:pt idx="10">
                  <c:v>0.4618779739739739</c:v>
                </c:pt>
                <c:pt idx="11">
                  <c:v>0.44246358060604901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1-4704-9613-292D2BC93EFD}"/>
            </c:ext>
          </c:extLst>
        </c:ser>
        <c:ser>
          <c:idx val="1"/>
          <c:order val="1"/>
          <c:tx>
            <c:strRef>
              <c:f>Analysis!$B$851</c:f>
              <c:strCache>
                <c:ptCount val="1"/>
                <c:pt idx="0">
                  <c:v>PAGS</c:v>
                </c:pt>
              </c:strCache>
            </c:strRef>
          </c:tx>
          <c:spPr>
            <a:ln w="25400" cap="rnd">
              <a:solidFill>
                <a:srgbClr val="799098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Analysis!$C$849:$N$849</c:f>
              <c:strCache>
                <c:ptCount val="12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#REF!</c:v>
                </c:pt>
                <c:pt idx="9">
                  <c:v>#REF!</c:v>
                </c:pt>
                <c:pt idx="10">
                  <c:v>#REF!</c:v>
                </c:pt>
                <c:pt idx="11">
                  <c:v>#REF!</c:v>
                </c:pt>
              </c:strCache>
            </c:strRef>
          </c:cat>
          <c:val>
            <c:numRef>
              <c:f>Analysis!$C$851:$N$851</c:f>
              <c:numCache>
                <c:formatCode>0.0%</c:formatCode>
                <c:ptCount val="12"/>
                <c:pt idx="0">
                  <c:v>0.48613449299412342</c:v>
                </c:pt>
                <c:pt idx="1">
                  <c:v>0.49460982361464945</c:v>
                </c:pt>
                <c:pt idx="2">
                  <c:v>0.53123523520819571</c:v>
                </c:pt>
                <c:pt idx="3">
                  <c:v>0.56037658207954333</c:v>
                </c:pt>
                <c:pt idx="4">
                  <c:v>0.58527898807944589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D1-4704-9613-292D2BC93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1575679"/>
        <c:axId val="1701576095"/>
      </c:lineChart>
      <c:catAx>
        <c:axId val="170157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701576095"/>
        <c:crosses val="autoZero"/>
        <c:auto val="1"/>
        <c:lblAlgn val="ctr"/>
        <c:lblOffset val="100"/>
        <c:noMultiLvlLbl val="0"/>
      </c:catAx>
      <c:valAx>
        <c:axId val="1701576095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701575679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Pagbank 2022e net income </c:v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6-98AB-4B26-87E4-22ACF5DE283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4-6360-41B0-88F2-9C3025A9B3C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6360-41B0-88F2-9C3025A9B3C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6-6360-41B0-88F2-9C3025A9B3C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6360-41B0-88F2-9C3025A9B3C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6360-41B0-88F2-9C3025A9B3C3}"/>
              </c:ext>
            </c:extLst>
          </c:dPt>
          <c:cat>
            <c:strRef>
              <c:f>Analysis!$B$998:$B$1003</c:f>
              <c:strCache>
                <c:ptCount val="6"/>
                <c:pt idx="0">
                  <c:v>Combined 23e net</c:v>
                </c:pt>
                <c:pt idx="1">
                  <c:v>Hubs - staffing</c:v>
                </c:pt>
                <c:pt idx="2">
                  <c:v>Hubs - selling</c:v>
                </c:pt>
                <c:pt idx="3">
                  <c:v>HQ / admin savings</c:v>
                </c:pt>
                <c:pt idx="4">
                  <c:v>POS savings</c:v>
                </c:pt>
                <c:pt idx="5">
                  <c:v>Post-synergies net income</c:v>
                </c:pt>
              </c:strCache>
            </c:strRef>
          </c:cat>
          <c:val>
            <c:numRef>
              <c:f>Analysis!$C$998:$C$1003</c:f>
              <c:numCache>
                <c:formatCode>#,##0</c:formatCode>
                <c:ptCount val="6"/>
                <c:pt idx="0">
                  <c:v>1740.6199999999994</c:v>
                </c:pt>
                <c:pt idx="1">
                  <c:v>3436.8415923795301</c:v>
                </c:pt>
                <c:pt idx="2">
                  <c:v>3676.8415923795301</c:v>
                </c:pt>
                <c:pt idx="3">
                  <c:v>3890.6815923795302</c:v>
                </c:pt>
                <c:pt idx="4">
                  <c:v>4150.8694693026073</c:v>
                </c:pt>
                <c:pt idx="5">
                  <c:v>4315.9991677641456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0-41B0-88F2-9C3025A9B3C3}"/>
            </c:ext>
          </c:extLst>
        </c:ser>
        <c:ser>
          <c:idx val="1"/>
          <c:order val="1"/>
          <c:tx>
            <c:v>StoneCo 2022e net income</c:v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0-6360-41B0-88F2-9C3025A9B3C3}"/>
              </c:ext>
            </c:extLst>
          </c:dPt>
          <c:dPt>
            <c:idx val="1"/>
            <c:invertIfNegative val="0"/>
            <c:bubble3D val="0"/>
            <c:spPr>
              <a:solidFill>
                <a:srgbClr val="00C99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6360-41B0-88F2-9C3025A9B3C3}"/>
              </c:ext>
            </c:extLst>
          </c:dPt>
          <c:dPt>
            <c:idx val="2"/>
            <c:invertIfNegative val="0"/>
            <c:bubble3D val="0"/>
            <c:spPr>
              <a:solidFill>
                <a:srgbClr val="00C99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C-6360-41B0-88F2-9C3025A9B3C3}"/>
              </c:ext>
            </c:extLst>
          </c:dPt>
          <c:dPt>
            <c:idx val="3"/>
            <c:invertIfNegative val="0"/>
            <c:bubble3D val="0"/>
            <c:spPr>
              <a:solidFill>
                <a:srgbClr val="00C99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6360-41B0-88F2-9C3025A9B3C3}"/>
              </c:ext>
            </c:extLst>
          </c:dPt>
          <c:dPt>
            <c:idx val="4"/>
            <c:invertIfNegative val="0"/>
            <c:bubble3D val="0"/>
            <c:spPr>
              <a:solidFill>
                <a:srgbClr val="00C99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E-6360-41B0-88F2-9C3025A9B3C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60-41B0-88F2-9C3025A9B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Roboto" panose="02000000000000000000" pitchFamily="2" charset="0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Analysis!$B$998:$B$1003</c:f>
              <c:strCache>
                <c:ptCount val="6"/>
                <c:pt idx="0">
                  <c:v>Combined 23e net</c:v>
                </c:pt>
                <c:pt idx="1">
                  <c:v>Hubs - staffing</c:v>
                </c:pt>
                <c:pt idx="2">
                  <c:v>Hubs - selling</c:v>
                </c:pt>
                <c:pt idx="3">
                  <c:v>HQ / admin savings</c:v>
                </c:pt>
                <c:pt idx="4">
                  <c:v>POS savings</c:v>
                </c:pt>
                <c:pt idx="5">
                  <c:v>Post-synergies net income</c:v>
                </c:pt>
              </c:strCache>
            </c:strRef>
          </c:cat>
          <c:val>
            <c:numRef>
              <c:f>Analysis!$D$998:$D$1003</c:f>
              <c:numCache>
                <c:formatCode>General</c:formatCode>
                <c:ptCount val="6"/>
                <c:pt idx="0" formatCode="#,##0">
                  <c:v>1696.2215923795304</c:v>
                </c:pt>
                <c:pt idx="1">
                  <c:v>240</c:v>
                </c:pt>
                <c:pt idx="2" formatCode="0">
                  <c:v>213.84000000000003</c:v>
                </c:pt>
                <c:pt idx="3" formatCode="0">
                  <c:v>260.18787692307694</c:v>
                </c:pt>
                <c:pt idx="4" formatCode="0">
                  <c:v>165.12969846153848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0-41B0-88F2-9C3025A9B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2597615"/>
        <c:axId val="1592604687"/>
      </c:barChart>
      <c:catAx>
        <c:axId val="1592597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Roboto" panose="02000000000000000000" pitchFamily="2" charset="0"/>
              </a:defRPr>
            </a:pPr>
            <a:endParaRPr lang="en-US"/>
          </a:p>
        </c:txPr>
        <c:crossAx val="1592604687"/>
        <c:crosses val="autoZero"/>
        <c:auto val="1"/>
        <c:lblAlgn val="ctr"/>
        <c:lblOffset val="100"/>
        <c:noMultiLvlLbl val="0"/>
      </c:catAx>
      <c:valAx>
        <c:axId val="15926046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" panose="02000000000000000000" pitchFamily="2" charset="0"/>
                <a:ea typeface="Roboto" panose="02000000000000000000" pitchFamily="2" charset="0"/>
                <a:cs typeface="Roboto" panose="02000000000000000000" pitchFamily="2" charset="0"/>
              </a:defRPr>
            </a:pPr>
            <a:endParaRPr lang="en-US"/>
          </a:p>
        </c:txPr>
        <c:crossAx val="15925976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Roboto" panose="02000000000000000000" pitchFamily="2" charset="0"/>
          <a:ea typeface="Roboto" panose="02000000000000000000" pitchFamily="2" charset="0"/>
          <a:cs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Analysis!$B$1013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Analysis!$C$1012:$F$1012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Analysis!$C$1013:$F$1013</c:f>
              <c:numCache>
                <c:formatCode>0</c:formatCode>
                <c:ptCount val="4"/>
                <c:pt idx="0">
                  <c:v>1597.8999999999994</c:v>
                </c:pt>
                <c:pt idx="1">
                  <c:v>1740.6199999999994</c:v>
                </c:pt>
                <c:pt idx="2">
                  <c:v>2167.4068836829047</c:v>
                </c:pt>
                <c:pt idx="3">
                  <c:v>2717.7870420817958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5-4614-AD92-01DA25E45E15}"/>
            </c:ext>
          </c:extLst>
        </c:ser>
        <c:ser>
          <c:idx val="1"/>
          <c:order val="1"/>
          <c:tx>
            <c:strRef>
              <c:f>Analysis!$B$1014</c:f>
              <c:strCache>
                <c:ptCount val="1"/>
                <c:pt idx="0">
                  <c:v>Old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Analysis!$C$1012:$F$1012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Analysis!$C$1014:$F$1014</c:f>
              <c:numCache>
                <c:formatCode>0</c:formatCode>
                <c:ptCount val="4"/>
                <c:pt idx="0">
                  <c:v>1624.0832005149168</c:v>
                </c:pt>
                <c:pt idx="1">
                  <c:v>2023.3723779157019</c:v>
                </c:pt>
                <c:pt idx="2">
                  <c:v>2652.525971560191</c:v>
                </c:pt>
                <c:pt idx="3">
                  <c:v>2899.5038910205299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5-4614-AD92-01DA25E45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089687391"/>
        <c:axId val="1089699455"/>
      </c:barChart>
      <c:catAx>
        <c:axId val="10896873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089699455"/>
        <c:crosses val="autoZero"/>
        <c:auto val="1"/>
        <c:lblAlgn val="ctr"/>
        <c:lblOffset val="100"/>
        <c:noMultiLvlLbl val="0"/>
      </c:catAx>
      <c:valAx>
        <c:axId val="1089699455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08968739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Analysis!$B$1057:$B$1060</c:f>
              <c:strCache>
                <c:ptCount val="4"/>
                <c:pt idx="0">
                  <c:v>NewCo net earnings</c:v>
                </c:pt>
                <c:pt idx="1">
                  <c:v>Pay down Inter debt</c:v>
                </c:pt>
                <c:pt idx="2">
                  <c:v>Loss of Software post-tax</c:v>
                </c:pt>
                <c:pt idx="3">
                  <c:v>NewCo NEW net earnings</c:v>
                </c:pt>
              </c:strCache>
            </c:strRef>
          </c:cat>
          <c:val>
            <c:numRef>
              <c:f>Analysis!$C$1057:$C$1060</c:f>
              <c:numCache>
                <c:formatCode>#,##0</c:formatCode>
                <c:ptCount val="4"/>
                <c:pt idx="0">
                  <c:v>0</c:v>
                </c:pt>
                <c:pt idx="1">
                  <c:v>4315.9991677641456</c:v>
                </c:pt>
                <c:pt idx="2">
                  <c:v>4637.9991677641456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8E-419E-B170-6EB5A16C22C5}"/>
            </c:ext>
          </c:extLst>
        </c:ser>
        <c:ser>
          <c:idx val="1"/>
          <c:order val="1"/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1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C-C68E-419E-B170-6EB5A16C22C5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E-C68E-419E-B170-6EB5A16C22C5}"/>
              </c:ext>
            </c:extLst>
          </c:dPt>
          <c:dPt>
            <c:idx val="3"/>
            <c:invertIfNegative val="0"/>
            <c:bubble3D val="0"/>
            <c:spPr>
              <a:solidFill>
                <a:srgbClr val="00C99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0-C68E-419E-B170-6EB5A16C22C5}"/>
              </c:ext>
            </c:extLst>
          </c:dPt>
          <c:cat>
            <c:strRef>
              <c:f>Analysis!$B$1057:$B$1060</c:f>
              <c:strCache>
                <c:ptCount val="4"/>
                <c:pt idx="0">
                  <c:v>NewCo net earnings</c:v>
                </c:pt>
                <c:pt idx="1">
                  <c:v>Pay down Inter debt</c:v>
                </c:pt>
                <c:pt idx="2">
                  <c:v>Loss of Software post-tax</c:v>
                </c:pt>
                <c:pt idx="3">
                  <c:v>NewCo NEW net earnings</c:v>
                </c:pt>
              </c:strCache>
            </c:strRef>
          </c:cat>
          <c:val>
            <c:numRef>
              <c:f>Analysis!$D$1057:$D$1060</c:f>
              <c:numCache>
                <c:formatCode>General</c:formatCode>
                <c:ptCount val="4"/>
                <c:pt idx="0" formatCode="#,##0">
                  <c:v>4315.9991677641456</c:v>
                </c:pt>
                <c:pt idx="1">
                  <c:v>480</c:v>
                </c:pt>
                <c:pt idx="2" formatCode="0">
                  <c:v>158</c:v>
                </c:pt>
                <c:pt idx="3" formatCode="0">
                  <c:v>4637.9991677641456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8E-419E-B170-6EB5A16C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2597615"/>
        <c:axId val="1592604687"/>
      </c:barChart>
      <c:catAx>
        <c:axId val="1592597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592604687"/>
        <c:crosses val="autoZero"/>
        <c:auto val="1"/>
        <c:lblAlgn val="ctr"/>
        <c:lblOffset val="100"/>
        <c:noMultiLvlLbl val="0"/>
      </c:catAx>
      <c:valAx>
        <c:axId val="15926046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5925976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Analysis!$B$1065</c:f>
              <c:strCache>
                <c:ptCount val="1"/>
                <c:pt idx="0">
                  <c:v>New Street 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Analysis!$C$1063:$F$1063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Analysis!$C$1065:$F$1065</c:f>
              <c:numCache>
                <c:formatCode>0</c:formatCode>
                <c:ptCount val="4"/>
                <c:pt idx="0">
                  <c:v>1131</c:v>
                </c:pt>
                <c:pt idx="1">
                  <c:v>1355</c:v>
                </c:pt>
                <c:pt idx="2">
                  <c:v>1773.5470645841904</c:v>
                </c:pt>
                <c:pt idx="3">
                  <c:v>1841.6814874009174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3-4500-9232-6E7C066E3F39}"/>
            </c:ext>
          </c:extLst>
        </c:ser>
        <c:ser>
          <c:idx val="1"/>
          <c:order val="1"/>
          <c:tx>
            <c:strRef>
              <c:f>Analysis!$B$1066</c:f>
              <c:strCache>
                <c:ptCount val="1"/>
                <c:pt idx="0">
                  <c:v>Consensus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Analysis!$C$1063:$F$1063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Analysis!$C$1066:$F$1066</c:f>
              <c:numCache>
                <c:formatCode>0</c:formatCode>
                <c:ptCount val="4"/>
                <c:pt idx="0">
                  <c:v>1083.7</c:v>
                </c:pt>
                <c:pt idx="1">
                  <c:v>1268.5</c:v>
                </c:pt>
                <c:pt idx="2">
                  <c:v>1247</c:v>
                </c:pt>
                <c:pt idx="3">
                  <c:v>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3-4500-9232-6E7C066E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265922287"/>
        <c:axId val="1265934351"/>
      </c:barChart>
      <c:catAx>
        <c:axId val="1265922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65934351"/>
        <c:crosses val="autoZero"/>
        <c:auto val="1"/>
        <c:lblAlgn val="ctr"/>
        <c:lblOffset val="100"/>
        <c:noMultiLvlLbl val="0"/>
      </c:catAx>
      <c:valAx>
        <c:axId val="1265934351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26592228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Analysis!$B$1069</c:f>
              <c:strCache>
                <c:ptCount val="1"/>
                <c:pt idx="0">
                  <c:v>New Street 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Analysis!$C$1063:$F$1063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Analysis!$C$1069:$F$1069</c:f>
              <c:numCache>
                <c:formatCode>0</c:formatCode>
                <c:ptCount val="4"/>
                <c:pt idx="0">
                  <c:v>1597.8999999999994</c:v>
                </c:pt>
                <c:pt idx="1">
                  <c:v>1740.6199999999994</c:v>
                </c:pt>
                <c:pt idx="2">
                  <c:v>2167.4068836829047</c:v>
                </c:pt>
                <c:pt idx="3">
                  <c:v>2717.7870420817958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2-4092-9EBB-FCA80A21A51A}"/>
            </c:ext>
          </c:extLst>
        </c:ser>
        <c:ser>
          <c:idx val="1"/>
          <c:order val="1"/>
          <c:tx>
            <c:strRef>
              <c:f>Analysis!$B$1070</c:f>
              <c:strCache>
                <c:ptCount val="1"/>
                <c:pt idx="0">
                  <c:v>Consensus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Analysis!$C$1063:$F$1063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Analysis!$C$1070:$F$1070</c:f>
              <c:numCache>
                <c:formatCode>0</c:formatCode>
                <c:ptCount val="4"/>
                <c:pt idx="0">
                  <c:v>1625.5</c:v>
                </c:pt>
                <c:pt idx="1">
                  <c:v>2365.8000000000002</c:v>
                </c:pt>
                <c:pt idx="2">
                  <c:v>3338.2</c:v>
                </c:pt>
                <c:pt idx="3">
                  <c:v>4319.8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2-4092-9EBB-FCA80A21A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265922287"/>
        <c:axId val="1265934351"/>
      </c:barChart>
      <c:catAx>
        <c:axId val="1265922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65934351"/>
        <c:crosses val="autoZero"/>
        <c:auto val="1"/>
        <c:lblAlgn val="ctr"/>
        <c:lblOffset val="100"/>
        <c:noMultiLvlLbl val="0"/>
      </c:catAx>
      <c:valAx>
        <c:axId val="1265934351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26592228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4.6329736394743949E-2"/>
          <c:w val="0.93888888888888888"/>
          <c:h val="0.753469424032166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Analysis!$B$1121</c:f>
              <c:strCache>
                <c:ptCount val="1"/>
                <c:pt idx="0">
                  <c:v>Pagbank revs</c:v>
                </c:pt>
              </c:strCache>
            </c:strRef>
          </c:tx>
          <c:spPr>
            <a:solidFill>
              <a:srgbClr val="263238"/>
            </a:solidFill>
            <a:ln w="25400">
              <a:solidFill>
                <a:srgbClr val="263238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Analysis!$C$1120:$K$1120</c:f>
              <c:strCache>
                <c:ptCount val="9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1Q 22</c:v>
                </c:pt>
              </c:strCache>
            </c:strRef>
          </c:cat>
          <c:val>
            <c:numRef>
              <c:f>Analysis!$C$1121:$K$1121</c:f>
              <c:numCache>
                <c:formatCode>0</c:formatCode>
                <c:ptCount val="9"/>
                <c:pt idx="0">
                  <c:v>158.61419751244841</c:v>
                </c:pt>
                <c:pt idx="1">
                  <c:v>84.888900714777151</c:v>
                </c:pt>
                <c:pt idx="2">
                  <c:v>144.36077130879934</c:v>
                </c:pt>
                <c:pt idx="3">
                  <c:v>176.37086814193302</c:v>
                </c:pt>
                <c:pt idx="4">
                  <c:v>156.11249543642109</c:v>
                </c:pt>
                <c:pt idx="5">
                  <c:v>193.67563673077342</c:v>
                </c:pt>
                <c:pt idx="6">
                  <c:v>258.61796397675482</c:v>
                </c:pt>
                <c:pt idx="7">
                  <c:v>308.51423074707048</c:v>
                </c:pt>
                <c:pt idx="8">
                  <c:v>332.56578694405874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7-43A7-A0C8-D49AAF625204}"/>
            </c:ext>
          </c:extLst>
        </c:ser>
        <c:ser>
          <c:idx val="1"/>
          <c:order val="1"/>
          <c:tx>
            <c:strRef>
              <c:f>Analysis!$B$1122</c:f>
              <c:strCache>
                <c:ptCount val="1"/>
                <c:pt idx="0">
                  <c:v>Acquiring / other revs</c:v>
                </c:pt>
              </c:strCache>
            </c:strRef>
          </c:tx>
          <c:spPr>
            <a:solidFill>
              <a:srgbClr val="F9663E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Analysis!$C$1120:$K$1120</c:f>
              <c:strCache>
                <c:ptCount val="9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1Q 22</c:v>
                </c:pt>
              </c:strCache>
            </c:strRef>
          </c:cat>
          <c:val>
            <c:numRef>
              <c:f>Analysis!$C$1122:$K$1122</c:f>
              <c:numCache>
                <c:formatCode>0</c:formatCode>
                <c:ptCount val="9"/>
                <c:pt idx="0">
                  <c:v>996.0119038575516</c:v>
                </c:pt>
                <c:pt idx="1">
                  <c:v>853.24610377522276</c:v>
                </c:pt>
                <c:pt idx="2">
                  <c:v>1039.4314458612005</c:v>
                </c:pt>
                <c:pt idx="3">
                  <c:v>1243.9481073980669</c:v>
                </c:pt>
                <c:pt idx="4">
                  <c:v>1205.3875045635787</c:v>
                </c:pt>
                <c:pt idx="5">
                  <c:v>1347.8243632692265</c:v>
                </c:pt>
                <c:pt idx="6">
                  <c:v>1532.1820360232455</c:v>
                </c:pt>
                <c:pt idx="7">
                  <c:v>1749.6857692529293</c:v>
                </c:pt>
                <c:pt idx="8">
                  <c:v>1864.4342130559412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7-43A7-A0C8-D49AAF625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882058991"/>
        <c:axId val="1882059407"/>
      </c:barChart>
      <c:lineChart>
        <c:grouping val="standard"/>
        <c:varyColors val="0"/>
        <c:ser>
          <c:idx val="2"/>
          <c:order val="2"/>
          <c:tx>
            <c:strRef>
              <c:f>Analysis!$B$1123</c:f>
              <c:strCache>
                <c:ptCount val="1"/>
                <c:pt idx="0">
                  <c:v>Pagbank EBITDA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Analysis!$C$1123:$K$1123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7-43A7-A0C8-D49AAF625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058991"/>
        <c:axId val="1882059407"/>
      </c:lineChart>
      <c:catAx>
        <c:axId val="18820589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1882059407"/>
        <c:crosses val="autoZero"/>
        <c:auto val="1"/>
        <c:lblAlgn val="ctr"/>
        <c:lblOffset val="100"/>
        <c:noMultiLvlLbl val="0"/>
      </c:catAx>
      <c:valAx>
        <c:axId val="1882059407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188205899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Analysis!$B$1127</c:f>
              <c:strCache>
                <c:ptCount val="1"/>
                <c:pt idx="0">
                  <c:v>Fin expenses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Analysis!$C$1126:$G$1126</c:f>
              <c:strCache>
                <c:ptCount val="5"/>
                <c:pt idx="0">
                  <c:v>2Q 21</c:v>
                </c:pt>
                <c:pt idx="1">
                  <c:v>3Q 21</c:v>
                </c:pt>
                <c:pt idx="2">
                  <c:v>4Q 21</c:v>
                </c:pt>
                <c:pt idx="3">
                  <c:v>1Q 22</c:v>
                </c:pt>
                <c:pt idx="4">
                  <c:v>2Q 22</c:v>
                </c:pt>
              </c:strCache>
            </c:strRef>
          </c:cat>
          <c:val>
            <c:numRef>
              <c:f>Analysis!$C$1127:$G$1127</c:f>
              <c:numCache>
                <c:formatCode>0</c:formatCode>
                <c:ptCount val="5"/>
                <c:pt idx="0">
                  <c:v>133.80000000000001</c:v>
                </c:pt>
                <c:pt idx="1">
                  <c:v>209.82300000000001</c:v>
                </c:pt>
                <c:pt idx="2">
                  <c:v>402.6</c:v>
                </c:pt>
                <c:pt idx="3">
                  <c:v>621</c:v>
                </c:pt>
                <c:pt idx="4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66-4B9A-8A98-CE5C4F798CBF}"/>
            </c:ext>
          </c:extLst>
        </c:ser>
        <c:ser>
          <c:idx val="1"/>
          <c:order val="1"/>
          <c:tx>
            <c:strRef>
              <c:f>Analysis!$B$1128</c:f>
              <c:strCache>
                <c:ptCount val="1"/>
                <c:pt idx="0">
                  <c:v>Fin exp adj only for CDI &amp; TPV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Analysis!$C$1126:$G$1126</c:f>
              <c:strCache>
                <c:ptCount val="5"/>
                <c:pt idx="0">
                  <c:v>2Q 21</c:v>
                </c:pt>
                <c:pt idx="1">
                  <c:v>3Q 21</c:v>
                </c:pt>
                <c:pt idx="2">
                  <c:v>4Q 21</c:v>
                </c:pt>
                <c:pt idx="3">
                  <c:v>1Q 22</c:v>
                </c:pt>
                <c:pt idx="4">
                  <c:v>2Q 22</c:v>
                </c:pt>
              </c:strCache>
            </c:strRef>
          </c:cat>
          <c:val>
            <c:numRef>
              <c:f>Analysis!$C$1128:$G$1128</c:f>
              <c:numCache>
                <c:formatCode>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6-4B9A-8A98-CE5C4F798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46662480"/>
        <c:axId val="246647088"/>
      </c:barChart>
      <c:catAx>
        <c:axId val="24666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246647088"/>
        <c:crosses val="autoZero"/>
        <c:auto val="1"/>
        <c:lblAlgn val="ctr"/>
        <c:lblOffset val="100"/>
        <c:noMultiLvlLbl val="0"/>
      </c:catAx>
      <c:valAx>
        <c:axId val="24664708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24666248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3"/>
          <c:order val="0"/>
          <c:tx>
            <c:strRef>
              <c:f>Quarts!$B$363</c:f>
              <c:strCache>
                <c:ptCount val="1"/>
                <c:pt idx="0">
                  <c:v>PagSeguro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Quarts!$C$359:$S$359</c:f>
              <c:strCache>
                <c:ptCount val="1"/>
                <c:pt idx="0">
                  <c:v>1Q21</c:v>
                </c:pt>
              </c:strCache>
            </c:strRef>
          </c:cat>
          <c:val>
            <c:numRef>
              <c:f>Quarts!$C$363:$S$363</c:f>
              <c:numCache>
                <c:formatCode>0.0%</c:formatCode>
                <c:ptCount val="1"/>
                <c:pt idx="0">
                  <c:v>8.9445438282647588E-2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07-4669-AC49-1761BFD9F5A4}"/>
            </c:ext>
          </c:extLst>
        </c:ser>
        <c:ser>
          <c:idx val="4"/>
          <c:order val="1"/>
          <c:tx>
            <c:strRef>
              <c:f>Quarts!$B$364</c:f>
              <c:strCache>
                <c:ptCount val="1"/>
                <c:pt idx="0">
                  <c:v>Stone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Quarts!$C$359:$S$359</c:f>
              <c:strCache>
                <c:ptCount val="1"/>
                <c:pt idx="0">
                  <c:v>1Q21</c:v>
                </c:pt>
              </c:strCache>
            </c:strRef>
          </c:cat>
          <c:val>
            <c:numRef>
              <c:f>Quarts!$C$364:$S$364</c:f>
              <c:numCache>
                <c:formatCode>0.0%</c:formatCode>
                <c:ptCount val="1"/>
                <c:pt idx="0">
                  <c:v>9.0876565295169937E-2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07-4669-AC49-1761BFD9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399592"/>
        <c:axId val="860405168"/>
      </c:lineChart>
      <c:catAx>
        <c:axId val="860399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60405168"/>
        <c:crosses val="autoZero"/>
        <c:auto val="1"/>
        <c:lblAlgn val="ctr"/>
        <c:lblOffset val="100"/>
        <c:noMultiLvlLbl val="0"/>
      </c:catAx>
      <c:valAx>
        <c:axId val="8604051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FF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86039959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2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Analysis!$B$1152</c:f>
              <c:strCache>
                <c:ptCount val="1"/>
                <c:pt idx="0">
                  <c:v>Net income non-GAAP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Analysis!$C$1151:$J$1151</c:f>
              <c:strCache>
                <c:ptCount val="8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#REF!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</c:strCache>
            </c:strRef>
          </c:cat>
          <c:val>
            <c:numRef>
              <c:f>Analysis!$C$1152:$J$1152</c:f>
              <c:numCache>
                <c:formatCode>0</c:formatCode>
                <c:ptCount val="8"/>
                <c:pt idx="0">
                  <c:v>371</c:v>
                </c:pt>
                <c:pt idx="1">
                  <c:v>403</c:v>
                </c:pt>
                <c:pt idx="2">
                  <c:v>411.3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5-46D4-85EB-960B03FF8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1207574960"/>
        <c:axId val="1207574128"/>
      </c:barChart>
      <c:lineChart>
        <c:grouping val="standard"/>
        <c:varyColors val="0"/>
        <c:ser>
          <c:idx val="1"/>
          <c:order val="1"/>
          <c:tx>
            <c:strRef>
              <c:f>Analysis!$B$1153</c:f>
              <c:strCache>
                <c:ptCount val="1"/>
                <c:pt idx="0">
                  <c:v>% margin (on gross revs)</c:v>
                </c:pt>
              </c:strCache>
            </c:strRef>
          </c:tx>
          <c:spPr>
            <a:ln w="25400" cap="rnd">
              <a:solidFill>
                <a:srgbClr val="F9663E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Helvetica Neue"/>
                      <a:ea typeface="Helvetica Neue"/>
                      <a:cs typeface="Helvetica Neue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E75-46D4-85EB-960B03FF8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Analysis!$C$1153:$J$1153</c:f>
              <c:numCache>
                <c:formatCode>0.0%</c:formatCode>
                <c:ptCount val="8"/>
                <c:pt idx="0">
                  <c:v>0.10825795156113219</c:v>
                </c:pt>
                <c:pt idx="1">
                  <c:v>0.10305434671982873</c:v>
                </c:pt>
                <c:pt idx="2">
                  <c:v>0.10193308550185874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75-46D4-85EB-960B03FF8A0B}"/>
            </c:ext>
          </c:extLst>
        </c:ser>
        <c:ser>
          <c:idx val="2"/>
          <c:order val="2"/>
          <c:tx>
            <c:strRef>
              <c:f>Analysis!$B$1154</c:f>
              <c:strCache>
                <c:ptCount val="1"/>
                <c:pt idx="0">
                  <c:v>% margin (on net revs)</c:v>
                </c:pt>
              </c:strCache>
            </c:strRef>
          </c:tx>
          <c:spPr>
            <a:ln w="25400" cap="rnd">
              <a:solidFill>
                <a:srgbClr val="C7FE02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Analysis!$C$1154:$J$1154</c:f>
              <c:numCache>
                <c:formatCode>0.0%</c:formatCode>
                <c:ptCount val="8"/>
                <c:pt idx="0">
                  <c:v>0.16886663632225762</c:v>
                </c:pt>
                <c:pt idx="1">
                  <c:v>0.15831499419773581</c:v>
                </c:pt>
                <c:pt idx="2">
                  <c:v>0.15485692771084339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5-46D4-85EB-960B03FF8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580784"/>
        <c:axId val="1207584528"/>
      </c:lineChart>
      <c:catAx>
        <c:axId val="120757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07574128"/>
        <c:crosses val="autoZero"/>
        <c:auto val="1"/>
        <c:lblAlgn val="ctr"/>
        <c:lblOffset val="100"/>
        <c:noMultiLvlLbl val="0"/>
      </c:catAx>
      <c:valAx>
        <c:axId val="1207574128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07574960"/>
        <c:crosses val="autoZero"/>
        <c:crossBetween val="between"/>
      </c:valAx>
      <c:valAx>
        <c:axId val="12075845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07580784"/>
        <c:crosses val="max"/>
        <c:crossBetween val="between"/>
      </c:valAx>
      <c:catAx>
        <c:axId val="120758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758452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Analysis!$C$1196:$M$1196</c:f>
              <c:strCache>
                <c:ptCount val="11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1Q 22</c:v>
                </c:pt>
                <c:pt idx="9">
                  <c:v>2Q 22</c:v>
                </c:pt>
                <c:pt idx="10">
                  <c:v>3Q 22</c:v>
                </c:pt>
              </c:strCache>
            </c:strRef>
          </c:cat>
          <c:val>
            <c:numRef>
              <c:f>Analysis!$C$1197:$M$1197</c:f>
              <c:numCache>
                <c:formatCode>0%</c:formatCode>
                <c:ptCount val="11"/>
                <c:pt idx="0">
                  <c:v>-5.7944171607821136E-2</c:v>
                </c:pt>
                <c:pt idx="1">
                  <c:v>-0.80416790247763315</c:v>
                </c:pt>
                <c:pt idx="2">
                  <c:v>-0.49628872462969642</c:v>
                </c:pt>
                <c:pt idx="3">
                  <c:v>-6.9840781778100214E-2</c:v>
                </c:pt>
                <c:pt idx="4">
                  <c:v>-0.94064918700548272</c:v>
                </c:pt>
                <c:pt idx="5">
                  <c:v>-0.43133315157195867</c:v>
                </c:pt>
                <c:pt idx="6">
                  <c:v>-0.14032344219248294</c:v>
                </c:pt>
                <c:pt idx="7">
                  <c:v>-0.22779654195222457</c:v>
                </c:pt>
                <c:pt idx="8">
                  <c:v>-0.22965478997551786</c:v>
                </c:pt>
                <c:pt idx="9">
                  <c:v>-0.19344858392060327</c:v>
                </c:pt>
                <c:pt idx="10">
                  <c:v>-0.16574030592814543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638-8559-3FC4957B4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09437136"/>
        <c:axId val="209424240"/>
      </c:barChart>
      <c:catAx>
        <c:axId val="20943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209424240"/>
        <c:crosses val="autoZero"/>
        <c:auto val="1"/>
        <c:lblAlgn val="ctr"/>
        <c:lblOffset val="100"/>
        <c:noMultiLvlLbl val="0"/>
      </c:catAx>
      <c:valAx>
        <c:axId val="2094242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094371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Analysis!$B$1218</c:f>
              <c:strCache>
                <c:ptCount val="1"/>
                <c:pt idx="0">
                  <c:v>Old CDI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Analysis!$C$1217:$N$1217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#REF!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Analysis!$C$1218:$N$1218</c:f>
              <c:numCache>
                <c:formatCode>0.0%</c:formatCode>
                <c:ptCount val="12"/>
                <c:pt idx="0">
                  <c:v>0.10299999999999999</c:v>
                </c:pt>
                <c:pt idx="1">
                  <c:v>0.124</c:v>
                </c:pt>
                <c:pt idx="2">
                  <c:v>0.135833333333333</c:v>
                </c:pt>
                <c:pt idx="3">
                  <c:v>0</c:v>
                </c:pt>
                <c:pt idx="4">
                  <c:v>0.13750000000000001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0.105</c:v>
                </c:pt>
                <c:pt idx="9">
                  <c:v>9.5000000000000001E-2</c:v>
                </c:pt>
                <c:pt idx="10">
                  <c:v>8.7499999999999994E-2</c:v>
                </c:pt>
                <c:pt idx="1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3-4557-99B3-444EDEF5C4D4}"/>
            </c:ext>
          </c:extLst>
        </c:ser>
        <c:ser>
          <c:idx val="1"/>
          <c:order val="1"/>
          <c:tx>
            <c:strRef>
              <c:f>Analysis!$B$1219</c:f>
              <c:strCache>
                <c:ptCount val="1"/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Analysis!$C$1217:$N$1217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#REF!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Analysis!$C$1219:$N$1219</c:f>
              <c:numCache>
                <c:formatCode>General</c:formatCode>
                <c:ptCount val="12"/>
                <c:pt idx="4" formatCode="0.0%">
                  <c:v>0</c:v>
                </c:pt>
                <c:pt idx="5" formatCode="0.0%">
                  <c:v>5.0000000000000001E-3</c:v>
                </c:pt>
                <c:pt idx="6" formatCode="0.0%">
                  <c:v>1.2500000000000001E-2</c:v>
                </c:pt>
                <c:pt idx="7" formatCode="0.0%">
                  <c:v>1.2500000000000001E-2</c:v>
                </c:pt>
                <c:pt idx="8" formatCode="0.0%">
                  <c:v>7.4999999999999928E-3</c:v>
                </c:pt>
                <c:pt idx="9" formatCode="0.0%">
                  <c:v>9.999999999999995E-3</c:v>
                </c:pt>
                <c:pt idx="10" formatCode="0.0%">
                  <c:v>1.125000000000001E-2</c:v>
                </c:pt>
                <c:pt idx="11" formatCode="0.0%">
                  <c:v>1.2499999999999997E-2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3-4557-99B3-444EDEF5C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38772288"/>
        <c:axId val="438772704"/>
      </c:barChart>
      <c:lineChart>
        <c:grouping val="standard"/>
        <c:varyColors val="0"/>
        <c:ser>
          <c:idx val="2"/>
          <c:order val="2"/>
          <c:tx>
            <c:strRef>
              <c:f>Analysis!$B$1220</c:f>
              <c:strCache>
                <c:ptCount val="1"/>
                <c:pt idx="0">
                  <c:v>New CDI</c:v>
                </c:pt>
              </c:strCache>
            </c:strRef>
          </c:tx>
          <c:spPr>
            <a:ln w="28575" cap="rnd">
              <a:solidFill>
                <a:srgbClr val="00B0F0">
                  <a:alpha val="98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B0F0"/>
              </a:solidFill>
              <a:ln w="9525">
                <a:solidFill>
                  <a:srgbClr val="00B0F0">
                    <a:alpha val="99000"/>
                  </a:srgb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Analysis!$C$1217:$J$1217</c:f>
              <c:strCache>
                <c:ptCount val="8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#REF!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</c:strCache>
            </c:strRef>
          </c:cat>
          <c:val>
            <c:numRef>
              <c:f>Analysis!$C$1220:$N$1220</c:f>
              <c:numCache>
                <c:formatCode>General</c:formatCode>
                <c:ptCount val="12"/>
                <c:pt idx="4" formatCode="0.0%">
                  <c:v>0</c:v>
                </c:pt>
                <c:pt idx="5" formatCode="0.0%">
                  <c:v>0</c:v>
                </c:pt>
                <c:pt idx="6" formatCode="0.0%">
                  <c:v>0</c:v>
                </c:pt>
                <c:pt idx="7" formatCode="0.0%">
                  <c:v>0</c:v>
                </c:pt>
                <c:pt idx="8" formatCode="0.0%">
                  <c:v>0.11249999999999999</c:v>
                </c:pt>
                <c:pt idx="9" formatCode="0.0%">
                  <c:v>0.105</c:v>
                </c:pt>
                <c:pt idx="10" formatCode="0.0%">
                  <c:v>9.8750000000000004E-2</c:v>
                </c:pt>
                <c:pt idx="11" formatCode="0.0%">
                  <c:v>9.2499999999999999E-2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63-4557-99B3-444EDEF5C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78528"/>
        <c:axId val="438777696"/>
      </c:lineChart>
      <c:catAx>
        <c:axId val="4387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438772704"/>
        <c:crosses val="autoZero"/>
        <c:auto val="1"/>
        <c:lblAlgn val="ctr"/>
        <c:lblOffset val="100"/>
        <c:noMultiLvlLbl val="0"/>
      </c:catAx>
      <c:valAx>
        <c:axId val="438772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438772288"/>
        <c:crosses val="autoZero"/>
        <c:crossBetween val="between"/>
      </c:valAx>
      <c:valAx>
        <c:axId val="4387776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438778528"/>
        <c:crosses val="max"/>
        <c:crossBetween val="between"/>
      </c:valAx>
      <c:catAx>
        <c:axId val="43877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877769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Analysis!$B$1157</c:f>
              <c:strCache>
                <c:ptCount val="1"/>
                <c:pt idx="0">
                  <c:v>Net income non-GAAP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Analysis!$C$1151:$J$1151</c:f>
              <c:strCache>
                <c:ptCount val="8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#REF!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</c:strCache>
            </c:strRef>
          </c:cat>
          <c:val>
            <c:numRef>
              <c:f>Analysis!$C$1157:$J$1157</c:f>
              <c:numCache>
                <c:formatCode>0</c:formatCode>
                <c:ptCount val="8"/>
                <c:pt idx="0">
                  <c:v>51.599999999999994</c:v>
                </c:pt>
                <c:pt idx="1">
                  <c:v>76.600000000000009</c:v>
                </c:pt>
                <c:pt idx="2">
                  <c:v>194.31269365508419</c:v>
                </c:pt>
                <c:pt idx="3">
                  <c:v>194.90056722078685</c:v>
                </c:pt>
                <c:pt idx="4">
                  <c:v>196.50542387878505</c:v>
                </c:pt>
                <c:pt idx="5">
                  <c:v>259.6126563784361</c:v>
                </c:pt>
                <c:pt idx="6">
                  <c:v>286.97917662188172</c:v>
                </c:pt>
                <c:pt idx="7">
                  <c:v>333.27596701216771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F-4483-A3BB-8043A306C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1207574960"/>
        <c:axId val="1207574128"/>
      </c:barChart>
      <c:lineChart>
        <c:grouping val="standard"/>
        <c:varyColors val="0"/>
        <c:ser>
          <c:idx val="1"/>
          <c:order val="1"/>
          <c:tx>
            <c:strRef>
              <c:f>Analysis!$B$1158</c:f>
              <c:strCache>
                <c:ptCount val="1"/>
                <c:pt idx="0">
                  <c:v>% margin (on gross revs)</c:v>
                </c:pt>
              </c:strCache>
            </c:strRef>
          </c:tx>
          <c:spPr>
            <a:ln w="25400" cap="rnd">
              <a:solidFill>
                <a:srgbClr val="799098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Analysis!$C$1151:$J$1151</c:f>
              <c:strCache>
                <c:ptCount val="8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#REF!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</c:strCache>
            </c:strRef>
          </c:cat>
          <c:val>
            <c:numRef>
              <c:f>Analysis!$C$1158:$J$1158</c:f>
              <c:numCache>
                <c:formatCode>0.0%</c:formatCode>
                <c:ptCount val="8"/>
                <c:pt idx="0">
                  <c:v>2.4923924068975506E-2</c:v>
                </c:pt>
                <c:pt idx="1">
                  <c:v>3.3245084848747893E-2</c:v>
                </c:pt>
                <c:pt idx="2">
                  <c:v>7.746170765600327E-2</c:v>
                </c:pt>
                <c:pt idx="3">
                  <c:v>7.405037377864386E-2</c:v>
                </c:pt>
                <c:pt idx="4">
                  <c:v>7.637296941453145E-2</c:v>
                </c:pt>
                <c:pt idx="5">
                  <c:v>9.5430462439664535E-2</c:v>
                </c:pt>
                <c:pt idx="6">
                  <c:v>0.10040871334699235</c:v>
                </c:pt>
                <c:pt idx="7">
                  <c:v>0.11101503642614692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F-4483-A3BB-8043A306C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580784"/>
        <c:axId val="1207584528"/>
      </c:lineChart>
      <c:catAx>
        <c:axId val="120757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07574128"/>
        <c:crosses val="autoZero"/>
        <c:auto val="1"/>
        <c:lblAlgn val="ctr"/>
        <c:lblOffset val="100"/>
        <c:noMultiLvlLbl val="0"/>
      </c:catAx>
      <c:valAx>
        <c:axId val="1207574128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07574960"/>
        <c:crosses val="autoZero"/>
        <c:crossBetween val="between"/>
      </c:valAx>
      <c:valAx>
        <c:axId val="12075845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07580784"/>
        <c:crosses val="max"/>
        <c:crossBetween val="between"/>
      </c:valAx>
      <c:catAx>
        <c:axId val="120758078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2075845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Analysis!$B$1244</c:f>
              <c:strCache>
                <c:ptCount val="1"/>
                <c:pt idx="0">
                  <c:v>Net income non GAAP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Analysis!$D$1243:$P$1243</c:f>
              <c:strCache>
                <c:ptCount val="13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9">
                  <c:v>1Q 24E</c:v>
                </c:pt>
                <c:pt idx="10">
                  <c:v>2Q 24E</c:v>
                </c:pt>
                <c:pt idx="11">
                  <c:v>3Q 24E</c:v>
                </c:pt>
                <c:pt idx="12">
                  <c:v>4Q 24E</c:v>
                </c:pt>
              </c:strCache>
            </c:strRef>
          </c:cat>
          <c:val>
            <c:numRef>
              <c:f>Analysis!$D$1244:$P$1244</c:f>
              <c:numCache>
                <c:formatCode>0</c:formatCode>
                <c:ptCount val="13"/>
                <c:pt idx="0">
                  <c:v>371.28428005414173</c:v>
                </c:pt>
                <c:pt idx="1">
                  <c:v>403</c:v>
                </c:pt>
                <c:pt idx="2">
                  <c:v>411.3</c:v>
                </c:pt>
                <c:pt idx="3">
                  <c:v>411.3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497.86366315789456</c:v>
                </c:pt>
                <c:pt idx="10">
                  <c:v>499.67682526315838</c:v>
                </c:pt>
                <c:pt idx="11">
                  <c:v>565.7781249122811</c:v>
                </c:pt>
                <c:pt idx="12">
                  <c:v>604.08827034957403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9-4CE4-8C3D-6A82AB023A90}"/>
            </c:ext>
          </c:extLst>
        </c:ser>
        <c:ser>
          <c:idx val="1"/>
          <c:order val="1"/>
          <c:tx>
            <c:strRef>
              <c:f>Analysis!$B$1245</c:f>
              <c:strCache>
                <c:ptCount val="1"/>
                <c:pt idx="0">
                  <c:v>Cash earnings (EBITDA less capex)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Analysis!$D$1243:$P$1243</c:f>
              <c:strCache>
                <c:ptCount val="13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9">
                  <c:v>1Q 24E</c:v>
                </c:pt>
                <c:pt idx="10">
                  <c:v>2Q 24E</c:v>
                </c:pt>
                <c:pt idx="11">
                  <c:v>3Q 24E</c:v>
                </c:pt>
                <c:pt idx="12">
                  <c:v>4Q 24E</c:v>
                </c:pt>
              </c:strCache>
            </c:strRef>
          </c:cat>
          <c:val>
            <c:numRef>
              <c:f>Analysis!$D$1245:$P$1245</c:f>
              <c:numCache>
                <c:formatCode>0</c:formatCode>
                <c:ptCount val="13"/>
                <c:pt idx="0">
                  <c:v>-16.310995528273907</c:v>
                </c:pt>
                <c:pt idx="1">
                  <c:v>154.64199999999994</c:v>
                </c:pt>
                <c:pt idx="2">
                  <c:v>265.82799999999992</c:v>
                </c:pt>
                <c:pt idx="3">
                  <c:v>409.83570364495085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510.57957894736819</c:v>
                </c:pt>
                <c:pt idx="10">
                  <c:v>547.84603157894799</c:v>
                </c:pt>
                <c:pt idx="11">
                  <c:v>660.47265614035132</c:v>
                </c:pt>
                <c:pt idx="12">
                  <c:v>732.04690543388188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9-4CE4-8C3D-6A82AB02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381211647"/>
        <c:axId val="381207487"/>
      </c:barChart>
      <c:catAx>
        <c:axId val="3812116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381207487"/>
        <c:crosses val="autoZero"/>
        <c:auto val="1"/>
        <c:lblAlgn val="ctr"/>
        <c:lblOffset val="100"/>
        <c:noMultiLvlLbl val="0"/>
      </c:catAx>
      <c:valAx>
        <c:axId val="381207487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38121164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Analysis!$B$1283</c:f>
              <c:strCache>
                <c:ptCount val="1"/>
                <c:pt idx="0">
                  <c:v>Provision as % revenue</c:v>
                </c:pt>
              </c:strCache>
            </c:strRef>
          </c:tx>
          <c:spPr>
            <a:ln w="25400" cap="rnd">
              <a:solidFill>
                <a:srgbClr val="263238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Analysis!$C$1282:$I$1282</c:f>
              <c:strCache>
                <c:ptCount val="7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  <c:pt idx="6">
                  <c:v>3Q 22</c:v>
                </c:pt>
              </c:strCache>
            </c:strRef>
          </c:cat>
          <c:val>
            <c:numRef>
              <c:f>Analysis!$C$1283:$I$1283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D-4D6A-94D8-4F2913504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512528"/>
        <c:axId val="554512944"/>
      </c:lineChart>
      <c:catAx>
        <c:axId val="55451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554512944"/>
        <c:crosses val="autoZero"/>
        <c:auto val="1"/>
        <c:lblAlgn val="ctr"/>
        <c:lblOffset val="100"/>
        <c:noMultiLvlLbl val="0"/>
      </c:catAx>
      <c:valAx>
        <c:axId val="554512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554512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Analysis!$D$1248:$T$1248</c:f>
              <c:strCache>
                <c:ptCount val="17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  <c:pt idx="6">
                  <c:v>3Q 22</c:v>
                </c:pt>
                <c:pt idx="7">
                  <c:v>4Q 22</c:v>
                </c:pt>
                <c:pt idx="8">
                  <c:v>#REF!</c:v>
                </c:pt>
                <c:pt idx="9">
                  <c:v>#REF!</c:v>
                </c:pt>
                <c:pt idx="10">
                  <c:v>#REF!</c:v>
                </c:pt>
                <c:pt idx="11">
                  <c:v>#REF!</c:v>
                </c:pt>
                <c:pt idx="12">
                  <c:v>#REF!</c:v>
                </c:pt>
                <c:pt idx="13">
                  <c:v>1Q 24E</c:v>
                </c:pt>
                <c:pt idx="14">
                  <c:v>2Q 24E</c:v>
                </c:pt>
                <c:pt idx="15">
                  <c:v>3Q 24E</c:v>
                </c:pt>
                <c:pt idx="16">
                  <c:v>4Q 24E</c:v>
                </c:pt>
              </c:strCache>
            </c:strRef>
          </c:cat>
          <c:val>
            <c:numRef>
              <c:f>Analysis!$D$1250:$T$1250</c:f>
              <c:numCache>
                <c:formatCode>0</c:formatCode>
                <c:ptCount val="17"/>
                <c:pt idx="0">
                  <c:v>156.11249543642109</c:v>
                </c:pt>
                <c:pt idx="1">
                  <c:v>193.67563673077342</c:v>
                </c:pt>
                <c:pt idx="2">
                  <c:v>258.61796397675482</c:v>
                </c:pt>
                <c:pt idx="3">
                  <c:v>308.51423074707048</c:v>
                </c:pt>
                <c:pt idx="4">
                  <c:v>332.56578694405874</c:v>
                </c:pt>
                <c:pt idx="5">
                  <c:v>343.76247149091495</c:v>
                </c:pt>
                <c:pt idx="6">
                  <c:v>375.76568154136282</c:v>
                </c:pt>
                <c:pt idx="7">
                  <c:v>361.79340186728535</c:v>
                </c:pt>
                <c:pt idx="8">
                  <c:v>330.59726660021369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262.46492909729415</c:v>
                </c:pt>
                <c:pt idx="14">
                  <c:v>251.91566798798803</c:v>
                </c:pt>
                <c:pt idx="15">
                  <c:v>265.27454917658292</c:v>
                </c:pt>
                <c:pt idx="16">
                  <c:v>293.62560983516482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A-4CF9-A9A4-4D49740D8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365286767"/>
        <c:axId val="365288015"/>
      </c:barChart>
      <c:catAx>
        <c:axId val="3652867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365288015"/>
        <c:crosses val="autoZero"/>
        <c:auto val="1"/>
        <c:lblAlgn val="ctr"/>
        <c:lblOffset val="100"/>
        <c:noMultiLvlLbl val="0"/>
      </c:catAx>
      <c:valAx>
        <c:axId val="365288015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365286767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Analysis!$Q$1316:$Q$1341</c:f>
              <c:numCache>
                <c:formatCode>mmm\-yy</c:formatCode>
                <c:ptCount val="2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</c:numCache>
            </c:numRef>
          </c:cat>
          <c:val>
            <c:numRef>
              <c:f>Analysis!$T$1316:$T$1341</c:f>
              <c:numCache>
                <c:formatCode>0%</c:formatCode>
                <c:ptCount val="26"/>
                <c:pt idx="0">
                  <c:v>0.38281774899764187</c:v>
                </c:pt>
                <c:pt idx="1">
                  <c:v>0.40450900780544807</c:v>
                </c:pt>
                <c:pt idx="2">
                  <c:v>0.4249036206971053</c:v>
                </c:pt>
                <c:pt idx="3">
                  <c:v>0.46140361492185877</c:v>
                </c:pt>
                <c:pt idx="4">
                  <c:v>0.48732013223081783</c:v>
                </c:pt>
                <c:pt idx="5">
                  <c:v>0.50187316679276317</c:v>
                </c:pt>
                <c:pt idx="6">
                  <c:v>0.51808573287197857</c:v>
                </c:pt>
                <c:pt idx="7">
                  <c:v>0.51512938285664833</c:v>
                </c:pt>
                <c:pt idx="8">
                  <c:v>0.52544641172824003</c:v>
                </c:pt>
                <c:pt idx="9">
                  <c:v>0.52103760707006574</c:v>
                </c:pt>
                <c:pt idx="10">
                  <c:v>0.51072049151823373</c:v>
                </c:pt>
                <c:pt idx="11">
                  <c:v>0.50781525980377551</c:v>
                </c:pt>
                <c:pt idx="12">
                  <c:v>0.50636543743857931</c:v>
                </c:pt>
                <c:pt idx="13">
                  <c:v>0.52235966505617015</c:v>
                </c:pt>
                <c:pt idx="14">
                  <c:v>0.54995969715165405</c:v>
                </c:pt>
                <c:pt idx="15">
                  <c:v>0.57824906722454705</c:v>
                </c:pt>
                <c:pt idx="16">
                  <c:v>0.60575001902516834</c:v>
                </c:pt>
                <c:pt idx="17">
                  <c:v>0.63842516476114564</c:v>
                </c:pt>
                <c:pt idx="18">
                  <c:v>0.70841614267327224</c:v>
                </c:pt>
                <c:pt idx="19">
                  <c:v>0.78341977820526987</c:v>
                </c:pt>
                <c:pt idx="20">
                  <c:v>0.82994377241932082</c:v>
                </c:pt>
                <c:pt idx="21">
                  <c:v>0.87944949766351477</c:v>
                </c:pt>
                <c:pt idx="22">
                  <c:v>0.92345612004783151</c:v>
                </c:pt>
                <c:pt idx="23">
                  <c:v>0.94754564756288118</c:v>
                </c:pt>
                <c:pt idx="24">
                  <c:v>0.98690893784086087</c:v>
                </c:pt>
                <c:pt idx="25">
                  <c:v>1.0229655470280399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043-8E85-310CC353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669834351"/>
        <c:axId val="1728677503"/>
      </c:barChart>
      <c:dateAx>
        <c:axId val="166983435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728677503"/>
        <c:crosses val="autoZero"/>
        <c:auto val="1"/>
        <c:lblOffset val="100"/>
        <c:baseTimeUnit val="months"/>
      </c:dateAx>
      <c:valAx>
        <c:axId val="1728677503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66983435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Analysis!$B$1344</c:f>
              <c:strCache>
                <c:ptCount val="1"/>
                <c:pt idx="0">
                  <c:v>Working Capital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Analysis!$C$1343:$N$1343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Analysis!$C$1344:$N$1344</c:f>
              <c:numCache>
                <c:formatCode>0</c:formatCode>
                <c:ptCount val="12"/>
                <c:pt idx="0">
                  <c:v>1008.7420700399998</c:v>
                </c:pt>
                <c:pt idx="1">
                  <c:v>918.60363681999991</c:v>
                </c:pt>
                <c:pt idx="2">
                  <c:v>813.28235339000003</c:v>
                </c:pt>
                <c:pt idx="3">
                  <c:v>743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8-4130-9861-419CBCC8A646}"/>
            </c:ext>
          </c:extLst>
        </c:ser>
        <c:ser>
          <c:idx val="1"/>
          <c:order val="1"/>
          <c:tx>
            <c:strRef>
              <c:f>Analysis!$B$1345</c:f>
              <c:strCache>
                <c:ptCount val="1"/>
                <c:pt idx="0">
                  <c:v>Credit Cards</c:v>
                </c:pt>
              </c:strCache>
            </c:strRef>
          </c:tx>
          <c:spPr>
            <a:solidFill>
              <a:srgbClr val="F9663E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Analysis!$C$1343:$N$1343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Analysis!$C$1345:$N$1345</c:f>
              <c:numCache>
                <c:formatCode>0</c:formatCode>
                <c:ptCount val="12"/>
                <c:pt idx="0">
                  <c:v>852.44543726999996</c:v>
                </c:pt>
                <c:pt idx="1">
                  <c:v>919.04727357000002</c:v>
                </c:pt>
                <c:pt idx="2">
                  <c:v>1014.1261052999999</c:v>
                </c:pt>
                <c:pt idx="3">
                  <c:v>1113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98-4130-9861-419CBCC8A646}"/>
            </c:ext>
          </c:extLst>
        </c:ser>
        <c:ser>
          <c:idx val="2"/>
          <c:order val="2"/>
          <c:tx>
            <c:strRef>
              <c:f>Analysis!$B$1346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C7FE0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Analysis!$C$1343:$N$1343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Analysis!$C$1346:$N$1346</c:f>
              <c:numCache>
                <c:formatCode>0</c:formatCode>
                <c:ptCount val="12"/>
                <c:pt idx="0">
                  <c:v>193.59793797</c:v>
                </c:pt>
                <c:pt idx="1">
                  <c:v>437.36505529000004</c:v>
                </c:pt>
                <c:pt idx="2">
                  <c:v>825.85647173000007</c:v>
                </c:pt>
                <c:pt idx="3">
                  <c:v>865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98-4130-9861-419CBCC8A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84584416"/>
        <c:axId val="684585376"/>
      </c:barChart>
      <c:catAx>
        <c:axId val="68458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684585376"/>
        <c:crosses val="autoZero"/>
        <c:auto val="1"/>
        <c:lblAlgn val="ctr"/>
        <c:lblOffset val="100"/>
        <c:noMultiLvlLbl val="0"/>
      </c:catAx>
      <c:valAx>
        <c:axId val="68458537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845844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Analysis!$B$1367</c:f>
              <c:strCache>
                <c:ptCount val="1"/>
                <c:pt idx="0">
                  <c:v>Credit revenue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Analysis!$C$1366:$N$1366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Analysis!$C$1367:$N$1367</c:f>
              <c:numCache>
                <c:formatCode>0</c:formatCode>
                <c:ptCount val="12"/>
                <c:pt idx="0">
                  <c:v>149.65460412482645</c:v>
                </c:pt>
                <c:pt idx="1">
                  <c:v>154.69311217091172</c:v>
                </c:pt>
                <c:pt idx="2">
                  <c:v>169.09455669361327</c:v>
                </c:pt>
                <c:pt idx="3">
                  <c:v>162.8070308402784</c:v>
                </c:pt>
                <c:pt idx="4">
                  <c:v>148.76876997009617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114.9238</c:v>
                </c:pt>
                <c:pt idx="9">
                  <c:v>113.5488</c:v>
                </c:pt>
                <c:pt idx="10">
                  <c:v>124.1738</c:v>
                </c:pt>
                <c:pt idx="11">
                  <c:v>126.23609999999999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C-4648-B6AD-CDB3992969E1}"/>
            </c:ext>
          </c:extLst>
        </c:ser>
        <c:ser>
          <c:idx val="1"/>
          <c:order val="1"/>
          <c:tx>
            <c:strRef>
              <c:f>Analysis!$B$1368</c:f>
              <c:strCache>
                <c:ptCount val="1"/>
                <c:pt idx="0">
                  <c:v>Interchange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Analysis!$C$1366:$N$1366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Analysis!$C$1368:$N$1368</c:f>
              <c:numCache>
                <c:formatCode>0</c:formatCode>
                <c:ptCount val="12"/>
                <c:pt idx="0">
                  <c:v>127.4843078192323</c:v>
                </c:pt>
                <c:pt idx="1">
                  <c:v>126.13935932000324</c:v>
                </c:pt>
                <c:pt idx="2">
                  <c:v>132.58151234774974</c:v>
                </c:pt>
                <c:pt idx="3">
                  <c:v>116.75208977700693</c:v>
                </c:pt>
                <c:pt idx="4">
                  <c:v>104.7941216301175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71</c:v>
                </c:pt>
                <c:pt idx="9">
                  <c:v>78</c:v>
                </c:pt>
                <c:pt idx="10">
                  <c:v>80</c:v>
                </c:pt>
                <c:pt idx="11">
                  <c:v>84.915634710311167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C-4648-B6AD-CDB3992969E1}"/>
            </c:ext>
          </c:extLst>
        </c:ser>
        <c:ser>
          <c:idx val="2"/>
          <c:order val="2"/>
          <c:tx>
            <c:strRef>
              <c:f>Analysis!$B$1369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9663E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Analysis!$C$1366:$N$1366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Analysis!$C$1369:$N$1369</c:f>
              <c:numCache>
                <c:formatCode>0</c:formatCode>
                <c:ptCount val="12"/>
                <c:pt idx="0">
                  <c:v>55.426874999999995</c:v>
                </c:pt>
                <c:pt idx="1">
                  <c:v>62.929999999999993</c:v>
                </c:pt>
                <c:pt idx="2">
                  <c:v>74.089612499999816</c:v>
                </c:pt>
                <c:pt idx="3">
                  <c:v>82.234281250000024</c:v>
                </c:pt>
                <c:pt idx="4">
                  <c:v>77.034375000000011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76.541129097294146</c:v>
                </c:pt>
                <c:pt idx="9">
                  <c:v>60.36686798798803</c:v>
                </c:pt>
                <c:pt idx="10">
                  <c:v>61.100749176582923</c:v>
                </c:pt>
                <c:pt idx="11">
                  <c:v>82.473875124853663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C-4648-B6AD-CDB399296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107087"/>
        <c:axId val="417107567"/>
      </c:barChart>
      <c:lineChart>
        <c:grouping val="standard"/>
        <c:varyColors val="0"/>
        <c:ser>
          <c:idx val="3"/>
          <c:order val="3"/>
          <c:tx>
            <c:strRef>
              <c:f>Analysis!$B$1371</c:f>
              <c:strCache>
                <c:ptCount val="1"/>
                <c:pt idx="0">
                  <c:v>EBITDA margin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alpha val="98000"/>
                  </a:schemeClr>
                </a:solidFill>
              </a:ln>
              <a:effectLst/>
            </c:spPr>
          </c:marker>
          <c:val>
            <c:numRef>
              <c:f>Analysis!$C$1371:$N$1371</c:f>
              <c:numCache>
                <c:formatCode>0%</c:formatCode>
                <c:ptCount val="12"/>
                <c:pt idx="0">
                  <c:v>-0.22965478997551786</c:v>
                </c:pt>
                <c:pt idx="1">
                  <c:v>-0.19344858392060327</c:v>
                </c:pt>
                <c:pt idx="2">
                  <c:v>-0.16574030592814543</c:v>
                </c:pt>
                <c:pt idx="3">
                  <c:v>3.2102717340667199E-2</c:v>
                </c:pt>
                <c:pt idx="4">
                  <c:v>0.20836679719032455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0.10556781216734118</c:v>
                </c:pt>
                <c:pt idx="9">
                  <c:v>0.11837382339479853</c:v>
                </c:pt>
                <c:pt idx="10">
                  <c:v>0.18435898154038219</c:v>
                </c:pt>
                <c:pt idx="11">
                  <c:v>0.24149159080723293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B-406B-9E64-B6A86BAAF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929904"/>
        <c:axId val="712942384"/>
      </c:lineChart>
      <c:catAx>
        <c:axId val="417107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417107567"/>
        <c:crosses val="autoZero"/>
        <c:auto val="1"/>
        <c:lblAlgn val="ctr"/>
        <c:lblOffset val="100"/>
        <c:noMultiLvlLbl val="0"/>
      </c:catAx>
      <c:valAx>
        <c:axId val="417107567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417107087"/>
        <c:crosses val="autoZero"/>
        <c:crossBetween val="between"/>
      </c:valAx>
      <c:valAx>
        <c:axId val="712942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712929904"/>
        <c:crosses val="max"/>
        <c:crossBetween val="between"/>
      </c:valAx>
      <c:catAx>
        <c:axId val="71292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7129423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Revenue</c:v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Quarts!$S$4:$X$4</c:f>
              <c:strCache>
                <c:ptCount val="6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</c:strCache>
            </c:strRef>
          </c:cat>
          <c:val>
            <c:numRef>
              <c:f>Quarts!$S$232:$X$232</c:f>
              <c:numCache>
                <c:formatCode>#,##0"  ";\(#,##0\)" ";#,##0"  ";@"  "</c:formatCode>
                <c:ptCount val="6"/>
                <c:pt idx="0">
                  <c:v>156.11249543642109</c:v>
                </c:pt>
                <c:pt idx="1">
                  <c:v>193.67563673077342</c:v>
                </c:pt>
                <c:pt idx="2">
                  <c:v>258.61796397675482</c:v>
                </c:pt>
                <c:pt idx="3">
                  <c:v>308.51423074707048</c:v>
                </c:pt>
                <c:pt idx="4">
                  <c:v>332.56578694405874</c:v>
                </c:pt>
                <c:pt idx="5">
                  <c:v>343.76247149091495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1-4DDD-AB31-8C8351F2301A}"/>
            </c:ext>
          </c:extLst>
        </c:ser>
        <c:ser>
          <c:idx val="1"/>
          <c:order val="1"/>
          <c:tx>
            <c:v>EBITDA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Quarts!$S$4:$X$4</c:f>
              <c:strCache>
                <c:ptCount val="6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</c:strCache>
            </c:strRef>
          </c:cat>
          <c:val>
            <c:numRef>
              <c:f>Quarts!#REF!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1-484F-AA5F-76B1A0A6F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13732160"/>
        <c:axId val="213724256"/>
      </c:barChart>
      <c:catAx>
        <c:axId val="2137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213724256"/>
        <c:crosses val="autoZero"/>
        <c:auto val="1"/>
        <c:lblAlgn val="ctr"/>
        <c:lblOffset val="100"/>
        <c:noMultiLvlLbl val="0"/>
      </c:catAx>
      <c:valAx>
        <c:axId val="213724256"/>
        <c:scaling>
          <c:orientation val="minMax"/>
        </c:scaling>
        <c:delete val="1"/>
        <c:axPos val="l"/>
        <c:numFmt formatCode="#,##0&quot;  &quot;;\(#,##0\)&quot; &quot;;#,##0&quot;  &quot;;@&quot;  &quot;" sourceLinked="1"/>
        <c:majorTickMark val="out"/>
        <c:minorTickMark val="none"/>
        <c:tickLblPos val="nextTo"/>
        <c:crossAx val="2137321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Analysis!$B$1374</c:f>
              <c:strCache>
                <c:ptCount val="1"/>
                <c:pt idx="0">
                  <c:v>Credit book (gross)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Analysis!$C$1373:$N$1373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Analysis!$C$1374:$N$1374</c:f>
              <c:numCache>
                <c:formatCode>#,##0</c:formatCode>
                <c:ptCount val="12"/>
                <c:pt idx="0">
                  <c:v>2054.7854452799997</c:v>
                </c:pt>
                <c:pt idx="1">
                  <c:v>2275.0159656799997</c:v>
                </c:pt>
                <c:pt idx="2">
                  <c:v>2653.2649304199999</c:v>
                </c:pt>
                <c:pt idx="3">
                  <c:v>2721</c:v>
                </c:pt>
                <c:pt idx="4">
                  <c:v>2717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2444.1400000000003</c:v>
                </c:pt>
                <c:pt idx="9">
                  <c:v>2369.1400000000003</c:v>
                </c:pt>
                <c:pt idx="10">
                  <c:v>2419.1400000000003</c:v>
                </c:pt>
                <c:pt idx="11">
                  <c:v>2723.25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5-476D-B219-E96352554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906309104"/>
        <c:axId val="906307664"/>
      </c:barChart>
      <c:lineChart>
        <c:grouping val="standard"/>
        <c:varyColors val="0"/>
        <c:ser>
          <c:idx val="1"/>
          <c:order val="1"/>
          <c:tx>
            <c:strRef>
              <c:f>Analysis!$B$1375</c:f>
              <c:strCache>
                <c:ptCount val="1"/>
                <c:pt idx="0">
                  <c:v>Blended yield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Analysis!$C$1373:$N$1373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Analysis!$C$1375:$N$1375</c:f>
              <c:numCache>
                <c:formatCode>0%</c:formatCode>
                <c:ptCount val="12"/>
                <c:pt idx="0">
                  <c:v>0.30219857864579014</c:v>
                </c:pt>
                <c:pt idx="1">
                  <c:v>0.28582024437303388</c:v>
                </c:pt>
                <c:pt idx="2">
                  <c:v>0.2744885046263113</c:v>
                </c:pt>
                <c:pt idx="3">
                  <c:v>0.242350584421308</c:v>
                </c:pt>
                <c:pt idx="4">
                  <c:v>0.21885806542125219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0.18487120813007474</c:v>
                </c:pt>
                <c:pt idx="9">
                  <c:v>0.18872585845826545</c:v>
                </c:pt>
                <c:pt idx="10">
                  <c:v>0.20746288855288325</c:v>
                </c:pt>
                <c:pt idx="11">
                  <c:v>0.19638510498036904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65-476D-B219-E96352554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278864"/>
        <c:axId val="906301424"/>
      </c:lineChart>
      <c:catAx>
        <c:axId val="90630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906307664"/>
        <c:crosses val="autoZero"/>
        <c:auto val="1"/>
        <c:lblAlgn val="ctr"/>
        <c:lblOffset val="100"/>
        <c:noMultiLvlLbl val="0"/>
      </c:catAx>
      <c:valAx>
        <c:axId val="90630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906309104"/>
        <c:crosses val="autoZero"/>
        <c:crossBetween val="between"/>
      </c:valAx>
      <c:valAx>
        <c:axId val="9063014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906278864"/>
        <c:crosses val="max"/>
        <c:crossBetween val="between"/>
      </c:valAx>
      <c:catAx>
        <c:axId val="90627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630142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Analysis!$B$1427:$B$1428</c:f>
              <c:strCache>
                <c:ptCount val="2"/>
                <c:pt idx="0">
                  <c:v>D&amp;A</c:v>
                </c:pt>
                <c:pt idx="1">
                  <c:v>Finanncial expenses</c:v>
                </c:pt>
              </c:strCache>
            </c:strRef>
          </c:cat>
          <c:val>
            <c:numRef>
              <c:f>Analysis!$E$1427:$E$1428</c:f>
              <c:numCache>
                <c:formatCode>0</c:formatCode>
                <c:ptCount val="2"/>
                <c:pt idx="0">
                  <c:v>-418.54706458419037</c:v>
                </c:pt>
                <c:pt idx="1">
                  <c:v>455.3890482300576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3-41D4-9177-35821FCDB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142857391"/>
        <c:axId val="1142837231"/>
      </c:barChart>
      <c:catAx>
        <c:axId val="11428573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142837231"/>
        <c:crosses val="autoZero"/>
        <c:auto val="1"/>
        <c:lblAlgn val="ctr"/>
        <c:lblOffset val="100"/>
        <c:tickLblSkip val="1"/>
        <c:noMultiLvlLbl val="0"/>
      </c:catAx>
      <c:valAx>
        <c:axId val="1142837231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14285739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Analysis!$B$1435</c:f>
              <c:strCache>
                <c:ptCount val="1"/>
                <c:pt idx="0">
                  <c:v>Net income non GAAP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Analysis!$C$1434:$D$1434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Analysis!$C$1435:$D$1435</c:f>
              <c:numCache>
                <c:formatCode>#,##0</c:formatCode>
                <c:ptCount val="2"/>
                <c:pt idx="0">
                  <c:v>1740.6199999999994</c:v>
                </c:pt>
                <c:pt idx="1">
                  <c:v>2167.4068836829047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9-4895-8A47-B364EBCCA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233271631"/>
        <c:axId val="1233274031"/>
      </c:barChart>
      <c:catAx>
        <c:axId val="1233271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33274031"/>
        <c:crosses val="autoZero"/>
        <c:auto val="1"/>
        <c:lblAlgn val="ctr"/>
        <c:lblOffset val="100"/>
        <c:noMultiLvlLbl val="0"/>
      </c:catAx>
      <c:valAx>
        <c:axId val="1233274031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327163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Analysis!$B$1465</c:f>
              <c:strCache>
                <c:ptCount val="1"/>
                <c:pt idx="0">
                  <c:v>Micro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Analysis!$C$1454:$H$1454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Analysis!$C$1465:$H$1465</c:f>
              <c:numCache>
                <c:formatCode>0</c:formatCode>
                <c:ptCount val="6"/>
                <c:pt idx="0">
                  <c:v>65.480500000000006</c:v>
                </c:pt>
                <c:pt idx="1">
                  <c:v>93.798000000000002</c:v>
                </c:pt>
                <c:pt idx="2">
                  <c:v>117.92699664462516</c:v>
                </c:pt>
                <c:pt idx="3">
                  <c:v>134.40625</c:v>
                </c:pt>
                <c:pt idx="4">
                  <c:v>126.55500000000001</c:v>
                </c:pt>
                <c:pt idx="5">
                  <c:v>130.21799999999999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1-429C-A08F-4C18ACB5F41E}"/>
            </c:ext>
          </c:extLst>
        </c:ser>
        <c:ser>
          <c:idx val="1"/>
          <c:order val="1"/>
          <c:tx>
            <c:strRef>
              <c:f>Analysis!$B$1466</c:f>
              <c:strCache>
                <c:ptCount val="1"/>
                <c:pt idx="0">
                  <c:v>SMB</c:v>
                </c:pt>
              </c:strCache>
            </c:strRef>
          </c:tx>
          <c:spPr>
            <a:solidFill>
              <a:srgbClr val="F9663E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Analysis!$C$1454:$H$1454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Analysis!$C$1466:$H$1466</c:f>
              <c:numCache>
                <c:formatCode>0</c:formatCode>
                <c:ptCount val="6"/>
                <c:pt idx="0">
                  <c:v>0</c:v>
                </c:pt>
                <c:pt idx="1">
                  <c:v>2.3159999999999998</c:v>
                </c:pt>
                <c:pt idx="2">
                  <c:v>8.0771915510017234</c:v>
                </c:pt>
                <c:pt idx="3">
                  <c:v>37.633749999999999</c:v>
                </c:pt>
                <c:pt idx="4">
                  <c:v>103.54500000000002</c:v>
                </c:pt>
                <c:pt idx="5">
                  <c:v>142.05600000000001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1-429C-A08F-4C18ACB5F41E}"/>
            </c:ext>
          </c:extLst>
        </c:ser>
        <c:ser>
          <c:idx val="2"/>
          <c:order val="2"/>
          <c:tx>
            <c:strRef>
              <c:f>Analysis!$B$1467</c:f>
              <c:strCache>
                <c:ptCount val="1"/>
                <c:pt idx="0">
                  <c:v>Enterprise</c:v>
                </c:pt>
              </c:strCache>
            </c:strRef>
          </c:tx>
          <c:spPr>
            <a:solidFill>
              <a:srgbClr val="C7FE0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Analysis!$C$1454:$H$1454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Analysis!$C$1467:$H$1467</c:f>
              <c:numCache>
                <c:formatCode>0</c:formatCode>
                <c:ptCount val="6"/>
                <c:pt idx="0">
                  <c:v>10.219500000000002</c:v>
                </c:pt>
                <c:pt idx="1">
                  <c:v>19.686</c:v>
                </c:pt>
                <c:pt idx="2">
                  <c:v>35.539642824407586</c:v>
                </c:pt>
                <c:pt idx="3">
                  <c:v>80.960000000000008</c:v>
                </c:pt>
                <c:pt idx="4">
                  <c:v>123.89999999999999</c:v>
                </c:pt>
                <c:pt idx="5">
                  <c:v>122.32600000000001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31-429C-A08F-4C18ACB5F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233291791"/>
        <c:axId val="1233299951"/>
      </c:barChart>
      <c:catAx>
        <c:axId val="1233291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33299951"/>
        <c:crosses val="autoZero"/>
        <c:auto val="1"/>
        <c:lblAlgn val="ctr"/>
        <c:lblOffset val="100"/>
        <c:noMultiLvlLbl val="0"/>
      </c:catAx>
      <c:valAx>
        <c:axId val="1233299951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3329179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Analysis!$B$1551</c:f>
              <c:strCache>
                <c:ptCount val="1"/>
                <c:pt idx="0">
                  <c:v>PAGS ex Financials</c:v>
                </c:pt>
              </c:strCache>
            </c:strRef>
          </c:tx>
          <c:spPr>
            <a:ln w="25400" cap="rnd">
              <a:solidFill>
                <a:srgbClr val="263238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Analysis!$C$1538:$H$1538</c:f>
              <c:strCache>
                <c:ptCount val="6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</c:strCache>
            </c:strRef>
          </c:cat>
          <c:val>
            <c:numRef>
              <c:f>Analysis!$C$1551:$H$1551</c:f>
              <c:numCache>
                <c:formatCode>0.00%</c:formatCode>
                <c:ptCount val="6"/>
                <c:pt idx="0">
                  <c:v>2.1840626879599766E-2</c:v>
                </c:pt>
                <c:pt idx="1">
                  <c:v>2.3632584400326066E-2</c:v>
                </c:pt>
                <c:pt idx="2">
                  <c:v>2.4830944833428983E-2</c:v>
                </c:pt>
                <c:pt idx="3">
                  <c:v>2.2048850457398881E-2</c:v>
                </c:pt>
                <c:pt idx="4">
                  <c:v>2.2311498539914345E-2</c:v>
                </c:pt>
                <c:pt idx="5">
                  <c:v>2.2694400389819149E-2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E-4F6A-9CF3-10992D478AEB}"/>
            </c:ext>
          </c:extLst>
        </c:ser>
        <c:ser>
          <c:idx val="1"/>
          <c:order val="1"/>
          <c:tx>
            <c:strRef>
              <c:f>Analysis!$B$1552</c:f>
              <c:strCache>
                <c:ptCount val="1"/>
                <c:pt idx="0">
                  <c:v>STNE ex Software</c:v>
                </c:pt>
              </c:strCache>
            </c:strRef>
          </c:tx>
          <c:spPr>
            <a:ln w="25400" cap="rnd">
              <a:solidFill>
                <a:srgbClr val="799098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Analysis!$C$1538:$H$1538</c:f>
              <c:strCache>
                <c:ptCount val="6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</c:strCache>
            </c:strRef>
          </c:cat>
          <c:val>
            <c:numRef>
              <c:f>Analysis!$C$1552:$H$1552</c:f>
              <c:numCache>
                <c:formatCode>0.00%</c:formatCode>
                <c:ptCount val="6"/>
                <c:pt idx="0">
                  <c:v>1.9354567307692309E-2</c:v>
                </c:pt>
                <c:pt idx="1">
                  <c:v>1.9834619625137814E-2</c:v>
                </c:pt>
                <c:pt idx="2">
                  <c:v>2.1324758842443732E-2</c:v>
                </c:pt>
                <c:pt idx="3">
                  <c:v>2.1955044955044953E-2</c:v>
                </c:pt>
                <c:pt idx="4">
                  <c:v>2.3475935828877005E-2</c:v>
                </c:pt>
                <c:pt idx="5">
                  <c:v>2.4405544147843943E-2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E-4F6A-9CF3-10992D47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3839119"/>
        <c:axId val="1033840079"/>
      </c:lineChart>
      <c:catAx>
        <c:axId val="10338391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033840079"/>
        <c:crosses val="autoZero"/>
        <c:auto val="1"/>
        <c:lblAlgn val="ctr"/>
        <c:lblOffset val="100"/>
        <c:noMultiLvlLbl val="0"/>
      </c:catAx>
      <c:valAx>
        <c:axId val="1033840079"/>
        <c:scaling>
          <c:orientation val="minMax"/>
          <c:min val="1.0000000000000002E-2"/>
        </c:scaling>
        <c:delete val="0"/>
        <c:axPos val="l"/>
        <c:numFmt formatCode="0.00%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033839119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Analysis!$B$1557</c:f>
              <c:strCache>
                <c:ptCount val="1"/>
                <c:pt idx="0">
                  <c:v>Micro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Analysis!$C$1556:$D$1556</c:f>
              <c:strCache>
                <c:ptCount val="2"/>
                <c:pt idx="0">
                  <c:v>PAGS</c:v>
                </c:pt>
                <c:pt idx="1">
                  <c:v>STNE</c:v>
                </c:pt>
              </c:strCache>
            </c:strRef>
          </c:cat>
          <c:val>
            <c:numRef>
              <c:f>Analysis!$C$1557:$D$1557</c:f>
              <c:numCache>
                <c:formatCode>0%</c:formatCode>
                <c:ptCount val="2"/>
                <c:pt idx="0">
                  <c:v>0.2</c:v>
                </c:pt>
                <c:pt idx="1">
                  <c:v>0.17453798767967146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E-429E-9398-2FDAE195E103}"/>
            </c:ext>
          </c:extLst>
        </c:ser>
        <c:ser>
          <c:idx val="1"/>
          <c:order val="1"/>
          <c:tx>
            <c:strRef>
              <c:f>Analysis!$B$1558</c:f>
              <c:strCache>
                <c:ptCount val="1"/>
                <c:pt idx="0">
                  <c:v>SMB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Analysis!$C$1556:$D$1556</c:f>
              <c:strCache>
                <c:ptCount val="2"/>
                <c:pt idx="0">
                  <c:v>PAGS</c:v>
                </c:pt>
                <c:pt idx="1">
                  <c:v>STNE</c:v>
                </c:pt>
              </c:strCache>
            </c:strRef>
          </c:cat>
          <c:val>
            <c:numRef>
              <c:f>Analysis!$C$1558:$D$1558</c:f>
              <c:numCache>
                <c:formatCode>0%</c:formatCode>
                <c:ptCount val="2"/>
                <c:pt idx="0">
                  <c:v>0.5</c:v>
                </c:pt>
                <c:pt idx="1">
                  <c:v>0.6806981519507187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E-429E-9398-2FDAE195E103}"/>
            </c:ext>
          </c:extLst>
        </c:ser>
        <c:ser>
          <c:idx val="2"/>
          <c:order val="2"/>
          <c:tx>
            <c:strRef>
              <c:f>Analysis!$B$1559</c:f>
              <c:strCache>
                <c:ptCount val="1"/>
                <c:pt idx="0">
                  <c:v>Enterprise/Key Accounts*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Analysis!$C$1556:$D$1556</c:f>
              <c:strCache>
                <c:ptCount val="2"/>
                <c:pt idx="0">
                  <c:v>PAGS</c:v>
                </c:pt>
                <c:pt idx="1">
                  <c:v>STNE</c:v>
                </c:pt>
              </c:strCache>
            </c:strRef>
          </c:cat>
          <c:val>
            <c:numRef>
              <c:f>Analysis!$C$1559:$D$1559</c:f>
              <c:numCache>
                <c:formatCode>0%</c:formatCode>
                <c:ptCount val="2"/>
                <c:pt idx="0">
                  <c:v>0.3</c:v>
                </c:pt>
                <c:pt idx="1">
                  <c:v>0.14476386036960986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DE-429E-9398-2FDAE195E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458159215"/>
        <c:axId val="1458168335"/>
      </c:barChart>
      <c:catAx>
        <c:axId val="1458159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458168335"/>
        <c:crosses val="autoZero"/>
        <c:auto val="1"/>
        <c:lblAlgn val="ctr"/>
        <c:lblOffset val="100"/>
        <c:noMultiLvlLbl val="0"/>
      </c:catAx>
      <c:valAx>
        <c:axId val="1458168335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58159215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Analysis!$B$1583</c:f>
              <c:strCache>
                <c:ptCount val="1"/>
                <c:pt idx="0">
                  <c:v>D&amp;A</c:v>
                </c:pt>
              </c:strCache>
            </c:strRef>
          </c:tx>
          <c:spPr>
            <a:solidFill>
              <a:schemeClr val="tx1"/>
            </a:solidFill>
            <a:ln w="25400">
              <a:noFill/>
              <a:prstDash val="solid"/>
            </a:ln>
            <a:effectLst/>
          </c:spPr>
          <c:invertIfNegative val="0"/>
          <c:cat>
            <c:numRef>
              <c:f>Analysis!$C$1582:$G$1582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Analysis!$C$1583:$G$1583</c:f>
              <c:numCache>
                <c:formatCode>#,##0</c:formatCode>
                <c:ptCount val="5"/>
                <c:pt idx="0">
                  <c:v>768.6</c:v>
                </c:pt>
                <c:pt idx="1">
                  <c:v>1131</c:v>
                </c:pt>
                <c:pt idx="2">
                  <c:v>1355</c:v>
                </c:pt>
                <c:pt idx="3">
                  <c:v>1773.5470645841904</c:v>
                </c:pt>
                <c:pt idx="4">
                  <c:v>1841.6814874009174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9-41A9-8C36-4346662EB36B}"/>
            </c:ext>
          </c:extLst>
        </c:ser>
        <c:ser>
          <c:idx val="1"/>
          <c:order val="1"/>
          <c:tx>
            <c:strRef>
              <c:f>Analysis!$B$1584</c:f>
              <c:strCache>
                <c:ptCount val="1"/>
                <c:pt idx="0">
                  <c:v>POS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Analysis!$C$1582:$G$1582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Analysis!$C$1584:$G$1584</c:f>
              <c:numCache>
                <c:formatCode>#,##0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220</c:v>
                </c:pt>
                <c:pt idx="3">
                  <c:v>180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79-41A9-8C36-4346662EB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222111"/>
        <c:axId val="1288237951"/>
      </c:barChart>
      <c:lineChart>
        <c:grouping val="standard"/>
        <c:varyColors val="0"/>
        <c:ser>
          <c:idx val="2"/>
          <c:order val="2"/>
          <c:tx>
            <c:strRef>
              <c:f>Analysis!$B$1585</c:f>
              <c:strCache>
                <c:ptCount val="1"/>
                <c:pt idx="0">
                  <c:v>Capex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Analysis!$C$1585:$G$1585</c:f>
              <c:numCache>
                <c:formatCode>#,##0</c:formatCode>
                <c:ptCount val="5"/>
                <c:pt idx="0">
                  <c:v>1751.8</c:v>
                </c:pt>
                <c:pt idx="1">
                  <c:v>2136</c:v>
                </c:pt>
                <c:pt idx="2">
                  <c:v>1988.4</c:v>
                </c:pt>
                <c:pt idx="3">
                  <c:v>2004.8964970872751</c:v>
                </c:pt>
                <c:pt idx="4">
                  <c:v>2061.5363217735476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9-41A9-8C36-4346662EB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222111"/>
        <c:axId val="1288237951"/>
      </c:lineChart>
      <c:catAx>
        <c:axId val="12882221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88237951"/>
        <c:crosses val="autoZero"/>
        <c:auto val="1"/>
        <c:lblAlgn val="ctr"/>
        <c:lblOffset val="100"/>
        <c:noMultiLvlLbl val="0"/>
      </c:catAx>
      <c:valAx>
        <c:axId val="1288237951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28822211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Analysis!$B$1591</c:f>
              <c:strCache>
                <c:ptCount val="1"/>
                <c:pt idx="0">
                  <c:v>Non GAAP net income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Analysis!$C$1590:$D$1590</c:f>
              <c:strCache>
                <c:ptCount val="2"/>
                <c:pt idx="0">
                  <c:v>Base</c:v>
                </c:pt>
                <c:pt idx="1">
                  <c:v>YE 24 150 bps higher</c:v>
                </c:pt>
              </c:strCache>
            </c:strRef>
          </c:cat>
          <c:val>
            <c:numRef>
              <c:f>Analysis!$C$1591:$D$1591</c:f>
              <c:numCache>
                <c:formatCode>0</c:formatCode>
                <c:ptCount val="2"/>
                <c:pt idx="0">
                  <c:v>2167.4068836829047</c:v>
                </c:pt>
                <c:pt idx="1">
                  <c:v>2054.9068836829047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D-4101-B00D-A0BBBC8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670317247"/>
        <c:axId val="1445542239"/>
      </c:barChart>
      <c:lineChart>
        <c:grouping val="standard"/>
        <c:varyColors val="0"/>
        <c:ser>
          <c:idx val="1"/>
          <c:order val="1"/>
          <c:tx>
            <c:strRef>
              <c:f>Analysis!$B$1592</c:f>
              <c:strCache>
                <c:ptCount val="1"/>
                <c:pt idx="0">
                  <c:v>% margin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gradFill>
                <a:gsLst>
                  <a:gs pos="0">
                    <a:srgbClr val="00C994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Analysis!$C$1592:$D$1592</c:f>
              <c:numCache>
                <c:formatCode>0.0%</c:formatCode>
                <c:ptCount val="2"/>
                <c:pt idx="0">
                  <c:v>0.12432152581724217</c:v>
                </c:pt>
                <c:pt idx="1">
                  <c:v>0.11786857424652733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D-4101-B00D-A0BBBC8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317711"/>
        <c:axId val="1153109823"/>
      </c:lineChart>
      <c:catAx>
        <c:axId val="16703172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445542239"/>
        <c:crosses val="autoZero"/>
        <c:auto val="1"/>
        <c:lblAlgn val="ctr"/>
        <c:lblOffset val="100"/>
        <c:noMultiLvlLbl val="0"/>
      </c:catAx>
      <c:valAx>
        <c:axId val="1445542239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670317247"/>
        <c:crosses val="autoZero"/>
        <c:crossBetween val="between"/>
      </c:valAx>
      <c:valAx>
        <c:axId val="115310982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670317711"/>
        <c:crosses val="max"/>
        <c:crossBetween val="between"/>
      </c:valAx>
      <c:catAx>
        <c:axId val="1670317711"/>
        <c:scaling>
          <c:orientation val="minMax"/>
        </c:scaling>
        <c:delete val="1"/>
        <c:axPos val="b"/>
        <c:majorTickMark val="out"/>
        <c:minorTickMark val="none"/>
        <c:tickLblPos val="nextTo"/>
        <c:crossAx val="1153109823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Analysis!$B$1597</c:f>
              <c:strCache>
                <c:ptCount val="1"/>
                <c:pt idx="0">
                  <c:v>Net income (after stock exp)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Analysis!$C$1590:$D$1590</c:f>
              <c:strCache>
                <c:ptCount val="2"/>
                <c:pt idx="0">
                  <c:v>Base</c:v>
                </c:pt>
                <c:pt idx="1">
                  <c:v>YE 24 150 bps higher</c:v>
                </c:pt>
              </c:strCache>
            </c:strRef>
          </c:cat>
          <c:val>
            <c:numRef>
              <c:f>Analysis!$C$1597:$D$1597</c:f>
              <c:numCache>
                <c:formatCode>0</c:formatCode>
                <c:ptCount val="2"/>
                <c:pt idx="0">
                  <c:v>1748</c:v>
                </c:pt>
                <c:pt idx="1">
                  <c:v>1635.5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4-40CC-949B-B0A0CF34D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670317247"/>
        <c:axId val="1445542239"/>
      </c:barChart>
      <c:lineChart>
        <c:grouping val="standard"/>
        <c:varyColors val="0"/>
        <c:ser>
          <c:idx val="1"/>
          <c:order val="1"/>
          <c:tx>
            <c:strRef>
              <c:f>Analysis!$B$1598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gradFill>
                <a:gsLst>
                  <a:gs pos="0">
                    <a:srgbClr val="00C994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Analysis!$C$1590:$D$1590</c:f>
              <c:strCache>
                <c:ptCount val="2"/>
                <c:pt idx="0">
                  <c:v>Base</c:v>
                </c:pt>
                <c:pt idx="1">
                  <c:v>YE 24 150 bps higher</c:v>
                </c:pt>
              </c:strCache>
            </c:strRef>
          </c:cat>
          <c:val>
            <c:numRef>
              <c:f>Analysis!$C$1598:$D$1598</c:f>
              <c:numCache>
                <c:formatCode>0.0%</c:formatCode>
                <c:ptCount val="2"/>
                <c:pt idx="0">
                  <c:v>0.13397011237652665</c:v>
                </c:pt>
                <c:pt idx="1">
                  <c:v>0.12534789404565752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4-40CC-949B-B0A0CF34D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317711"/>
        <c:axId val="1153109823"/>
      </c:lineChart>
      <c:catAx>
        <c:axId val="16703172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445542239"/>
        <c:crosses val="autoZero"/>
        <c:auto val="1"/>
        <c:lblAlgn val="ctr"/>
        <c:lblOffset val="100"/>
        <c:noMultiLvlLbl val="0"/>
      </c:catAx>
      <c:valAx>
        <c:axId val="1445542239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670317247"/>
        <c:crosses val="autoZero"/>
        <c:crossBetween val="between"/>
      </c:valAx>
      <c:valAx>
        <c:axId val="115310982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670317711"/>
        <c:crosses val="max"/>
        <c:crossBetween val="between"/>
      </c:valAx>
      <c:catAx>
        <c:axId val="16703177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3109823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Analysis!$B$1694</c:f>
              <c:strCache>
                <c:ptCount val="1"/>
                <c:pt idx="0">
                  <c:v>PAGS</c:v>
                </c:pt>
              </c:strCache>
            </c:strRef>
          </c:tx>
          <c:spPr>
            <a:ln w="25400" cap="rnd">
              <a:solidFill>
                <a:srgbClr val="26323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Analysis!$E$1689:$AC$1689</c:f>
              <c:numCache>
                <c:formatCode>mmm\-yy</c:formatCode>
                <c:ptCount val="25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44679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44833</c:v>
                </c:pt>
                <c:pt idx="9">
                  <c:v>44865</c:v>
                </c:pt>
                <c:pt idx="10">
                  <c:v>44895</c:v>
                </c:pt>
                <c:pt idx="11">
                  <c:v>44924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45044</c:v>
                </c:pt>
                <c:pt idx="16">
                  <c:v>45077</c:v>
                </c:pt>
                <c:pt idx="17">
                  <c:v>45107</c:v>
                </c:pt>
                <c:pt idx="18">
                  <c:v>45138</c:v>
                </c:pt>
                <c:pt idx="19">
                  <c:v>45169</c:v>
                </c:pt>
                <c:pt idx="20">
                  <c:v>45198</c:v>
                </c:pt>
                <c:pt idx="21">
                  <c:v>45230</c:v>
                </c:pt>
                <c:pt idx="22">
                  <c:v>45260</c:v>
                </c:pt>
                <c:pt idx="23">
                  <c:v>45289</c:v>
                </c:pt>
                <c:pt idx="24">
                  <c:v>45320</c:v>
                </c:pt>
              </c:numCache>
            </c:numRef>
          </c:cat>
          <c:val>
            <c:numRef>
              <c:f>Analysis!$G$1694:$AC$1694</c:f>
              <c:numCache>
                <c:formatCode>0.0</c:formatCode>
                <c:ptCount val="23"/>
                <c:pt idx="0">
                  <c:v>11.75582153665788</c:v>
                </c:pt>
                <c:pt idx="1">
                  <c:v>9.5353886517948663</c:v>
                </c:pt>
                <c:pt idx="2">
                  <c:v>9.5592719821883403</c:v>
                </c:pt>
                <c:pt idx="3">
                  <c:v>6.9636046802139369</c:v>
                </c:pt>
                <c:pt idx="4">
                  <c:v>7.2662990113863417</c:v>
                </c:pt>
                <c:pt idx="5">
                  <c:v>10.479263142712455</c:v>
                </c:pt>
                <c:pt idx="6">
                  <c:v>9.2194128254945511</c:v>
                </c:pt>
                <c:pt idx="7">
                  <c:v>9.1759853034088188</c:v>
                </c:pt>
                <c:pt idx="8">
                  <c:v>7.3122651688850713</c:v>
                </c:pt>
                <c:pt idx="9">
                  <c:v>6.6321870673594052</c:v>
                </c:pt>
                <c:pt idx="10">
                  <c:v>7.845469431609823</c:v>
                </c:pt>
                <c:pt idx="11">
                  <c:v>6.909703846529772</c:v>
                </c:pt>
                <c:pt idx="12">
                  <c:v>6.57690538555243</c:v>
                </c:pt>
                <c:pt idx="13">
                  <c:v>7.2096151910618484</c:v>
                </c:pt>
                <c:pt idx="14">
                  <c:v>7.1389359637502112</c:v>
                </c:pt>
                <c:pt idx="15">
                  <c:v>6.6111895620724397</c:v>
                </c:pt>
                <c:pt idx="16">
                  <c:v>7.8175292067385538</c:v>
                </c:pt>
                <c:pt idx="17">
                  <c:v>6.6364956377416133</c:v>
                </c:pt>
                <c:pt idx="18">
                  <c:v>6.357730831259456</c:v>
                </c:pt>
                <c:pt idx="19">
                  <c:v>5.2660543184615856</c:v>
                </c:pt>
                <c:pt idx="20">
                  <c:v>7.2828180137828822</c:v>
                </c:pt>
                <c:pt idx="21">
                  <c:v>8.5880266379643739</c:v>
                </c:pt>
                <c:pt idx="22">
                  <c:v>8.8713500304730122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D3-4AF9-8E2E-B265C0D0AC44}"/>
            </c:ext>
          </c:extLst>
        </c:ser>
        <c:ser>
          <c:idx val="1"/>
          <c:order val="1"/>
          <c:tx>
            <c:strRef>
              <c:f>Analysis!$B$1695</c:f>
              <c:strCache>
                <c:ptCount val="1"/>
                <c:pt idx="0">
                  <c:v>StoneCo</c:v>
                </c:pt>
              </c:strCache>
            </c:strRef>
          </c:tx>
          <c:spPr>
            <a:ln w="25400" cap="rnd">
              <a:solidFill>
                <a:srgbClr val="79909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Analysis!$E$1689:$AC$1689</c:f>
              <c:numCache>
                <c:formatCode>mmm\-yy</c:formatCode>
                <c:ptCount val="25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44679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44833</c:v>
                </c:pt>
                <c:pt idx="9">
                  <c:v>44865</c:v>
                </c:pt>
                <c:pt idx="10">
                  <c:v>44895</c:v>
                </c:pt>
                <c:pt idx="11">
                  <c:v>44924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45044</c:v>
                </c:pt>
                <c:pt idx="16">
                  <c:v>45077</c:v>
                </c:pt>
                <c:pt idx="17">
                  <c:v>45107</c:v>
                </c:pt>
                <c:pt idx="18">
                  <c:v>45138</c:v>
                </c:pt>
                <c:pt idx="19">
                  <c:v>45169</c:v>
                </c:pt>
                <c:pt idx="20">
                  <c:v>45198</c:v>
                </c:pt>
                <c:pt idx="21">
                  <c:v>45230</c:v>
                </c:pt>
                <c:pt idx="22">
                  <c:v>45260</c:v>
                </c:pt>
                <c:pt idx="23">
                  <c:v>45289</c:v>
                </c:pt>
                <c:pt idx="24">
                  <c:v>45320</c:v>
                </c:pt>
              </c:numCache>
            </c:numRef>
          </c:cat>
          <c:val>
            <c:numRef>
              <c:f>Analysis!$G$1695:$AC$1695</c:f>
              <c:numCache>
                <c:formatCode>0.0</c:formatCode>
                <c:ptCount val="23"/>
                <c:pt idx="0">
                  <c:v>13.600561642832002</c:v>
                </c:pt>
                <c:pt idx="1">
                  <c:v>11.422404012439666</c:v>
                </c:pt>
                <c:pt idx="2">
                  <c:v>11.724172290512042</c:v>
                </c:pt>
                <c:pt idx="3">
                  <c:v>10.30051141737616</c:v>
                </c:pt>
                <c:pt idx="4">
                  <c:v>12.846445195953123</c:v>
                </c:pt>
                <c:pt idx="5">
                  <c:v>13.195924411709205</c:v>
                </c:pt>
                <c:pt idx="6">
                  <c:v>13.701634129756769</c:v>
                </c:pt>
                <c:pt idx="7">
                  <c:v>14.172392323288305</c:v>
                </c:pt>
                <c:pt idx="8">
                  <c:v>14.878377489434579</c:v>
                </c:pt>
                <c:pt idx="9">
                  <c:v>12.014254031008218</c:v>
                </c:pt>
                <c:pt idx="10">
                  <c:v>13.95617586546846</c:v>
                </c:pt>
                <c:pt idx="11">
                  <c:v>10.594381249396353</c:v>
                </c:pt>
                <c:pt idx="12">
                  <c:v>10.974567525691358</c:v>
                </c:pt>
                <c:pt idx="13">
                  <c:v>13.926469621712634</c:v>
                </c:pt>
                <c:pt idx="14">
                  <c:v>13.619846381425464</c:v>
                </c:pt>
                <c:pt idx="15">
                  <c:v>12.319665282171062</c:v>
                </c:pt>
                <c:pt idx="16">
                  <c:v>13.53468087645121</c:v>
                </c:pt>
                <c:pt idx="17">
                  <c:v>11.041088814813333</c:v>
                </c:pt>
                <c:pt idx="18">
                  <c:v>9.3162161177364755</c:v>
                </c:pt>
                <c:pt idx="19">
                  <c:v>8.6117782143368657</c:v>
                </c:pt>
                <c:pt idx="20">
                  <c:v>11.108100504159028</c:v>
                </c:pt>
                <c:pt idx="21">
                  <c:v>12.271643090467816</c:v>
                </c:pt>
                <c:pt idx="22">
                  <c:v>11.316087245571484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D3-4AF9-8E2E-B265C0D0AC44}"/>
            </c:ext>
          </c:extLst>
        </c:ser>
        <c:ser>
          <c:idx val="2"/>
          <c:order val="2"/>
          <c:tx>
            <c:strRef>
              <c:f>Analysis!$B$1696</c:f>
              <c:strCache>
                <c:ptCount val="1"/>
                <c:pt idx="0">
                  <c:v>PAGS 2-year average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Analysis!$E$1689:$AC$1689</c:f>
              <c:numCache>
                <c:formatCode>mmm\-yy</c:formatCode>
                <c:ptCount val="25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44679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44833</c:v>
                </c:pt>
                <c:pt idx="9">
                  <c:v>44865</c:v>
                </c:pt>
                <c:pt idx="10">
                  <c:v>44895</c:v>
                </c:pt>
                <c:pt idx="11">
                  <c:v>44924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45044</c:v>
                </c:pt>
                <c:pt idx="16">
                  <c:v>45077</c:v>
                </c:pt>
                <c:pt idx="17">
                  <c:v>45107</c:v>
                </c:pt>
                <c:pt idx="18">
                  <c:v>45138</c:v>
                </c:pt>
                <c:pt idx="19">
                  <c:v>45169</c:v>
                </c:pt>
                <c:pt idx="20">
                  <c:v>45198</c:v>
                </c:pt>
                <c:pt idx="21">
                  <c:v>45230</c:v>
                </c:pt>
                <c:pt idx="22">
                  <c:v>45260</c:v>
                </c:pt>
                <c:pt idx="23">
                  <c:v>45289</c:v>
                </c:pt>
                <c:pt idx="24">
                  <c:v>45320</c:v>
                </c:pt>
              </c:numCache>
            </c:numRef>
          </c:cat>
          <c:val>
            <c:numRef>
              <c:f>Analysis!$G$1696:$AC$1696</c:f>
              <c:numCache>
                <c:formatCode>0.0</c:formatCode>
                <c:ptCount val="23"/>
                <c:pt idx="0">
                  <c:v>8.1300792760000018</c:v>
                </c:pt>
                <c:pt idx="1">
                  <c:v>8.1300792760000018</c:v>
                </c:pt>
                <c:pt idx="2">
                  <c:v>8.1300792760000018</c:v>
                </c:pt>
                <c:pt idx="3">
                  <c:v>8.1300792760000018</c:v>
                </c:pt>
                <c:pt idx="4">
                  <c:v>8.1300792760000018</c:v>
                </c:pt>
                <c:pt idx="5">
                  <c:v>8.1300792760000018</c:v>
                </c:pt>
                <c:pt idx="6">
                  <c:v>8.1300792760000018</c:v>
                </c:pt>
                <c:pt idx="7">
                  <c:v>8.1300792760000018</c:v>
                </c:pt>
                <c:pt idx="8">
                  <c:v>8.1300792760000018</c:v>
                </c:pt>
                <c:pt idx="9">
                  <c:v>8.1300792760000018</c:v>
                </c:pt>
                <c:pt idx="10">
                  <c:v>8.1300792760000018</c:v>
                </c:pt>
                <c:pt idx="11">
                  <c:v>8.1300792760000018</c:v>
                </c:pt>
                <c:pt idx="12">
                  <c:v>8.1300792760000018</c:v>
                </c:pt>
                <c:pt idx="13">
                  <c:v>8.1300792760000018</c:v>
                </c:pt>
                <c:pt idx="14">
                  <c:v>8.1300792760000018</c:v>
                </c:pt>
                <c:pt idx="15">
                  <c:v>8.1300792760000018</c:v>
                </c:pt>
                <c:pt idx="16">
                  <c:v>8.1300792760000018</c:v>
                </c:pt>
                <c:pt idx="17">
                  <c:v>8.1300792760000018</c:v>
                </c:pt>
                <c:pt idx="18">
                  <c:v>8.1300792760000018</c:v>
                </c:pt>
                <c:pt idx="19">
                  <c:v>8.1300792760000018</c:v>
                </c:pt>
                <c:pt idx="20">
                  <c:v>8.1300792760000018</c:v>
                </c:pt>
                <c:pt idx="21">
                  <c:v>8.1300792760000018</c:v>
                </c:pt>
                <c:pt idx="22">
                  <c:v>8.1300792760000018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D3-4AF9-8E2E-B265C0D0AC44}"/>
            </c:ext>
          </c:extLst>
        </c:ser>
        <c:ser>
          <c:idx val="3"/>
          <c:order val="3"/>
          <c:tx>
            <c:strRef>
              <c:f>Analysis!$B$1697</c:f>
              <c:strCache>
                <c:ptCount val="1"/>
                <c:pt idx="0">
                  <c:v>StoneCo 2-year average</c:v>
                </c:pt>
              </c:strCache>
            </c:strRef>
          </c:tx>
          <c:spPr>
            <a:ln w="28575" cap="rnd">
              <a:solidFill>
                <a:srgbClr val="79909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Analysis!$E$1689:$AC$1689</c:f>
              <c:numCache>
                <c:formatCode>mmm\-yy</c:formatCode>
                <c:ptCount val="25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44679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44833</c:v>
                </c:pt>
                <c:pt idx="9">
                  <c:v>44865</c:v>
                </c:pt>
                <c:pt idx="10">
                  <c:v>44895</c:v>
                </c:pt>
                <c:pt idx="11">
                  <c:v>44924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45044</c:v>
                </c:pt>
                <c:pt idx="16">
                  <c:v>45077</c:v>
                </c:pt>
                <c:pt idx="17">
                  <c:v>45107</c:v>
                </c:pt>
                <c:pt idx="18">
                  <c:v>45138</c:v>
                </c:pt>
                <c:pt idx="19">
                  <c:v>45169</c:v>
                </c:pt>
                <c:pt idx="20">
                  <c:v>45198</c:v>
                </c:pt>
                <c:pt idx="21">
                  <c:v>45230</c:v>
                </c:pt>
                <c:pt idx="22">
                  <c:v>45260</c:v>
                </c:pt>
                <c:pt idx="23">
                  <c:v>45289</c:v>
                </c:pt>
                <c:pt idx="24">
                  <c:v>45320</c:v>
                </c:pt>
              </c:numCache>
            </c:numRef>
          </c:cat>
          <c:val>
            <c:numRef>
              <c:f>Analysis!$G$1697:$AC$1697</c:f>
              <c:numCache>
                <c:formatCode>0.0</c:formatCode>
                <c:ptCount val="23"/>
                <c:pt idx="0">
                  <c:v>12.0664906</c:v>
                </c:pt>
                <c:pt idx="1">
                  <c:v>12.0664906</c:v>
                </c:pt>
                <c:pt idx="2">
                  <c:v>12.0664906</c:v>
                </c:pt>
                <c:pt idx="3">
                  <c:v>12.0664906</c:v>
                </c:pt>
                <c:pt idx="4">
                  <c:v>12.0664906</c:v>
                </c:pt>
                <c:pt idx="5">
                  <c:v>12.0664906</c:v>
                </c:pt>
                <c:pt idx="6">
                  <c:v>12.0664906</c:v>
                </c:pt>
                <c:pt idx="7">
                  <c:v>12.0664906</c:v>
                </c:pt>
                <c:pt idx="8">
                  <c:v>12.0664906</c:v>
                </c:pt>
                <c:pt idx="9">
                  <c:v>12.0664906</c:v>
                </c:pt>
                <c:pt idx="10">
                  <c:v>12.0664906</c:v>
                </c:pt>
                <c:pt idx="11">
                  <c:v>12.0664906</c:v>
                </c:pt>
                <c:pt idx="12">
                  <c:v>12.0664906</c:v>
                </c:pt>
                <c:pt idx="13">
                  <c:v>12.0664906</c:v>
                </c:pt>
                <c:pt idx="14">
                  <c:v>12.0664906</c:v>
                </c:pt>
                <c:pt idx="15">
                  <c:v>12.0664906</c:v>
                </c:pt>
                <c:pt idx="16">
                  <c:v>12.0664906</c:v>
                </c:pt>
                <c:pt idx="17">
                  <c:v>12.0664906</c:v>
                </c:pt>
                <c:pt idx="18">
                  <c:v>12.0664906</c:v>
                </c:pt>
                <c:pt idx="19">
                  <c:v>12.0664906</c:v>
                </c:pt>
                <c:pt idx="20">
                  <c:v>12.0664906</c:v>
                </c:pt>
                <c:pt idx="21">
                  <c:v>12.0664906</c:v>
                </c:pt>
                <c:pt idx="22">
                  <c:v>12.0664906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D3-4AF9-8E2E-B265C0D0A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46512"/>
        <c:axId val="2084475168"/>
      </c:lineChart>
      <c:dateAx>
        <c:axId val="3515465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2084475168"/>
        <c:crosses val="autoZero"/>
        <c:auto val="1"/>
        <c:lblOffset val="100"/>
        <c:baseTimeUnit val="months"/>
      </c:dateAx>
      <c:valAx>
        <c:axId val="208447516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3515465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521266073194856E-2"/>
          <c:y val="4.7814212793577386E-2"/>
          <c:w val="0.95647873392680516"/>
          <c:h val="0.81183513458634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Quarts!$B$45</c:f>
              <c:strCache>
                <c:ptCount val="1"/>
                <c:pt idx="0">
                  <c:v>Take-rate (pre-funding, ex-Pagbank)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Quarts!$W$4:$AD$4</c:f>
              <c:strCache>
                <c:ptCount val="8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</c:strCache>
            </c:strRef>
          </c:cat>
          <c:val>
            <c:numRef>
              <c:f>Quarts!$W$45:$AD$45</c:f>
              <c:numCache>
                <c:formatCode>0.00%</c:formatCode>
                <c:ptCount val="8"/>
                <c:pt idx="0">
                  <c:v>2.1840626879599766E-2</c:v>
                </c:pt>
                <c:pt idx="1">
                  <c:v>2.3632584400326059E-2</c:v>
                </c:pt>
                <c:pt idx="2">
                  <c:v>2.4830944833428983E-2</c:v>
                </c:pt>
                <c:pt idx="3">
                  <c:v>2.2048850457398881E-2</c:v>
                </c:pt>
                <c:pt idx="4">
                  <c:v>2.2311498539914345E-2</c:v>
                </c:pt>
                <c:pt idx="5">
                  <c:v>2.2694400389819149E-2</c:v>
                </c:pt>
                <c:pt idx="6">
                  <c:v>2.1951590340292228E-2</c:v>
                </c:pt>
                <c:pt idx="7">
                  <c:v>2.0845715961278804E-2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F-48E4-84F4-50AB4F8FB79F}"/>
            </c:ext>
          </c:extLst>
        </c:ser>
        <c:ser>
          <c:idx val="1"/>
          <c:order val="1"/>
          <c:tx>
            <c:strRef>
              <c:f>Quarts!$B$48</c:f>
              <c:strCache>
                <c:ptCount val="1"/>
                <c:pt idx="0">
                  <c:v>Take-rate (post-funding, ex-Pagbank)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Quarts!$W$4:$AD$4</c:f>
              <c:strCache>
                <c:ptCount val="8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</c:strCache>
            </c:strRef>
          </c:cat>
          <c:val>
            <c:numRef>
              <c:f>Quarts!$W$48:$AD$48</c:f>
              <c:numCache>
                <c:formatCode>0.00%</c:formatCode>
                <c:ptCount val="8"/>
                <c:pt idx="0">
                  <c:v>1.408781789083572E-2</c:v>
                </c:pt>
                <c:pt idx="1">
                  <c:v>1.5157248077456107E-2</c:v>
                </c:pt>
                <c:pt idx="2">
                  <c:v>1.4631609285256225E-2</c:v>
                </c:pt>
                <c:pt idx="3">
                  <c:v>1.2985125128644566E-2</c:v>
                </c:pt>
                <c:pt idx="4">
                  <c:v>1.3083348710175411E-2</c:v>
                </c:pt>
                <c:pt idx="5">
                  <c:v>1.410756112336823E-2</c:v>
                </c:pt>
                <c:pt idx="6">
                  <c:v>1.3738120249343072E-2</c:v>
                </c:pt>
                <c:pt idx="7">
                  <c:v>1.3468522978822664E-2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8F-48E4-84F4-50AB4F8FB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786919887"/>
        <c:axId val="1786923215"/>
      </c:barChart>
      <c:catAx>
        <c:axId val="1786919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786923215"/>
        <c:crosses val="autoZero"/>
        <c:auto val="1"/>
        <c:lblAlgn val="ctr"/>
        <c:lblOffset val="100"/>
        <c:noMultiLvlLbl val="0"/>
      </c:catAx>
      <c:valAx>
        <c:axId val="1786923215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78691988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Analysis!$B$1692</c:f>
              <c:strCache>
                <c:ptCount val="1"/>
                <c:pt idx="0">
                  <c:v>discount</c:v>
                </c:pt>
              </c:strCache>
            </c:strRef>
          </c:tx>
          <c:spPr>
            <a:ln w="25400" cap="rnd">
              <a:solidFill>
                <a:srgbClr val="79909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Analysis!$G$1689:$AE$1689</c:f>
              <c:numCache>
                <c:formatCode>mmm\-yy</c:formatCode>
                <c:ptCount val="25"/>
                <c:pt idx="0">
                  <c:v>44651</c:v>
                </c:pt>
                <c:pt idx="1">
                  <c:v>44679</c:v>
                </c:pt>
                <c:pt idx="2">
                  <c:v>44712</c:v>
                </c:pt>
                <c:pt idx="3">
                  <c:v>44742</c:v>
                </c:pt>
                <c:pt idx="4">
                  <c:v>44773</c:v>
                </c:pt>
                <c:pt idx="5">
                  <c:v>44804</c:v>
                </c:pt>
                <c:pt idx="6">
                  <c:v>44833</c:v>
                </c:pt>
                <c:pt idx="7">
                  <c:v>44865</c:v>
                </c:pt>
                <c:pt idx="8">
                  <c:v>44895</c:v>
                </c:pt>
                <c:pt idx="9">
                  <c:v>44924</c:v>
                </c:pt>
                <c:pt idx="10">
                  <c:v>44957</c:v>
                </c:pt>
                <c:pt idx="11">
                  <c:v>44985</c:v>
                </c:pt>
                <c:pt idx="12">
                  <c:v>45016</c:v>
                </c:pt>
                <c:pt idx="13">
                  <c:v>45044</c:v>
                </c:pt>
                <c:pt idx="14">
                  <c:v>45077</c:v>
                </c:pt>
                <c:pt idx="15">
                  <c:v>45107</c:v>
                </c:pt>
                <c:pt idx="16">
                  <c:v>45138</c:v>
                </c:pt>
                <c:pt idx="17">
                  <c:v>45169</c:v>
                </c:pt>
                <c:pt idx="18">
                  <c:v>45198</c:v>
                </c:pt>
                <c:pt idx="19">
                  <c:v>45230</c:v>
                </c:pt>
                <c:pt idx="20">
                  <c:v>45260</c:v>
                </c:pt>
                <c:pt idx="21">
                  <c:v>45289</c:v>
                </c:pt>
                <c:pt idx="22">
                  <c:v>45320</c:v>
                </c:pt>
                <c:pt idx="23">
                  <c:v>45351</c:v>
                </c:pt>
                <c:pt idx="24">
                  <c:v>45380</c:v>
                </c:pt>
              </c:numCache>
            </c:numRef>
          </c:cat>
          <c:val>
            <c:numRef>
              <c:f>Analysis!$G$1692:$AE$1692</c:f>
              <c:numCache>
                <c:formatCode>0%</c:formatCode>
                <c:ptCount val="25"/>
                <c:pt idx="0">
                  <c:v>-0.11422483097564862</c:v>
                </c:pt>
                <c:pt idx="1">
                  <c:v>-0.14452318839030509</c:v>
                </c:pt>
                <c:pt idx="2">
                  <c:v>-0.16445472676669226</c:v>
                </c:pt>
                <c:pt idx="3">
                  <c:v>-0.30720829218123991</c:v>
                </c:pt>
                <c:pt idx="4">
                  <c:v>-0.42036092194421593</c:v>
                </c:pt>
                <c:pt idx="5">
                  <c:v>-0.18619887289910508</c:v>
                </c:pt>
                <c:pt idx="6">
                  <c:v>-0.3104619190074952</c:v>
                </c:pt>
                <c:pt idx="7">
                  <c:v>-0.33650614731089834</c:v>
                </c:pt>
                <c:pt idx="8">
                  <c:v>-0.49635593679233514</c:v>
                </c:pt>
                <c:pt idx="9">
                  <c:v>-0.43429851715809697</c:v>
                </c:pt>
                <c:pt idx="10">
                  <c:v>-0.42392389528243746</c:v>
                </c:pt>
                <c:pt idx="11">
                  <c:v>-0.33163885171884611</c:v>
                </c:pt>
                <c:pt idx="12">
                  <c:v>-0.38586826579932487</c:v>
                </c:pt>
                <c:pt idx="13">
                  <c:v>-0.46948409440561856</c:v>
                </c:pt>
                <c:pt idx="14">
                  <c:v>-0.46285858688807946</c:v>
                </c:pt>
                <c:pt idx="15">
                  <c:v>-0.45006917765313625</c:v>
                </c:pt>
                <c:pt idx="16">
                  <c:v>-0.40809930170401665</c:v>
                </c:pt>
                <c:pt idx="17">
                  <c:v>-0.38403750408581228</c:v>
                </c:pt>
                <c:pt idx="18">
                  <c:v>-0.30065746637012403</c:v>
                </c:pt>
                <c:pt idx="19">
                  <c:v>-0.3733574827856706</c:v>
                </c:pt>
                <c:pt idx="20">
                  <c:v>-0.32812726511809365</c:v>
                </c:pt>
                <c:pt idx="21">
                  <c:v>-0.28283674892110566</c:v>
                </c:pt>
                <c:pt idx="22">
                  <c:v>-0.19662042096243937</c:v>
                </c:pt>
                <c:pt idx="23">
                  <c:v>-0.1579586611431979</c:v>
                </c:pt>
                <c:pt idx="24">
                  <c:v>-0.17239292572171039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C-4E83-84B7-4981E3D30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46512"/>
        <c:axId val="2084475168"/>
      </c:lineChart>
      <c:dateAx>
        <c:axId val="3515465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high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2084475168"/>
        <c:crosses val="autoZero"/>
        <c:auto val="1"/>
        <c:lblOffset val="100"/>
        <c:baseTimeUnit val="months"/>
      </c:dateAx>
      <c:valAx>
        <c:axId val="20844751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3515465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Analysis!$B$1724</c:f>
              <c:strCache>
                <c:ptCount val="1"/>
                <c:pt idx="0">
                  <c:v>PAGS float income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Analysis!$C$1723:$O$1723</c:f>
              <c:strCache>
                <c:ptCount val="13"/>
                <c:pt idx="0">
                  <c:v>1Q 23</c:v>
                </c:pt>
                <c:pt idx="1">
                  <c:v>2Q 23</c:v>
                </c:pt>
                <c:pt idx="2">
                  <c:v>3Q 23</c:v>
                </c:pt>
                <c:pt idx="3">
                  <c:v>4Q 23</c:v>
                </c:pt>
                <c:pt idx="4">
                  <c:v>#REF!</c:v>
                </c:pt>
                <c:pt idx="5">
                  <c:v>1Q 24E</c:v>
                </c:pt>
                <c:pt idx="6">
                  <c:v>2Q 24E</c:v>
                </c:pt>
                <c:pt idx="7">
                  <c:v>3Q 24E</c:v>
                </c:pt>
                <c:pt idx="8">
                  <c:v>4Q 24E</c:v>
                </c:pt>
                <c:pt idx="9">
                  <c:v>1Q 25E</c:v>
                </c:pt>
                <c:pt idx="10">
                  <c:v>2Q 25E</c:v>
                </c:pt>
                <c:pt idx="11">
                  <c:v>3Q 25E</c:v>
                </c:pt>
                <c:pt idx="12">
                  <c:v>4Q 25E</c:v>
                </c:pt>
              </c:strCache>
            </c:strRef>
          </c:cat>
          <c:val>
            <c:numRef>
              <c:f>Analysis!$C$1724:$O$1724</c:f>
              <c:numCache>
                <c:formatCode>0</c:formatCode>
                <c:ptCount val="13"/>
                <c:pt idx="0">
                  <c:v>77.034375000000011</c:v>
                </c:pt>
                <c:pt idx="1">
                  <c:v>74.983218750000006</c:v>
                </c:pt>
                <c:pt idx="2">
                  <c:v>84.116462500000011</c:v>
                </c:pt>
                <c:pt idx="3">
                  <c:v>92.041250000000005</c:v>
                </c:pt>
                <c:pt idx="4">
                  <c:v>0</c:v>
                </c:pt>
                <c:pt idx="5">
                  <c:v>76.54112909729416</c:v>
                </c:pt>
                <c:pt idx="6">
                  <c:v>60.36686798798803</c:v>
                </c:pt>
                <c:pt idx="7">
                  <c:v>61.100749176582902</c:v>
                </c:pt>
                <c:pt idx="8">
                  <c:v>82.473875124853635</c:v>
                </c:pt>
                <c:pt idx="9">
                  <c:v>65.450290246986455</c:v>
                </c:pt>
                <c:pt idx="10">
                  <c:v>58.55992069934419</c:v>
                </c:pt>
                <c:pt idx="11">
                  <c:v>61.806632528435557</c:v>
                </c:pt>
                <c:pt idx="12">
                  <c:v>68.249778829921325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E-4AB4-8714-54839455DFBA}"/>
            </c:ext>
          </c:extLst>
        </c:ser>
        <c:ser>
          <c:idx val="1"/>
          <c:order val="1"/>
          <c:tx>
            <c:strRef>
              <c:f>Analysis!$B$1725</c:f>
              <c:strCache>
                <c:ptCount val="1"/>
                <c:pt idx="0">
                  <c:v>PAGS interconnet/fees/other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Analysis!$C$1723:$O$1723</c:f>
              <c:strCache>
                <c:ptCount val="13"/>
                <c:pt idx="0">
                  <c:v>1Q 23</c:v>
                </c:pt>
                <c:pt idx="1">
                  <c:v>2Q 23</c:v>
                </c:pt>
                <c:pt idx="2">
                  <c:v>3Q 23</c:v>
                </c:pt>
                <c:pt idx="3">
                  <c:v>4Q 23</c:v>
                </c:pt>
                <c:pt idx="4">
                  <c:v>#REF!</c:v>
                </c:pt>
                <c:pt idx="5">
                  <c:v>1Q 24E</c:v>
                </c:pt>
                <c:pt idx="6">
                  <c:v>2Q 24E</c:v>
                </c:pt>
                <c:pt idx="7">
                  <c:v>3Q 24E</c:v>
                </c:pt>
                <c:pt idx="8">
                  <c:v>4Q 24E</c:v>
                </c:pt>
                <c:pt idx="9">
                  <c:v>1Q 25E</c:v>
                </c:pt>
                <c:pt idx="10">
                  <c:v>2Q 25E</c:v>
                </c:pt>
                <c:pt idx="11">
                  <c:v>3Q 25E</c:v>
                </c:pt>
                <c:pt idx="12">
                  <c:v>4Q 25E</c:v>
                </c:pt>
              </c:strCache>
            </c:strRef>
          </c:cat>
          <c:val>
            <c:numRef>
              <c:f>Analysis!$C$1725:$O$1725</c:f>
              <c:numCache>
                <c:formatCode>0</c:formatCode>
                <c:ptCount val="13"/>
                <c:pt idx="0">
                  <c:v>104.7941216301175</c:v>
                </c:pt>
                <c:pt idx="1">
                  <c:v>70.816781250000005</c:v>
                </c:pt>
                <c:pt idx="2">
                  <c:v>71.883537499999989</c:v>
                </c:pt>
                <c:pt idx="3">
                  <c:v>59.698750000000004</c:v>
                </c:pt>
                <c:pt idx="4">
                  <c:v>0</c:v>
                </c:pt>
                <c:pt idx="5">
                  <c:v>71</c:v>
                </c:pt>
                <c:pt idx="6">
                  <c:v>78</c:v>
                </c:pt>
                <c:pt idx="7">
                  <c:v>80</c:v>
                </c:pt>
                <c:pt idx="8">
                  <c:v>84.915634710311167</c:v>
                </c:pt>
                <c:pt idx="9">
                  <c:v>80</c:v>
                </c:pt>
                <c:pt idx="10">
                  <c:v>81</c:v>
                </c:pt>
                <c:pt idx="11">
                  <c:v>82</c:v>
                </c:pt>
                <c:pt idx="12">
                  <c:v>86.611416445826762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9E-4AB4-8714-54839455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930049216"/>
        <c:axId val="90215616"/>
      </c:barChart>
      <c:lineChart>
        <c:grouping val="standard"/>
        <c:varyColors val="0"/>
        <c:ser>
          <c:idx val="2"/>
          <c:order val="2"/>
          <c:tx>
            <c:strRef>
              <c:f>Analysis!$B$1726</c:f>
              <c:strCache>
                <c:ptCount val="1"/>
                <c:pt idx="0">
                  <c:v>StoneCo banking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Analysis!$C$1726:$O$1726</c:f>
              <c:numCache>
                <c:formatCode>0</c:formatCode>
                <c:ptCount val="13"/>
                <c:pt idx="0">
                  <c:v>112.45804724409449</c:v>
                </c:pt>
                <c:pt idx="1">
                  <c:v>116.53937007874015</c:v>
                </c:pt>
                <c:pt idx="2">
                  <c:v>144.71149606299213</c:v>
                </c:pt>
                <c:pt idx="4">
                  <c:v>151.09898834188942</c:v>
                </c:pt>
                <c:pt idx="5">
                  <c:v>152.23097112860893</c:v>
                </c:pt>
                <c:pt idx="6">
                  <c:v>146.98162729658793</c:v>
                </c:pt>
                <c:pt idx="7">
                  <c:v>144.88188976377953</c:v>
                </c:pt>
                <c:pt idx="8">
                  <c:v>148.10603467583528</c:v>
                </c:pt>
                <c:pt idx="9">
                  <c:v>155.38057742782152</c:v>
                </c:pt>
                <c:pt idx="10">
                  <c:v>165.87926509186352</c:v>
                </c:pt>
                <c:pt idx="11">
                  <c:v>173.22834645669292</c:v>
                </c:pt>
                <c:pt idx="12">
                  <c:v>200.1280801207194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E-4AB4-8714-54839455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49216"/>
        <c:axId val="90215616"/>
      </c:lineChart>
      <c:catAx>
        <c:axId val="93004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90215616"/>
        <c:crosses val="autoZero"/>
        <c:auto val="1"/>
        <c:lblAlgn val="ctr"/>
        <c:lblOffset val="100"/>
        <c:noMultiLvlLbl val="0"/>
      </c:catAx>
      <c:valAx>
        <c:axId val="9021561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9300492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Analysis!$C$1754:$G$1754</c:f>
              <c:numCache>
                <c:formatCode>General</c:formatCode>
                <c:ptCount val="5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</c:numCache>
            </c:numRef>
          </c:cat>
          <c:val>
            <c:numRef>
              <c:f>Analysis!$C$1756:$G$1756</c:f>
              <c:numCache>
                <c:formatCode>0.00%</c:formatCode>
                <c:ptCount val="5"/>
                <c:pt idx="0">
                  <c:v>2.1958462935416992E-2</c:v>
                </c:pt>
                <c:pt idx="1">
                  <c:v>2.0410788701396634E-2</c:v>
                </c:pt>
                <c:pt idx="2">
                  <c:v>1.8904893223575522E-2</c:v>
                </c:pt>
                <c:pt idx="3">
                  <c:v>1.7621732516118319E-2</c:v>
                </c:pt>
                <c:pt idx="4">
                  <c:v>1.6592364212133968E-2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0-448B-8C2C-C1A165D1C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469298079"/>
        <c:axId val="381863007"/>
      </c:barChart>
      <c:catAx>
        <c:axId val="4692980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381863007"/>
        <c:crosses val="autoZero"/>
        <c:auto val="1"/>
        <c:lblAlgn val="ctr"/>
        <c:lblOffset val="100"/>
        <c:noMultiLvlLbl val="0"/>
      </c:catAx>
      <c:valAx>
        <c:axId val="381863007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69298079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Acquirer!$B$3</c:f>
              <c:strCache>
                <c:ptCount val="1"/>
                <c:pt idx="0">
                  <c:v>Cielo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Acquirer!$G$2:$N$2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Acquirer!$G$27:$N$27</c:f>
              <c:numCache>
                <c:formatCode>0.0%</c:formatCode>
                <c:ptCount val="8"/>
                <c:pt idx="0">
                  <c:v>0.40435007099522391</c:v>
                </c:pt>
                <c:pt idx="1">
                  <c:v>0.36978884677855983</c:v>
                </c:pt>
                <c:pt idx="2">
                  <c:v>0.30901028883711307</c:v>
                </c:pt>
                <c:pt idx="3">
                  <c:v>0.26784372652141247</c:v>
                </c:pt>
                <c:pt idx="4">
                  <c:v>0.2566293459045374</c:v>
                </c:pt>
                <c:pt idx="5">
                  <c:v>0.2182061579651941</c:v>
                </c:pt>
                <c:pt idx="6">
                  <c:v>0.2157061579651941</c:v>
                </c:pt>
                <c:pt idx="7">
                  <c:v>0.2132061579651941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20-43B1-B869-EB28BFD4CFD6}"/>
            </c:ext>
          </c:extLst>
        </c:ser>
        <c:ser>
          <c:idx val="1"/>
          <c:order val="1"/>
          <c:tx>
            <c:strRef>
              <c:f>Acquirer!$B$4</c:f>
              <c:strCache>
                <c:ptCount val="1"/>
                <c:pt idx="0">
                  <c:v>Rede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Acquirer!$G$2:$N$2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Acquirer!$G$28:$N$28</c:f>
              <c:numCache>
                <c:formatCode>0.0%</c:formatCode>
                <c:ptCount val="8"/>
                <c:pt idx="0">
                  <c:v>0.28210920356266944</c:v>
                </c:pt>
                <c:pt idx="1">
                  <c:v>0.26410395235517053</c:v>
                </c:pt>
                <c:pt idx="2">
                  <c:v>0.24464062914374921</c:v>
                </c:pt>
                <c:pt idx="3">
                  <c:v>0.23328324567993988</c:v>
                </c:pt>
                <c:pt idx="4">
                  <c:v>0.2153800824985268</c:v>
                </c:pt>
                <c:pt idx="5">
                  <c:v>0.22945113788487281</c:v>
                </c:pt>
                <c:pt idx="6">
                  <c:v>0.22695113788487281</c:v>
                </c:pt>
                <c:pt idx="7">
                  <c:v>0.22445113788487281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20-43B1-B869-EB28BFD4CFD6}"/>
            </c:ext>
          </c:extLst>
        </c:ser>
        <c:ser>
          <c:idx val="2"/>
          <c:order val="2"/>
          <c:tx>
            <c:strRef>
              <c:f>Acquirer!$B$5</c:f>
              <c:strCache>
                <c:ptCount val="1"/>
                <c:pt idx="0">
                  <c:v>Getnet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Acquirer!$G$2:$N$2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Acquirer!$G$29:$N$29</c:f>
              <c:numCache>
                <c:formatCode>0.0%</c:formatCode>
                <c:ptCount val="8"/>
                <c:pt idx="0">
                  <c:v>0.12095004517877887</c:v>
                </c:pt>
                <c:pt idx="1">
                  <c:v>0.11234434217650244</c:v>
                </c:pt>
                <c:pt idx="2">
                  <c:v>0.1313386284709181</c:v>
                </c:pt>
                <c:pt idx="3">
                  <c:v>0.15401953418482345</c:v>
                </c:pt>
                <c:pt idx="4">
                  <c:v>0.14142604596346495</c:v>
                </c:pt>
                <c:pt idx="5">
                  <c:v>0.14939759036144579</c:v>
                </c:pt>
                <c:pt idx="6">
                  <c:v>0.14939759036144579</c:v>
                </c:pt>
                <c:pt idx="7">
                  <c:v>0.14939759036144579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20-43B1-B869-EB28BFD4CFD6}"/>
            </c:ext>
          </c:extLst>
        </c:ser>
        <c:ser>
          <c:idx val="3"/>
          <c:order val="3"/>
          <c:tx>
            <c:strRef>
              <c:f>Acquirer!$B$6</c:f>
              <c:strCache>
                <c:ptCount val="1"/>
                <c:pt idx="0">
                  <c:v>STNE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Acquirer!$G$2:$N$2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Acquirer!$G$30:$N$30</c:f>
              <c:numCache>
                <c:formatCode>0.0%</c:formatCode>
                <c:ptCount val="8"/>
                <c:pt idx="0">
                  <c:v>5.3827287982444814E-2</c:v>
                </c:pt>
                <c:pt idx="1">
                  <c:v>6.9897130481862482E-2</c:v>
                </c:pt>
                <c:pt idx="2">
                  <c:v>0.10067535350090835</c:v>
                </c:pt>
                <c:pt idx="3">
                  <c:v>0.10330578512396695</c:v>
                </c:pt>
                <c:pt idx="4">
                  <c:v>0.10430170889805539</c:v>
                </c:pt>
                <c:pt idx="5">
                  <c:v>0.10989066459945354</c:v>
                </c:pt>
                <c:pt idx="6">
                  <c:v>0.11227425978164605</c:v>
                </c:pt>
                <c:pt idx="7">
                  <c:v>0.11361992747558307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20-43B1-B869-EB28BFD4CFD6}"/>
            </c:ext>
          </c:extLst>
        </c:ser>
        <c:ser>
          <c:idx val="4"/>
          <c:order val="4"/>
          <c:tx>
            <c:strRef>
              <c:f>Acquirer!$B$7</c:f>
              <c:strCache>
                <c:ptCount val="1"/>
                <c:pt idx="0">
                  <c:v>PAGS</c:v>
                </c:pt>
              </c:strCache>
            </c:strRef>
          </c:tx>
          <c:spPr>
            <a:ln w="25400" cap="rnd">
              <a:solidFill>
                <a:srgbClr val="33339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Acquirer!$G$2:$N$2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Acquirer!$G$31:$N$31</c:f>
              <c:numCache>
                <c:formatCode>0.0%</c:formatCode>
                <c:ptCount val="8"/>
                <c:pt idx="0">
                  <c:v>4.8857622305408542E-2</c:v>
                </c:pt>
                <c:pt idx="1">
                  <c:v>6.2696264212236064E-2</c:v>
                </c:pt>
                <c:pt idx="2">
                  <c:v>7.7518981381472701E-2</c:v>
                </c:pt>
                <c:pt idx="3">
                  <c:v>9.5041322314049589E-2</c:v>
                </c:pt>
                <c:pt idx="4">
                  <c:v>0.10430170889805539</c:v>
                </c:pt>
                <c:pt idx="5">
                  <c:v>0.10564926372155288</c:v>
                </c:pt>
                <c:pt idx="6">
                  <c:v>0.1094440137567191</c:v>
                </c:pt>
                <c:pt idx="7">
                  <c:v>0.11145248017143063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20-43B1-B869-EB28BFD4CFD6}"/>
            </c:ext>
          </c:extLst>
        </c:ser>
        <c:ser>
          <c:idx val="5"/>
          <c:order val="5"/>
          <c:tx>
            <c:strRef>
              <c:f>Acquirer!$B$8</c:f>
              <c:strCache>
                <c:ptCount val="1"/>
                <c:pt idx="0">
                  <c:v>Other</c:v>
                </c:pt>
              </c:strCache>
            </c:strRef>
          </c:tx>
          <c:spPr>
            <a:ln w="25400" cap="rnd">
              <a:solidFill>
                <a:srgbClr val="99CCFF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Acquirer!$G$2:$N$2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Acquirer!$G$32:$N$32</c:f>
              <c:numCache>
                <c:formatCode>0.0%</c:formatCode>
                <c:ptCount val="8"/>
                <c:pt idx="0">
                  <c:v>8.9905769975474337E-2</c:v>
                </c:pt>
                <c:pt idx="1">
                  <c:v>0.12116946399566875</c:v>
                </c:pt>
                <c:pt idx="2">
                  <c:v>0.13681611866583859</c:v>
                </c:pt>
                <c:pt idx="3">
                  <c:v>0.14650638617580758</c:v>
                </c:pt>
                <c:pt idx="4">
                  <c:v>0.17796110783736019</c:v>
                </c:pt>
                <c:pt idx="5">
                  <c:v>0.18740518546748086</c:v>
                </c:pt>
                <c:pt idx="6">
                  <c:v>0.18622684025012215</c:v>
                </c:pt>
                <c:pt idx="7">
                  <c:v>0.18787270614147367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20-43B1-B869-EB28BFD4C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4959455"/>
        <c:axId val="1244959871"/>
      </c:lineChart>
      <c:catAx>
        <c:axId val="1244959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244959871"/>
        <c:crosses val="autoZero"/>
        <c:auto val="1"/>
        <c:lblAlgn val="ctr"/>
        <c:lblOffset val="100"/>
        <c:noMultiLvlLbl val="0"/>
      </c:catAx>
      <c:valAx>
        <c:axId val="124495987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C0C0C0"/>
              </a:solidFill>
              <a:prstDash val="solid"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/>
                <a:ea typeface="Trebuchet MS"/>
                <a:cs typeface="Trebuchet MS"/>
              </a:defRPr>
            </a:pPr>
            <a:endParaRPr lang="en-US"/>
          </a:p>
        </c:txPr>
        <c:crossAx val="1244959455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latin typeface="Trebuchet MS"/>
          <a:ea typeface="Trebuchet MS"/>
          <a:cs typeface="Trebuchet M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3"/>
          <c:order val="0"/>
          <c:tx>
            <c:strRef>
              <c:f>Acquirer!$B$30</c:f>
              <c:strCache>
                <c:ptCount val="1"/>
                <c:pt idx="0">
                  <c:v>STNE</c:v>
                </c:pt>
              </c:strCache>
            </c:strRef>
          </c:tx>
          <c:spPr>
            <a:ln w="25400" cap="rnd">
              <a:solidFill>
                <a:srgbClr val="C7FE02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Acquirer!$H$2:$S$2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Acquirer!$H$30:$S$30</c:f>
              <c:numCache>
                <c:formatCode>0.0%</c:formatCode>
                <c:ptCount val="12"/>
                <c:pt idx="0">
                  <c:v>6.9897130481862482E-2</c:v>
                </c:pt>
                <c:pt idx="1">
                  <c:v>0.10067535350090835</c:v>
                </c:pt>
                <c:pt idx="2">
                  <c:v>0.10330578512396695</c:v>
                </c:pt>
                <c:pt idx="3">
                  <c:v>0.10430170889805539</c:v>
                </c:pt>
                <c:pt idx="4">
                  <c:v>0.10989066459945354</c:v>
                </c:pt>
                <c:pt idx="5">
                  <c:v>0.11227425978164605</c:v>
                </c:pt>
                <c:pt idx="6">
                  <c:v>0.11361992747558307</c:v>
                </c:pt>
                <c:pt idx="7">
                  <c:v>0.11390509755311987</c:v>
                </c:pt>
                <c:pt idx="8">
                  <c:v>0.11470547309808916</c:v>
                </c:pt>
                <c:pt idx="9">
                  <c:v>0.11494233730482167</c:v>
                </c:pt>
                <c:pt idx="10">
                  <c:v>0.11551724574375609</c:v>
                </c:pt>
                <c:pt idx="11">
                  <c:v>0.11539699521163553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13-42BF-9F89-3249CF8701FD}"/>
            </c:ext>
          </c:extLst>
        </c:ser>
        <c:ser>
          <c:idx val="4"/>
          <c:order val="1"/>
          <c:tx>
            <c:strRef>
              <c:f>Acquirer!$B$31</c:f>
              <c:strCache>
                <c:ptCount val="1"/>
                <c:pt idx="0">
                  <c:v>PAGS</c:v>
                </c:pt>
              </c:strCache>
            </c:strRef>
          </c:tx>
          <c:spPr>
            <a:ln w="25400" cap="rnd">
              <a:solidFill>
                <a:srgbClr val="00C994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Acquirer!$H$2:$S$2</c:f>
              <c:numCache>
                <c:formatCode>General</c:formatCode>
                <c:ptCount val="1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</c:numCache>
            </c:numRef>
          </c:cat>
          <c:val>
            <c:numRef>
              <c:f>Acquirer!$H$31:$S$31</c:f>
              <c:numCache>
                <c:formatCode>0.0%</c:formatCode>
                <c:ptCount val="12"/>
                <c:pt idx="0">
                  <c:v>6.2696264212236064E-2</c:v>
                </c:pt>
                <c:pt idx="1">
                  <c:v>7.7518981381472701E-2</c:v>
                </c:pt>
                <c:pt idx="2">
                  <c:v>9.5041322314049589E-2</c:v>
                </c:pt>
                <c:pt idx="3">
                  <c:v>0.10430170889805539</c:v>
                </c:pt>
                <c:pt idx="4">
                  <c:v>0.10564926372155288</c:v>
                </c:pt>
                <c:pt idx="5">
                  <c:v>0.1094440137567191</c:v>
                </c:pt>
                <c:pt idx="6">
                  <c:v>0.11145248017143063</c:v>
                </c:pt>
                <c:pt idx="7">
                  <c:v>0.11170769071764794</c:v>
                </c:pt>
                <c:pt idx="8">
                  <c:v>0.11221848719114311</c:v>
                </c:pt>
                <c:pt idx="9">
                  <c:v>0.11372047999253923</c:v>
                </c:pt>
                <c:pt idx="10">
                  <c:v>0.11533140639528647</c:v>
                </c:pt>
                <c:pt idx="11">
                  <c:v>0.11500424707105904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13-42BF-9F89-3249CF870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62944"/>
        <c:axId val="413043808"/>
      </c:lineChart>
      <c:catAx>
        <c:axId val="41306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413043808"/>
        <c:crosses val="autoZero"/>
        <c:auto val="1"/>
        <c:lblAlgn val="ctr"/>
        <c:lblOffset val="100"/>
        <c:noMultiLvlLbl val="0"/>
      </c:catAx>
      <c:valAx>
        <c:axId val="4130438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4130629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Acquirer!$B$9</c:f>
              <c:strCache>
                <c:ptCount val="1"/>
                <c:pt idx="0">
                  <c:v>Market TPV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Acquirer!$H$2:$T$2</c:f>
              <c:strCache>
                <c:ptCount val="1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21-26 CAGR</c:v>
                </c:pt>
              </c:strCache>
            </c:strRef>
          </c:cat>
          <c:val>
            <c:numRef>
              <c:f>Acquirer!$H$10:$S$10</c:f>
              <c:numCache>
                <c:formatCode>0%</c:formatCode>
                <c:ptCount val="12"/>
                <c:pt idx="0">
                  <c:v>0.1920743513618175</c:v>
                </c:pt>
                <c:pt idx="1">
                  <c:v>0.12827619486290742</c:v>
                </c:pt>
                <c:pt idx="2">
                  <c:v>0.27739652535470927</c:v>
                </c:pt>
                <c:pt idx="3">
                  <c:v>0.27498121712997747</c:v>
                </c:pt>
                <c:pt idx="4">
                  <c:v>0.10047142015321153</c:v>
                </c:pt>
                <c:pt idx="5">
                  <c:v>0.12</c:v>
                </c:pt>
                <c:pt idx="6">
                  <c:v>0.12</c:v>
                </c:pt>
                <c:pt idx="7">
                  <c:v>0.12</c:v>
                </c:pt>
                <c:pt idx="8">
                  <c:v>0.1</c:v>
                </c:pt>
                <c:pt idx="9">
                  <c:v>0.09</c:v>
                </c:pt>
                <c:pt idx="10">
                  <c:v>0.08</c:v>
                </c:pt>
                <c:pt idx="11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E-4B97-BC7D-36E42DEFC7AF}"/>
            </c:ext>
          </c:extLst>
        </c:ser>
        <c:ser>
          <c:idx val="1"/>
          <c:order val="1"/>
          <c:tx>
            <c:strRef>
              <c:f>Acquirer!$B$12</c:f>
              <c:strCache>
                <c:ptCount val="1"/>
                <c:pt idx="0">
                  <c:v>Inflation</c:v>
                </c:pt>
              </c:strCache>
            </c:strRef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Acquirer!$H$2:$T$2</c:f>
              <c:strCache>
                <c:ptCount val="1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21-26 CAGR</c:v>
                </c:pt>
              </c:strCache>
            </c:strRef>
          </c:cat>
          <c:val>
            <c:numRef>
              <c:f>Acquirer!$H$12:$S$12</c:f>
              <c:numCache>
                <c:formatCode>0.0%</c:formatCode>
                <c:ptCount val="12"/>
                <c:pt idx="0">
                  <c:v>3.73E-2</c:v>
                </c:pt>
                <c:pt idx="1">
                  <c:v>3.2099999999999997E-2</c:v>
                </c:pt>
                <c:pt idx="2">
                  <c:v>8.3000000000000004E-2</c:v>
                </c:pt>
                <c:pt idx="3">
                  <c:v>9.2799999999999994E-2</c:v>
                </c:pt>
                <c:pt idx="4">
                  <c:v>4.6199999999999998E-2</c:v>
                </c:pt>
                <c:pt idx="5">
                  <c:v>3.8899999999999997E-2</c:v>
                </c:pt>
                <c:pt idx="6">
                  <c:v>3.5000000000000003E-2</c:v>
                </c:pt>
                <c:pt idx="7">
                  <c:v>3.5000000000000003E-2</c:v>
                </c:pt>
                <c:pt idx="8">
                  <c:v>3.5000000000000003E-2</c:v>
                </c:pt>
                <c:pt idx="9">
                  <c:v>3.5000000000000003E-2</c:v>
                </c:pt>
                <c:pt idx="10">
                  <c:v>3.5000000000000003E-2</c:v>
                </c:pt>
                <c:pt idx="11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E-4B97-BC7D-36E42DEFC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919791"/>
        <c:axId val="1142923151"/>
      </c:lineChart>
      <c:catAx>
        <c:axId val="1142919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1142923151"/>
        <c:crosses val="autoZero"/>
        <c:auto val="1"/>
        <c:lblAlgn val="ctr"/>
        <c:lblOffset val="100"/>
        <c:noMultiLvlLbl val="0"/>
      </c:catAx>
      <c:valAx>
        <c:axId val="1142923151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2919791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Quarts!$B$13</c:f>
              <c:strCache>
                <c:ptCount val="1"/>
                <c:pt idx="0">
                  <c:v>TOTAL REVENUE AND INCOME (ex-ITC)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Quarts!$AQ$4:$BF$4</c:f>
              <c:strCache>
                <c:ptCount val="16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1Q 22</c:v>
                </c:pt>
                <c:pt idx="9">
                  <c:v>2Q 22</c:v>
                </c:pt>
                <c:pt idx="10">
                  <c:v>3Q 22</c:v>
                </c:pt>
                <c:pt idx="11">
                  <c:v>4Q 22</c:v>
                </c:pt>
                <c:pt idx="12">
                  <c:v>1Q 23</c:v>
                </c:pt>
                <c:pt idx="13">
                  <c:v>2Q 23</c:v>
                </c:pt>
                <c:pt idx="14">
                  <c:v>3Q 23</c:v>
                </c:pt>
                <c:pt idx="15">
                  <c:v>4Q 23</c:v>
                </c:pt>
              </c:strCache>
            </c:strRef>
          </c:cat>
          <c:val>
            <c:numRef>
              <c:f>Quarts!$AR$13:$BF$13</c:f>
              <c:numCache>
                <c:formatCode>0%</c:formatCode>
                <c:ptCount val="15"/>
                <c:pt idx="0">
                  <c:v>-5.2326641653639983E-2</c:v>
                </c:pt>
                <c:pt idx="1">
                  <c:v>0.15377756524676256</c:v>
                </c:pt>
                <c:pt idx="2">
                  <c:v>0.27871332533696913</c:v>
                </c:pt>
                <c:pt idx="3">
                  <c:v>0.17916960164380269</c:v>
                </c:pt>
                <c:pt idx="4">
                  <c:v>0.64315369602694705</c:v>
                </c:pt>
                <c:pt idx="5">
                  <c:v>0.51276547862523292</c:v>
                </c:pt>
                <c:pt idx="6">
                  <c:v>0.44911110493153839</c:v>
                </c:pt>
                <c:pt idx="7">
                  <c:v>0.613661402864488</c:v>
                </c:pt>
                <c:pt idx="8">
                  <c:v>0.6513512812195914</c:v>
                </c:pt>
                <c:pt idx="9">
                  <c:v>0.48313602859057392</c:v>
                </c:pt>
                <c:pt idx="10">
                  <c:v>0.23894665241473145</c:v>
                </c:pt>
                <c:pt idx="11">
                  <c:v>9.7779473454711052E-2</c:v>
                </c:pt>
                <c:pt idx="12">
                  <c:v>-3.0082406545048235E-2</c:v>
                </c:pt>
                <c:pt idx="13">
                  <c:v>-3.0111445783132518E-2</c:v>
                </c:pt>
                <c:pt idx="14">
                  <c:v>6.568842970980393E-2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B-4C99-B70C-44495D191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0722808"/>
        <c:axId val="760724120"/>
      </c:barChart>
      <c:lineChart>
        <c:grouping val="standard"/>
        <c:varyColors val="0"/>
        <c:ser>
          <c:idx val="1"/>
          <c:order val="1"/>
          <c:tx>
            <c:v>y/y growth</c:v>
          </c:tx>
          <c:spPr>
            <a:ln w="25400" cap="rnd">
              <a:solidFill>
                <a:srgbClr val="799098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Quarts!$AR$13:$BF$13</c:f>
              <c:numCache>
                <c:formatCode>0%</c:formatCode>
                <c:ptCount val="15"/>
                <c:pt idx="0">
                  <c:v>-5.2326641653639983E-2</c:v>
                </c:pt>
                <c:pt idx="1">
                  <c:v>0.15377756524676256</c:v>
                </c:pt>
                <c:pt idx="2">
                  <c:v>0.27871332533696913</c:v>
                </c:pt>
                <c:pt idx="3">
                  <c:v>0.17916960164380269</c:v>
                </c:pt>
                <c:pt idx="4">
                  <c:v>0.64315369602694705</c:v>
                </c:pt>
                <c:pt idx="5">
                  <c:v>0.51276547862523292</c:v>
                </c:pt>
                <c:pt idx="6">
                  <c:v>0.44911110493153839</c:v>
                </c:pt>
                <c:pt idx="7">
                  <c:v>0.613661402864488</c:v>
                </c:pt>
                <c:pt idx="8">
                  <c:v>0.6513512812195914</c:v>
                </c:pt>
                <c:pt idx="9">
                  <c:v>0.48313602859057392</c:v>
                </c:pt>
                <c:pt idx="10">
                  <c:v>0.23894665241473145</c:v>
                </c:pt>
                <c:pt idx="11">
                  <c:v>9.7779473454711052E-2</c:v>
                </c:pt>
                <c:pt idx="12">
                  <c:v>-3.0082406545048235E-2</c:v>
                </c:pt>
                <c:pt idx="13">
                  <c:v>-3.0111445783132518E-2</c:v>
                </c:pt>
                <c:pt idx="14">
                  <c:v>6.568842970980393E-2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B-4C99-B70C-44495D191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354488"/>
        <c:axId val="946359080"/>
      </c:lineChart>
      <c:catAx>
        <c:axId val="760722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760724120"/>
        <c:crosses val="autoZero"/>
        <c:auto val="1"/>
        <c:lblAlgn val="ctr"/>
        <c:lblOffset val="100"/>
        <c:noMultiLvlLbl val="0"/>
      </c:catAx>
      <c:valAx>
        <c:axId val="76072412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760722808"/>
        <c:crosses val="autoZero"/>
        <c:crossBetween val="between"/>
      </c:valAx>
      <c:valAx>
        <c:axId val="94635908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r>
                  <a:rPr lang="en-US"/>
                  <a:t>y/y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595959"/>
                  </a:solidFill>
                  <a:latin typeface="Roboto" panose="02000000000000000000" pitchFamily="2" charset="0"/>
                  <a:ea typeface="Roboto" panose="02000000000000000000" pitchFamily="2" charset="0"/>
                  <a:cs typeface="Helvetica Neue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946354488"/>
        <c:crosses val="max"/>
        <c:crossBetween val="between"/>
      </c:valAx>
      <c:catAx>
        <c:axId val="946354488"/>
        <c:scaling>
          <c:orientation val="minMax"/>
        </c:scaling>
        <c:delete val="1"/>
        <c:axPos val="b"/>
        <c:majorTickMark val="out"/>
        <c:minorTickMark val="none"/>
        <c:tickLblPos val="nextTo"/>
        <c:crossAx val="94635908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011885813130108"/>
          <c:y val="0.89879367609206939"/>
          <c:w val="0.6393555701914958"/>
          <c:h val="5.676189057320570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Take rate</c:v>
          </c:tx>
          <c:spPr>
            <a:solidFill>
              <a:srgbClr val="263238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Quarts!$W$4:$AD$4</c:f>
              <c:strCache>
                <c:ptCount val="8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</c:strCache>
            </c:strRef>
          </c:cat>
          <c:val>
            <c:numRef>
              <c:f>Quarts!$W$39:$AD$39</c:f>
              <c:numCache>
                <c:formatCode>0.00%</c:formatCode>
                <c:ptCount val="8"/>
                <c:pt idx="0">
                  <c:v>2.599250936329588E-2</c:v>
                </c:pt>
                <c:pt idx="1">
                  <c:v>2.7486423766816141E-2</c:v>
                </c:pt>
                <c:pt idx="2">
                  <c:v>2.8992248062015506E-2</c:v>
                </c:pt>
                <c:pt idx="3">
                  <c:v>2.5885471898197242E-2</c:v>
                </c:pt>
                <c:pt idx="4">
                  <c:v>2.6064021429814614E-2</c:v>
                </c:pt>
                <c:pt idx="5">
                  <c:v>2.5315759613120117E-2</c:v>
                </c:pt>
                <c:pt idx="6">
                  <c:v>2.4555861344739523E-2</c:v>
                </c:pt>
                <c:pt idx="7">
                  <c:v>2.3064137013910385E-2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1-4635-8D9F-8650F3FA880D}"/>
            </c:ext>
          </c:extLst>
        </c:ser>
        <c:ser>
          <c:idx val="1"/>
          <c:order val="1"/>
          <c:tx>
            <c:strRef>
              <c:f>Quarts!$B$43</c:f>
              <c:strCache>
                <c:ptCount val="1"/>
                <c:pt idx="0">
                  <c:v>Ex-Pagbank </c:v>
                </c:pt>
              </c:strCache>
            </c:strRef>
          </c:tx>
          <c:spPr>
            <a:solidFill>
              <a:srgbClr val="799098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Quarts!$W$4:$AD$4</c:f>
              <c:strCache>
                <c:ptCount val="8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</c:strCache>
            </c:strRef>
          </c:cat>
          <c:val>
            <c:numRef>
              <c:f>Quarts!$W$43:$AD$43</c:f>
              <c:numCache>
                <c:formatCode>0.00%</c:formatCode>
                <c:ptCount val="8"/>
                <c:pt idx="0">
                  <c:v>2.1840626879599766E-2</c:v>
                </c:pt>
                <c:pt idx="1">
                  <c:v>2.3632584400326066E-2</c:v>
                </c:pt>
                <c:pt idx="2">
                  <c:v>2.4830944833428983E-2</c:v>
                </c:pt>
                <c:pt idx="3">
                  <c:v>2.2048850457398881E-2</c:v>
                </c:pt>
                <c:pt idx="4">
                  <c:v>2.2311498539914345E-2</c:v>
                </c:pt>
                <c:pt idx="5">
                  <c:v>2.2694400389819149E-2</c:v>
                </c:pt>
                <c:pt idx="6">
                  <c:v>2.1951590340292228E-2</c:v>
                </c:pt>
                <c:pt idx="7">
                  <c:v>2.0845715961278804E-2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D1-4635-8D9F-8650F3FA88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840103736"/>
        <c:axId val="840107672"/>
      </c:barChart>
      <c:catAx>
        <c:axId val="84010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840107672"/>
        <c:crosses val="autoZero"/>
        <c:auto val="1"/>
        <c:lblAlgn val="ctr"/>
        <c:lblOffset val="100"/>
        <c:noMultiLvlLbl val="0"/>
      </c:catAx>
      <c:valAx>
        <c:axId val="840107672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84010373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Quarts!#REF!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Quarts!$O$4:$Y$4</c:f>
              <c:strCache>
                <c:ptCount val="7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  <c:pt idx="6">
                  <c:v>3Q 22</c:v>
                </c:pt>
              </c:strCache>
            </c:strRef>
          </c:cat>
          <c:val>
            <c:numRef>
              <c:f>Quarts!#REF!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07-4613-B7AD-1B62EC5C8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940848824"/>
        <c:axId val="940840296"/>
      </c:barChart>
      <c:lineChart>
        <c:grouping val="standard"/>
        <c:varyColors val="0"/>
        <c:ser>
          <c:idx val="1"/>
          <c:order val="1"/>
          <c:tx>
            <c:v>y/y % growth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Quarts!#REF!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7-4613-B7AD-1B62EC5C8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852104"/>
        <c:axId val="940854072"/>
      </c:lineChart>
      <c:catAx>
        <c:axId val="940848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940840296"/>
        <c:crosses val="autoZero"/>
        <c:auto val="1"/>
        <c:lblAlgn val="ctr"/>
        <c:lblOffset val="100"/>
        <c:noMultiLvlLbl val="0"/>
      </c:catAx>
      <c:valAx>
        <c:axId val="94084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940848824"/>
        <c:crosses val="autoZero"/>
        <c:crossBetween val="between"/>
      </c:valAx>
      <c:valAx>
        <c:axId val="9408540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r>
                  <a:rPr lang="en-US"/>
                  <a:t>y/y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595959"/>
                  </a:solidFill>
                  <a:latin typeface="Roboto" panose="02000000000000000000" pitchFamily="2" charset="0"/>
                  <a:ea typeface="Roboto" panose="02000000000000000000" pitchFamily="2" charset="0"/>
                  <a:cs typeface="Helvetica Neue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940852104"/>
        <c:crosses val="max"/>
        <c:crossBetween val="between"/>
      </c:valAx>
      <c:catAx>
        <c:axId val="9408521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085407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87916114446091E-2"/>
          <c:y val="2.3726244592390151E-3"/>
          <c:w val="0.95746576232426395"/>
          <c:h val="0.921611626623880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Quarts!$M$158:$AD$158</c:f>
              <c:strCache>
                <c:ptCount val="12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  <c:pt idx="6">
                  <c:v>3Q 22</c:v>
                </c:pt>
                <c:pt idx="7">
                  <c:v>4Q 22</c:v>
                </c:pt>
                <c:pt idx="8">
                  <c:v>1Q 23</c:v>
                </c:pt>
                <c:pt idx="9">
                  <c:v>2Q 23</c:v>
                </c:pt>
                <c:pt idx="10">
                  <c:v>3Q 23</c:v>
                </c:pt>
                <c:pt idx="11">
                  <c:v>4Q 23</c:v>
                </c:pt>
              </c:strCache>
            </c:strRef>
          </c:cat>
          <c:val>
            <c:numRef>
              <c:f>Quarts!$M$213:$AD$213</c:f>
              <c:numCache>
                <c:formatCode>#,##0"  ";\(#,##0\)" ";#,##0"  ";@"  "</c:formatCode>
                <c:ptCount val="12"/>
                <c:pt idx="0">
                  <c:v>301</c:v>
                </c:pt>
                <c:pt idx="1">
                  <c:v>226.05299999999988</c:v>
                </c:pt>
                <c:pt idx="2">
                  <c:v>140</c:v>
                </c:pt>
                <c:pt idx="3">
                  <c:v>-8</c:v>
                </c:pt>
                <c:pt idx="4">
                  <c:v>8.6943500000006679</c:v>
                </c:pt>
                <c:pt idx="5">
                  <c:v>-201.69435000000067</c:v>
                </c:pt>
                <c:pt idx="6">
                  <c:v>-200</c:v>
                </c:pt>
                <c:pt idx="7">
                  <c:v>-200</c:v>
                </c:pt>
                <c:pt idx="8">
                  <c:v>-200</c:v>
                </c:pt>
                <c:pt idx="9">
                  <c:v>-100</c:v>
                </c:pt>
                <c:pt idx="10">
                  <c:v>-100</c:v>
                </c:pt>
                <c:pt idx="11">
                  <c:v>-200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56-439C-A909-35066A4A9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952552464"/>
        <c:axId val="952554432"/>
      </c:barChart>
      <c:catAx>
        <c:axId val="95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952554432"/>
        <c:crosses val="autoZero"/>
        <c:auto val="1"/>
        <c:lblAlgn val="ctr"/>
        <c:lblOffset val="100"/>
        <c:noMultiLvlLbl val="0"/>
      </c:catAx>
      <c:valAx>
        <c:axId val="952554432"/>
        <c:scaling>
          <c:orientation val="minMax"/>
        </c:scaling>
        <c:delete val="1"/>
        <c:axPos val="l"/>
        <c:numFmt formatCode="#,##0&quot;  &quot;;\(#,##0\)&quot; &quot;;#,##0&quot;  &quot;;@&quot;  &quot;" sourceLinked="1"/>
        <c:majorTickMark val="out"/>
        <c:minorTickMark val="none"/>
        <c:tickLblPos val="nextTo"/>
        <c:crossAx val="9525524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Quarts!$B$284</c:f>
              <c:strCache>
                <c:ptCount val="1"/>
                <c:pt idx="0">
                  <c:v>Credit revenue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Quarts!$W$4:$AH$4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Quarts!$W$284:$AH$284</c:f>
              <c:numCache>
                <c:formatCode>#,##0"  ";\(#,##0\)" ";#,##0"  ";@"  "</c:formatCode>
                <c:ptCount val="12"/>
                <c:pt idx="0">
                  <c:v>149.65460412482645</c:v>
                </c:pt>
                <c:pt idx="1">
                  <c:v>154.69311217091172</c:v>
                </c:pt>
                <c:pt idx="2">
                  <c:v>169.09455669361327</c:v>
                </c:pt>
                <c:pt idx="3">
                  <c:v>162.8070308402784</c:v>
                </c:pt>
                <c:pt idx="4">
                  <c:v>148.76876997009617</c:v>
                </c:pt>
                <c:pt idx="5">
                  <c:v>97.2</c:v>
                </c:pt>
                <c:pt idx="6">
                  <c:v>104</c:v>
                </c:pt>
                <c:pt idx="7">
                  <c:v>101.16000000000001</c:v>
                </c:pt>
                <c:pt idx="8">
                  <c:v>114.9238</c:v>
                </c:pt>
                <c:pt idx="9">
                  <c:v>113.5488</c:v>
                </c:pt>
                <c:pt idx="10">
                  <c:v>124.1738</c:v>
                </c:pt>
                <c:pt idx="11">
                  <c:v>126.23609999999999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1-4D3A-819C-94C83EB5EFB9}"/>
            </c:ext>
          </c:extLst>
        </c:ser>
        <c:ser>
          <c:idx val="1"/>
          <c:order val="1"/>
          <c:tx>
            <c:strRef>
              <c:f>Quarts!$B$287</c:f>
              <c:strCache>
                <c:ptCount val="1"/>
                <c:pt idx="0">
                  <c:v>Interchange / banking fees / mob top ups</c:v>
                </c:pt>
              </c:strCache>
            </c:strRef>
          </c:tx>
          <c:spPr>
            <a:solidFill>
              <a:srgbClr val="F9663E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Quarts!$W$4:$AH$4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Quarts!$W$287:$AH$287</c:f>
              <c:numCache>
                <c:formatCode>#,##0"  ";\(#,##0\)" ";#,##0"  ";@"  "</c:formatCode>
                <c:ptCount val="12"/>
                <c:pt idx="0">
                  <c:v>127.4843078192323</c:v>
                </c:pt>
                <c:pt idx="1">
                  <c:v>126.13935932000324</c:v>
                </c:pt>
                <c:pt idx="2">
                  <c:v>132.58151234774974</c:v>
                </c:pt>
                <c:pt idx="3">
                  <c:v>116.75208977700693</c:v>
                </c:pt>
                <c:pt idx="4">
                  <c:v>104.7941216301175</c:v>
                </c:pt>
                <c:pt idx="5">
                  <c:v>70.816781250000005</c:v>
                </c:pt>
                <c:pt idx="6">
                  <c:v>71.883537499999989</c:v>
                </c:pt>
                <c:pt idx="7">
                  <c:v>59.698750000000004</c:v>
                </c:pt>
                <c:pt idx="8">
                  <c:v>71</c:v>
                </c:pt>
                <c:pt idx="9">
                  <c:v>78</c:v>
                </c:pt>
                <c:pt idx="10">
                  <c:v>80</c:v>
                </c:pt>
                <c:pt idx="11">
                  <c:v>84.915634710311167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1-4D3A-819C-94C83EB5EFB9}"/>
            </c:ext>
          </c:extLst>
        </c:ser>
        <c:ser>
          <c:idx val="2"/>
          <c:order val="2"/>
          <c:tx>
            <c:strRef>
              <c:f>Quarts!$B$289</c:f>
              <c:strCache>
                <c:ptCount val="1"/>
                <c:pt idx="0">
                  <c:v>Float income (intra co)</c:v>
                </c:pt>
              </c:strCache>
            </c:strRef>
          </c:tx>
          <c:spPr>
            <a:solidFill>
              <a:srgbClr val="C7FE0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Quarts!$W$4:$AH$4</c:f>
              <c:strCache>
                <c:ptCount val="12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  <c:pt idx="7">
                  <c:v>4Q 23</c:v>
                </c:pt>
                <c:pt idx="8">
                  <c:v>1Q 24E</c:v>
                </c:pt>
                <c:pt idx="9">
                  <c:v>2Q 24E</c:v>
                </c:pt>
                <c:pt idx="10">
                  <c:v>3Q 24E</c:v>
                </c:pt>
                <c:pt idx="11">
                  <c:v>4Q 24E</c:v>
                </c:pt>
              </c:strCache>
            </c:strRef>
          </c:cat>
          <c:val>
            <c:numRef>
              <c:f>Quarts!$W$289:$AH$289</c:f>
              <c:numCache>
                <c:formatCode>#,##0"  ";\(#,##0\)" ";#,##0"  ";@"  "</c:formatCode>
                <c:ptCount val="12"/>
                <c:pt idx="0">
                  <c:v>55.426875000000003</c:v>
                </c:pt>
                <c:pt idx="1">
                  <c:v>62.929999999999993</c:v>
                </c:pt>
                <c:pt idx="2">
                  <c:v>74.089612499999816</c:v>
                </c:pt>
                <c:pt idx="3">
                  <c:v>82.234281250000024</c:v>
                </c:pt>
                <c:pt idx="4">
                  <c:v>77.034375000000011</c:v>
                </c:pt>
                <c:pt idx="5">
                  <c:v>74.983218750000006</c:v>
                </c:pt>
                <c:pt idx="6">
                  <c:v>84.116462500000011</c:v>
                </c:pt>
                <c:pt idx="7">
                  <c:v>92.041250000000005</c:v>
                </c:pt>
                <c:pt idx="8">
                  <c:v>76.54112909729416</c:v>
                </c:pt>
                <c:pt idx="9">
                  <c:v>60.36686798798803</c:v>
                </c:pt>
                <c:pt idx="10">
                  <c:v>61.100749176582902</c:v>
                </c:pt>
                <c:pt idx="11">
                  <c:v>82.473875124853635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1-4D3A-819C-94C83EB5E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78660976"/>
        <c:axId val="678686896"/>
      </c:barChart>
      <c:catAx>
        <c:axId val="67866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678686896"/>
        <c:crosses val="autoZero"/>
        <c:auto val="1"/>
        <c:lblAlgn val="ctr"/>
        <c:lblOffset val="100"/>
        <c:noMultiLvlLbl val="0"/>
      </c:catAx>
      <c:valAx>
        <c:axId val="678686896"/>
        <c:scaling>
          <c:orientation val="minMax"/>
        </c:scaling>
        <c:delete val="1"/>
        <c:axPos val="l"/>
        <c:numFmt formatCode="#,##0&quot;  &quot;;\(#,##0\)&quot; &quot;;#,##0&quot;  &quot;;@&quot;  &quot;" sourceLinked="1"/>
        <c:majorTickMark val="out"/>
        <c:minorTickMark val="none"/>
        <c:tickLblPos val="nextTo"/>
        <c:crossAx val="67866097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Quarts!$O$4:$AD$4</c:f>
              <c:strCache>
                <c:ptCount val="12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  <c:pt idx="6">
                  <c:v>3Q 22</c:v>
                </c:pt>
                <c:pt idx="7">
                  <c:v>4Q 22</c:v>
                </c:pt>
                <c:pt idx="8">
                  <c:v>1Q 23</c:v>
                </c:pt>
                <c:pt idx="9">
                  <c:v>2Q 23</c:v>
                </c:pt>
                <c:pt idx="10">
                  <c:v>3Q 23</c:v>
                </c:pt>
                <c:pt idx="11">
                  <c:v>4Q 23</c:v>
                </c:pt>
              </c:strCache>
            </c:strRef>
          </c:cat>
          <c:val>
            <c:numRef>
              <c:f>Quarts!$O$43:$AD$43</c:f>
              <c:numCache>
                <c:formatCode>0.00%</c:formatCode>
                <c:ptCount val="12"/>
                <c:pt idx="0">
                  <c:v>2.09631721879588E-2</c:v>
                </c:pt>
                <c:pt idx="1">
                  <c:v>2.0882654890729147E-2</c:v>
                </c:pt>
                <c:pt idx="2">
                  <c:v>2.0343508504983728E-2</c:v>
                </c:pt>
                <c:pt idx="3">
                  <c:v>1.8793229014612538E-2</c:v>
                </c:pt>
                <c:pt idx="4">
                  <c:v>2.1840626879599766E-2</c:v>
                </c:pt>
                <c:pt idx="5">
                  <c:v>2.3632584400326066E-2</c:v>
                </c:pt>
                <c:pt idx="6">
                  <c:v>2.4830944833428983E-2</c:v>
                </c:pt>
                <c:pt idx="7">
                  <c:v>2.2048850457398881E-2</c:v>
                </c:pt>
                <c:pt idx="8">
                  <c:v>2.2311498539914345E-2</c:v>
                </c:pt>
                <c:pt idx="9">
                  <c:v>2.2694400389819149E-2</c:v>
                </c:pt>
                <c:pt idx="10">
                  <c:v>2.1951590340292228E-2</c:v>
                </c:pt>
                <c:pt idx="11">
                  <c:v>2.0845715961278804E-2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A-4DA8-AE03-60733DD63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881420336"/>
        <c:axId val="881409520"/>
      </c:barChart>
      <c:catAx>
        <c:axId val="88142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881409520"/>
        <c:crosses val="autoZero"/>
        <c:auto val="1"/>
        <c:lblAlgn val="ctr"/>
        <c:lblOffset val="100"/>
        <c:noMultiLvlLbl val="0"/>
      </c:catAx>
      <c:valAx>
        <c:axId val="881409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8814203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Quarts!$M$4:$AD$4</c:f>
              <c:strCache>
                <c:ptCount val="12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  <c:pt idx="6">
                  <c:v>3Q 22</c:v>
                </c:pt>
                <c:pt idx="7">
                  <c:v>4Q 22</c:v>
                </c:pt>
                <c:pt idx="8">
                  <c:v>1Q 23</c:v>
                </c:pt>
                <c:pt idx="9">
                  <c:v>2Q 23</c:v>
                </c:pt>
                <c:pt idx="10">
                  <c:v>3Q 23</c:v>
                </c:pt>
                <c:pt idx="11">
                  <c:v>4Q 23</c:v>
                </c:pt>
              </c:strCache>
            </c:strRef>
          </c:cat>
          <c:val>
            <c:numRef>
              <c:f>Quarts!$M$111:$AD$111</c:f>
              <c:numCache>
                <c:formatCode>0.0%</c:formatCode>
                <c:ptCount val="12"/>
                <c:pt idx="0">
                  <c:v>0.15823335913312697</c:v>
                </c:pt>
                <c:pt idx="1">
                  <c:v>0.14567859554355164</c:v>
                </c:pt>
                <c:pt idx="2">
                  <c:v>0.15083939765112758</c:v>
                </c:pt>
                <c:pt idx="3">
                  <c:v>0.10330016686236945</c:v>
                </c:pt>
                <c:pt idx="4">
                  <c:v>0.10825795156113219</c:v>
                </c:pt>
                <c:pt idx="5">
                  <c:v>0.10305434671982873</c:v>
                </c:pt>
                <c:pt idx="6">
                  <c:v>0.10193308550185874</c:v>
                </c:pt>
                <c:pt idx="7">
                  <c:v>0.10381120646138314</c:v>
                </c:pt>
                <c:pt idx="8">
                  <c:v>0.10453333333333334</c:v>
                </c:pt>
                <c:pt idx="9">
                  <c:v>0.10846837428123367</c:v>
                </c:pt>
                <c:pt idx="10">
                  <c:v>0.10928961748633879</c:v>
                </c:pt>
                <c:pt idx="11">
                  <c:v>0.11962272831838049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5-4C8A-8E06-FB61C0D21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840103736"/>
        <c:axId val="840107672"/>
      </c:barChart>
      <c:catAx>
        <c:axId val="840103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840107672"/>
        <c:crosses val="autoZero"/>
        <c:auto val="1"/>
        <c:lblAlgn val="ctr"/>
        <c:lblOffset val="100"/>
        <c:noMultiLvlLbl val="0"/>
      </c:catAx>
      <c:valAx>
        <c:axId val="840107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8401037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729434983417774E-2"/>
          <c:y val="3.8581919744635748E-2"/>
          <c:w val="0.90603251337768831"/>
          <c:h val="0.75495620247857753"/>
        </c:manualLayout>
      </c:layout>
      <c:lineChart>
        <c:grouping val="standard"/>
        <c:varyColors val="0"/>
        <c:ser>
          <c:idx val="1"/>
          <c:order val="0"/>
          <c:tx>
            <c:v>y/y Acquirer TPV growth</c:v>
          </c:tx>
          <c:spPr>
            <a:ln w="25400" cap="rnd">
              <a:solidFill>
                <a:srgbClr val="263238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Roboto" panose="02000000000000000000" pitchFamily="2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Quarts!$AP$158:$BF$158</c:f>
              <c:strCache>
                <c:ptCount val="17"/>
                <c:pt idx="0">
                  <c:v>4Q19</c:v>
                </c:pt>
                <c:pt idx="1">
                  <c:v>1Q20</c:v>
                </c:pt>
                <c:pt idx="2">
                  <c:v>2Q20</c:v>
                </c:pt>
                <c:pt idx="3">
                  <c:v>3Q20</c:v>
                </c:pt>
                <c:pt idx="4">
                  <c:v>4Q 20</c:v>
                </c:pt>
                <c:pt idx="5">
                  <c:v>1Q 21</c:v>
                </c:pt>
                <c:pt idx="6">
                  <c:v>2Q 21</c:v>
                </c:pt>
                <c:pt idx="7">
                  <c:v>3Q 21</c:v>
                </c:pt>
                <c:pt idx="8">
                  <c:v>4Q 21</c:v>
                </c:pt>
                <c:pt idx="9">
                  <c:v>1Q 22</c:v>
                </c:pt>
                <c:pt idx="10">
                  <c:v>2Q 22</c:v>
                </c:pt>
                <c:pt idx="11">
                  <c:v>3Q 22</c:v>
                </c:pt>
                <c:pt idx="12">
                  <c:v>4Q 22</c:v>
                </c:pt>
                <c:pt idx="13">
                  <c:v>1Q 23</c:v>
                </c:pt>
                <c:pt idx="14">
                  <c:v>2Q 23</c:v>
                </c:pt>
                <c:pt idx="15">
                  <c:v>3Q 23</c:v>
                </c:pt>
                <c:pt idx="16">
                  <c:v>4Q 23</c:v>
                </c:pt>
              </c:strCache>
            </c:strRef>
          </c:cat>
          <c:val>
            <c:numRef>
              <c:f>Quarts!$AP$159:$BF$159</c:f>
              <c:numCache>
                <c:formatCode>0%</c:formatCode>
                <c:ptCount val="17"/>
                <c:pt idx="0">
                  <c:v>0.39038776643121786</c:v>
                </c:pt>
                <c:pt idx="1">
                  <c:v>0.296741494091602</c:v>
                </c:pt>
                <c:pt idx="2">
                  <c:v>0.11370931592021116</c:v>
                </c:pt>
                <c:pt idx="3">
                  <c:v>0.52673737535569476</c:v>
                </c:pt>
                <c:pt idx="4">
                  <c:v>0.61158439997293201</c:v>
                </c:pt>
                <c:pt idx="5">
                  <c:v>0.57941666397169356</c:v>
                </c:pt>
                <c:pt idx="6">
                  <c:v>0.89078994253328969</c:v>
                </c:pt>
                <c:pt idx="7">
                  <c:v>0.48903516645399536</c:v>
                </c:pt>
                <c:pt idx="8">
                  <c:v>0.42853617157034929</c:v>
                </c:pt>
                <c:pt idx="9">
                  <c:v>0.60200000000000009</c:v>
                </c:pt>
                <c:pt idx="10">
                  <c:v>0.58338510694949863</c:v>
                </c:pt>
                <c:pt idx="11">
                  <c:v>0.35179640718562877</c:v>
                </c:pt>
                <c:pt idx="12">
                  <c:v>0.1951837769328264</c:v>
                </c:pt>
                <c:pt idx="13">
                  <c:v>9.9875156054931358E-2</c:v>
                </c:pt>
                <c:pt idx="14">
                  <c:v>3.9237668161435035E-2</c:v>
                </c:pt>
                <c:pt idx="15">
                  <c:v>0.10560354374307868</c:v>
                </c:pt>
                <c:pt idx="16">
                  <c:v>0.20890774125132561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0-4198-B36B-1BBE8365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0722808"/>
        <c:axId val="760724120"/>
      </c:lineChart>
      <c:catAx>
        <c:axId val="760722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Roboto" panose="02000000000000000000" pitchFamily="2" charset="0"/>
              </a:defRPr>
            </a:pPr>
            <a:endParaRPr lang="en-US"/>
          </a:p>
        </c:txPr>
        <c:crossAx val="760724120"/>
        <c:crosses val="autoZero"/>
        <c:auto val="1"/>
        <c:lblAlgn val="ctr"/>
        <c:lblOffset val="100"/>
        <c:noMultiLvlLbl val="0"/>
      </c:catAx>
      <c:valAx>
        <c:axId val="76072412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Roboto" panose="02000000000000000000" pitchFamily="2" charset="0"/>
                  </a:defRPr>
                </a:pPr>
                <a:r>
                  <a:rPr lang="en-GB"/>
                  <a:t>BRL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595959"/>
                  </a:solidFill>
                  <a:latin typeface="Roboto" panose="02000000000000000000" pitchFamily="2" charset="0"/>
                  <a:ea typeface="Roboto" panose="02000000000000000000" pitchFamily="2" charset="0"/>
                  <a:cs typeface="Roboto" panose="02000000000000000000" pitchFamily="2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crossAx val="7607228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Quarts!$B$165</c:f>
              <c:strCache>
                <c:ptCount val="1"/>
                <c:pt idx="0">
                  <c:v>Acquirer TPV/merchant/month</c:v>
                </c:pt>
              </c:strCache>
            </c:strRef>
          </c:tx>
          <c:spPr>
            <a:solidFill>
              <a:srgbClr val="263238"/>
            </a:solidFill>
            <a:ln w="25400">
              <a:noFill/>
            </a:ln>
            <a:effectLst/>
          </c:spPr>
          <c:invertIfNegative val="0"/>
          <c:cat>
            <c:strRef>
              <c:f>Quarts!$O$158:$AD$158</c:f>
              <c:strCache>
                <c:ptCount val="12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  <c:pt idx="6">
                  <c:v>3Q 22</c:v>
                </c:pt>
                <c:pt idx="7">
                  <c:v>4Q 22</c:v>
                </c:pt>
                <c:pt idx="8">
                  <c:v>1Q 23</c:v>
                </c:pt>
                <c:pt idx="9">
                  <c:v>2Q 23</c:v>
                </c:pt>
                <c:pt idx="10">
                  <c:v>3Q 23</c:v>
                </c:pt>
                <c:pt idx="11">
                  <c:v>4Q 23</c:v>
                </c:pt>
              </c:strCache>
            </c:strRef>
          </c:cat>
          <c:val>
            <c:numRef>
              <c:f>Quarts!$S$165:$AD$165</c:f>
              <c:numCache>
                <c:formatCode>#,##0"  ";\(#,##0\)" ";#,##0"  ";@"  "</c:formatCode>
                <c:ptCount val="12"/>
                <c:pt idx="0">
                  <c:v>2321.2178566654702</c:v>
                </c:pt>
                <c:pt idx="1">
                  <c:v>2521.2674740764496</c:v>
                </c:pt>
                <c:pt idx="2">
                  <c:v>2918.6432533962347</c:v>
                </c:pt>
                <c:pt idx="3">
                  <c:v>3416.9156814343255</c:v>
                </c:pt>
                <c:pt idx="4">
                  <c:v>3468.7275229988568</c:v>
                </c:pt>
                <c:pt idx="5">
                  <c:v>3911.8446468874477</c:v>
                </c:pt>
                <c:pt idx="6">
                  <c:v>4067.5675675675675</c:v>
                </c:pt>
                <c:pt idx="7">
                  <c:v>4365.7407407407409</c:v>
                </c:pt>
                <c:pt idx="8">
                  <c:v>4195.2380952380954</c:v>
                </c:pt>
                <c:pt idx="9">
                  <c:v>4510.9489051094897</c:v>
                </c:pt>
                <c:pt idx="10">
                  <c:v>4930.1728395061727</c:v>
                </c:pt>
                <c:pt idx="11">
                  <c:v>5757.575757575758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2-4510-8B59-B971673AD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0722808"/>
        <c:axId val="760724120"/>
      </c:barChart>
      <c:lineChart>
        <c:grouping val="standard"/>
        <c:varyColors val="0"/>
        <c:ser>
          <c:idx val="1"/>
          <c:order val="1"/>
          <c:tx>
            <c:v>y/y growth</c:v>
          </c:tx>
          <c:spPr>
            <a:ln w="25400" cap="rnd">
              <a:solidFill>
                <a:srgbClr val="799098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Quarts!$O$4:$AD$4</c:f>
              <c:strCache>
                <c:ptCount val="12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  <c:pt idx="6">
                  <c:v>3Q 22</c:v>
                </c:pt>
                <c:pt idx="7">
                  <c:v>4Q 22</c:v>
                </c:pt>
                <c:pt idx="8">
                  <c:v>1Q 23</c:v>
                </c:pt>
                <c:pt idx="9">
                  <c:v>2Q 23</c:v>
                </c:pt>
                <c:pt idx="10">
                  <c:v>3Q 23</c:v>
                </c:pt>
                <c:pt idx="11">
                  <c:v>4Q 23</c:v>
                </c:pt>
              </c:strCache>
            </c:strRef>
          </c:cat>
          <c:val>
            <c:numRef>
              <c:f>Quarts!$AU$165:$BF$165</c:f>
              <c:numCache>
                <c:formatCode>0%</c:formatCode>
                <c:ptCount val="12"/>
                <c:pt idx="0">
                  <c:v>0.18393829126676353</c:v>
                </c:pt>
                <c:pt idx="1">
                  <c:v>0.43320280494575192</c:v>
                </c:pt>
                <c:pt idx="2">
                  <c:v>0.17730795361049068</c:v>
                </c:pt>
                <c:pt idx="3">
                  <c:v>0.23448520628596681</c:v>
                </c:pt>
                <c:pt idx="4">
                  <c:v>0.49435672874834502</c:v>
                </c:pt>
                <c:pt idx="5">
                  <c:v>0.5515389331393219</c:v>
                </c:pt>
                <c:pt idx="6">
                  <c:v>0.39365013618379163</c:v>
                </c:pt>
                <c:pt idx="7">
                  <c:v>0.27768465709055046</c:v>
                </c:pt>
                <c:pt idx="8">
                  <c:v>0.20944584647315878</c:v>
                </c:pt>
                <c:pt idx="9">
                  <c:v>0.15315134221874938</c:v>
                </c:pt>
                <c:pt idx="10">
                  <c:v>0.21206907017759735</c:v>
                </c:pt>
                <c:pt idx="11">
                  <c:v>0.31880844500144612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2-4510-8B59-B971673AD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354488"/>
        <c:axId val="946359080"/>
      </c:lineChart>
      <c:catAx>
        <c:axId val="760722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760724120"/>
        <c:crosses val="autoZero"/>
        <c:auto val="1"/>
        <c:lblAlgn val="ctr"/>
        <c:lblOffset val="100"/>
        <c:noMultiLvlLbl val="0"/>
      </c:catAx>
      <c:valAx>
        <c:axId val="76072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  &quot;;\(#,##0\)&quot; &quot;;#,##0&quot;  &quot;;@&quot; 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760722808"/>
        <c:crosses val="autoZero"/>
        <c:crossBetween val="between"/>
      </c:valAx>
      <c:valAx>
        <c:axId val="94635908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r>
                  <a:rPr lang="en-US"/>
                  <a:t>y/y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595959"/>
                  </a:solidFill>
                  <a:latin typeface="Roboto" panose="02000000000000000000" pitchFamily="2" charset="0"/>
                  <a:ea typeface="Roboto" panose="02000000000000000000" pitchFamily="2" charset="0"/>
                  <a:cs typeface="Helvetica Neue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946354488"/>
        <c:crosses val="max"/>
        <c:crossBetween val="between"/>
      </c:valAx>
      <c:catAx>
        <c:axId val="946354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635908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'Earnings snaps'!$B$133</c:f>
              <c:strCache>
                <c:ptCount val="1"/>
                <c:pt idx="0">
                  <c:v>Working Capital</c:v>
                </c:pt>
              </c:strCache>
            </c:strRef>
          </c:tx>
          <c:spPr>
            <a:solidFill>
              <a:srgbClr val="263238"/>
            </a:solidFill>
            <a:ln w="25400">
              <a:solidFill>
                <a:srgbClr val="263238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snaps'!$G$131:$R$131</c:f>
              <c:strCache>
                <c:ptCount val="12"/>
                <c:pt idx="0">
                  <c:v>Q1 21</c:v>
                </c:pt>
                <c:pt idx="1">
                  <c:v>Q2 21</c:v>
                </c:pt>
                <c:pt idx="2">
                  <c:v>Q3 21</c:v>
                </c:pt>
                <c:pt idx="3">
                  <c:v>Q4 21</c:v>
                </c:pt>
                <c:pt idx="4">
                  <c:v>Q1 22</c:v>
                </c:pt>
                <c:pt idx="5">
                  <c:v>Q2 22</c:v>
                </c:pt>
                <c:pt idx="6">
                  <c:v>Q3 22</c:v>
                </c:pt>
                <c:pt idx="7">
                  <c:v>Q4 22</c:v>
                </c:pt>
                <c:pt idx="8">
                  <c:v>Q1 23</c:v>
                </c:pt>
                <c:pt idx="9">
                  <c:v>Q2 23</c:v>
                </c:pt>
                <c:pt idx="10">
                  <c:v>Q3 23</c:v>
                </c:pt>
                <c:pt idx="11">
                  <c:v>Q4 23</c:v>
                </c:pt>
              </c:strCache>
            </c:strRef>
          </c:cat>
          <c:val>
            <c:numRef>
              <c:f>'Earnings snaps'!$G$133:$R$133</c:f>
              <c:numCache>
                <c:formatCode>#,##0</c:formatCode>
                <c:ptCount val="12"/>
                <c:pt idx="0">
                  <c:v>412.67778549000002</c:v>
                </c:pt>
                <c:pt idx="1">
                  <c:v>627.29188580999994</c:v>
                </c:pt>
                <c:pt idx="2">
                  <c:v>882.66328397000007</c:v>
                </c:pt>
                <c:pt idx="3">
                  <c:v>1069.6705776399999</c:v>
                </c:pt>
                <c:pt idx="4">
                  <c:v>1008.7420700399998</c:v>
                </c:pt>
                <c:pt idx="5">
                  <c:v>918.60363681999991</c:v>
                </c:pt>
                <c:pt idx="6">
                  <c:v>813.28235339000003</c:v>
                </c:pt>
                <c:pt idx="7">
                  <c:v>743</c:v>
                </c:pt>
                <c:pt idx="8">
                  <c:v>672</c:v>
                </c:pt>
                <c:pt idx="9">
                  <c:v>625</c:v>
                </c:pt>
                <c:pt idx="10">
                  <c:v>471</c:v>
                </c:pt>
                <c:pt idx="11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BF-4EE7-BB55-91803FA59F63}"/>
            </c:ext>
          </c:extLst>
        </c:ser>
        <c:ser>
          <c:idx val="2"/>
          <c:order val="1"/>
          <c:tx>
            <c:strRef>
              <c:f>'Earnings snaps'!$B$134</c:f>
              <c:strCache>
                <c:ptCount val="1"/>
                <c:pt idx="0">
                  <c:v>Credit Cards</c:v>
                </c:pt>
              </c:strCache>
            </c:strRef>
          </c:tx>
          <c:spPr>
            <a:solidFill>
              <a:srgbClr val="F9663E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snaps'!$G$131:$R$131</c:f>
              <c:strCache>
                <c:ptCount val="12"/>
                <c:pt idx="0">
                  <c:v>Q1 21</c:v>
                </c:pt>
                <c:pt idx="1">
                  <c:v>Q2 21</c:v>
                </c:pt>
                <c:pt idx="2">
                  <c:v>Q3 21</c:v>
                </c:pt>
                <c:pt idx="3">
                  <c:v>Q4 21</c:v>
                </c:pt>
                <c:pt idx="4">
                  <c:v>Q1 22</c:v>
                </c:pt>
                <c:pt idx="5">
                  <c:v>Q2 22</c:v>
                </c:pt>
                <c:pt idx="6">
                  <c:v>Q3 22</c:v>
                </c:pt>
                <c:pt idx="7">
                  <c:v>Q4 22</c:v>
                </c:pt>
                <c:pt idx="8">
                  <c:v>Q1 23</c:v>
                </c:pt>
                <c:pt idx="9">
                  <c:v>Q2 23</c:v>
                </c:pt>
                <c:pt idx="10">
                  <c:v>Q3 23</c:v>
                </c:pt>
                <c:pt idx="11">
                  <c:v>Q4 23</c:v>
                </c:pt>
              </c:strCache>
            </c:strRef>
          </c:cat>
          <c:val>
            <c:numRef>
              <c:f>'Earnings snaps'!$G$134:$R$134</c:f>
              <c:numCache>
                <c:formatCode>#,##0</c:formatCode>
                <c:ptCount val="12"/>
                <c:pt idx="0">
                  <c:v>333.88552074</c:v>
                </c:pt>
                <c:pt idx="1">
                  <c:v>458.88023469000001</c:v>
                </c:pt>
                <c:pt idx="2">
                  <c:v>604.08902654999997</c:v>
                </c:pt>
                <c:pt idx="3">
                  <c:v>726.09477298000002</c:v>
                </c:pt>
                <c:pt idx="4">
                  <c:v>852.44543726999996</c:v>
                </c:pt>
                <c:pt idx="5">
                  <c:v>919.04727357000002</c:v>
                </c:pt>
                <c:pt idx="6">
                  <c:v>1014.1261052999999</c:v>
                </c:pt>
                <c:pt idx="7">
                  <c:v>1113</c:v>
                </c:pt>
                <c:pt idx="8">
                  <c:v>1087</c:v>
                </c:pt>
                <c:pt idx="9">
                  <c:v>886</c:v>
                </c:pt>
                <c:pt idx="10">
                  <c:v>816</c:v>
                </c:pt>
                <c:pt idx="11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BF-4EE7-BB55-91803FA59F63}"/>
            </c:ext>
          </c:extLst>
        </c:ser>
        <c:ser>
          <c:idx val="3"/>
          <c:order val="2"/>
          <c:tx>
            <c:strRef>
              <c:f>'Earnings snaps'!$B$135</c:f>
              <c:strCache>
                <c:ptCount val="1"/>
                <c:pt idx="0">
                  <c:v>Secured/other</c:v>
                </c:pt>
              </c:strCache>
            </c:strRef>
          </c:tx>
          <c:spPr>
            <a:solidFill>
              <a:srgbClr val="C7FE0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snaps'!$G$131:$R$131</c:f>
              <c:strCache>
                <c:ptCount val="12"/>
                <c:pt idx="0">
                  <c:v>Q1 21</c:v>
                </c:pt>
                <c:pt idx="1">
                  <c:v>Q2 21</c:v>
                </c:pt>
                <c:pt idx="2">
                  <c:v>Q3 21</c:v>
                </c:pt>
                <c:pt idx="3">
                  <c:v>Q4 21</c:v>
                </c:pt>
                <c:pt idx="4">
                  <c:v>Q1 22</c:v>
                </c:pt>
                <c:pt idx="5">
                  <c:v>Q2 22</c:v>
                </c:pt>
                <c:pt idx="6">
                  <c:v>Q3 22</c:v>
                </c:pt>
                <c:pt idx="7">
                  <c:v>Q4 22</c:v>
                </c:pt>
                <c:pt idx="8">
                  <c:v>Q1 23</c:v>
                </c:pt>
                <c:pt idx="9">
                  <c:v>Q2 23</c:v>
                </c:pt>
                <c:pt idx="10">
                  <c:v>Q3 23</c:v>
                </c:pt>
                <c:pt idx="11">
                  <c:v>Q4 23</c:v>
                </c:pt>
              </c:strCache>
            </c:strRef>
          </c:cat>
          <c:val>
            <c:numRef>
              <c:f>'Earnings snaps'!$G$135:$R$135</c:f>
              <c:numCache>
                <c:formatCode>#,##0</c:formatCode>
                <c:ptCount val="12"/>
                <c:pt idx="0">
                  <c:v>24.793557570000001</c:v>
                </c:pt>
                <c:pt idx="1">
                  <c:v>29.93044467</c:v>
                </c:pt>
                <c:pt idx="2">
                  <c:v>66.428179630000002</c:v>
                </c:pt>
                <c:pt idx="3">
                  <c:v>111.20454511999999</c:v>
                </c:pt>
                <c:pt idx="4">
                  <c:v>193.59793797</c:v>
                </c:pt>
                <c:pt idx="5">
                  <c:v>437.36505529000004</c:v>
                </c:pt>
                <c:pt idx="6">
                  <c:v>825.85647173000007</c:v>
                </c:pt>
                <c:pt idx="7">
                  <c:v>865</c:v>
                </c:pt>
                <c:pt idx="8">
                  <c:v>958</c:v>
                </c:pt>
                <c:pt idx="9">
                  <c:v>1099</c:v>
                </c:pt>
                <c:pt idx="10">
                  <c:v>1175</c:v>
                </c:pt>
                <c:pt idx="11">
                  <c:v>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BF-4EE7-BB55-91803FA59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7568031"/>
        <c:axId val="57568447"/>
      </c:barChart>
      <c:catAx>
        <c:axId val="57568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57568447"/>
        <c:crosses val="autoZero"/>
        <c:auto val="1"/>
        <c:lblAlgn val="ctr"/>
        <c:lblOffset val="100"/>
        <c:noMultiLvlLbl val="0"/>
      </c:catAx>
      <c:valAx>
        <c:axId val="57568447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5756803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'Earnings snaps'!$B$153</c:f>
              <c:strCache>
                <c:ptCount val="1"/>
                <c:pt idx="0">
                  <c:v>Banking Accounts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'Earnings snaps'!$C$151:$G$151</c:f>
              <c:strCache>
                <c:ptCount val="5"/>
                <c:pt idx="0">
                  <c:v>1Q21</c:v>
                </c:pt>
                <c:pt idx="1">
                  <c:v>2Q21</c:v>
                </c:pt>
                <c:pt idx="2">
                  <c:v>3Q21</c:v>
                </c:pt>
                <c:pt idx="3">
                  <c:v>4Q21</c:v>
                </c:pt>
                <c:pt idx="4">
                  <c:v>1Q22</c:v>
                </c:pt>
              </c:strCache>
            </c:strRef>
          </c:cat>
          <c:val>
            <c:numRef>
              <c:f>'Earnings snaps'!$C$153:$G$153</c:f>
              <c:numCache>
                <c:formatCode>#,##0.0"  ";\(#,##0.0\)" ";#,##0.0"  ";@"  "</c:formatCode>
                <c:ptCount val="5"/>
                <c:pt idx="0">
                  <c:v>3.5364316050199998</c:v>
                </c:pt>
                <c:pt idx="1">
                  <c:v>4.1018175257899996</c:v>
                </c:pt>
                <c:pt idx="2">
                  <c:v>4.4933348318100004</c:v>
                </c:pt>
                <c:pt idx="3">
                  <c:v>5.7010129543400003</c:v>
                </c:pt>
                <c:pt idx="4">
                  <c:v>5.468197718679999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035-8B0F-57898CFB9DE4}"/>
            </c:ext>
          </c:extLst>
        </c:ser>
        <c:ser>
          <c:idx val="1"/>
          <c:order val="1"/>
          <c:tx>
            <c:strRef>
              <c:f>'Earnings snaps'!$B$154</c:f>
              <c:strCache>
                <c:ptCount val="1"/>
                <c:pt idx="0">
                  <c:v>Certificate of Deposit</c:v>
                </c:pt>
              </c:strCache>
            </c:strRef>
          </c:tx>
          <c:spPr>
            <a:solidFill>
              <a:srgbClr val="F9663E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F6E9F81-4AA2-4D95-9633-A5F9D14D54E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BA9-4035-8B0F-57898CFB9DE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F915B81-273F-4A82-8DD8-1CC58830C76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BA9-4035-8B0F-57898CFB9D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E1EF983-163B-493C-862F-C05687D1A7E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BA9-4035-8B0F-57898CFB9D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60324B2-4AA5-479C-9A6E-92EF0BCD8A4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BA9-4035-8B0F-57898CFB9D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60E95E3-9B96-4723-B1D9-573E7E54B46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BA9-4035-8B0F-57898CFB9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snaps'!$C$151:$G$151</c:f>
              <c:strCache>
                <c:ptCount val="5"/>
                <c:pt idx="0">
                  <c:v>1Q21</c:v>
                </c:pt>
                <c:pt idx="1">
                  <c:v>2Q21</c:v>
                </c:pt>
                <c:pt idx="2">
                  <c:v>3Q21</c:v>
                </c:pt>
                <c:pt idx="3">
                  <c:v>4Q21</c:v>
                </c:pt>
                <c:pt idx="4">
                  <c:v>1Q22</c:v>
                </c:pt>
              </c:strCache>
            </c:strRef>
          </c:cat>
          <c:val>
            <c:numRef>
              <c:f>'Earnings snaps'!$C$154:$G$154</c:f>
              <c:numCache>
                <c:formatCode>#,##0.0"  ";\(#,##0.0\)" ";#,##0.0"  ";@"  "</c:formatCode>
                <c:ptCount val="5"/>
                <c:pt idx="0">
                  <c:v>1.191057</c:v>
                </c:pt>
                <c:pt idx="1">
                  <c:v>1.5805400000000001</c:v>
                </c:pt>
                <c:pt idx="2">
                  <c:v>2.1573420000000003</c:v>
                </c:pt>
                <c:pt idx="3">
                  <c:v>2.510818</c:v>
                </c:pt>
                <c:pt idx="4">
                  <c:v>4.4309440000000002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'Earnings snaps'!$C$157:$G$157</c15:f>
                <c15:dlblRangeCache>
                  <c:ptCount val="5"/>
                  <c:pt idx="0">
                    <c:v>24%</c:v>
                  </c:pt>
                  <c:pt idx="1">
                    <c:v>27%</c:v>
                  </c:pt>
                  <c:pt idx="2">
                    <c:v>30%</c:v>
                  </c:pt>
                  <c:pt idx="3">
                    <c:v>28%</c:v>
                  </c:pt>
                  <c:pt idx="4">
                    <c:v>40%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CBA9-4035-8B0F-57898CFB9DE4}"/>
            </c:ext>
          </c:extLst>
        </c:ser>
        <c:ser>
          <c:idx val="2"/>
          <c:order val="2"/>
          <c:tx>
            <c:strRef>
              <c:f>'Earnings snaps'!$B$155</c:f>
              <c:strCache>
                <c:ptCount val="1"/>
                <c:pt idx="0">
                  <c:v>Interbank Deposits</c:v>
                </c:pt>
              </c:strCache>
            </c:strRef>
          </c:tx>
          <c:spPr>
            <a:solidFill>
              <a:srgbClr val="C7FE0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'Earnings snaps'!$C$151:$G$151</c:f>
              <c:strCache>
                <c:ptCount val="5"/>
                <c:pt idx="0">
                  <c:v>1Q21</c:v>
                </c:pt>
                <c:pt idx="1">
                  <c:v>2Q21</c:v>
                </c:pt>
                <c:pt idx="2">
                  <c:v>3Q21</c:v>
                </c:pt>
                <c:pt idx="3">
                  <c:v>4Q21</c:v>
                </c:pt>
                <c:pt idx="4">
                  <c:v>1Q22</c:v>
                </c:pt>
              </c:strCache>
            </c:strRef>
          </c:cat>
          <c:val>
            <c:numRef>
              <c:f>'Earnings snaps'!$C$155:$G$155</c:f>
              <c:numCache>
                <c:formatCode>#,##0.0"  ";\(#,##0.0\)" ";#,##0.0"  ";@"  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0.30016300000000001</c:v>
                </c:pt>
                <c:pt idx="3">
                  <c:v>0.40499799999999997</c:v>
                </c:pt>
                <c:pt idx="4">
                  <c:v>1.0578109999999998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A9-4035-8B0F-57898CFB9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815535"/>
        <c:axId val="1927805135"/>
      </c:barChart>
      <c:catAx>
        <c:axId val="19278155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1927805135"/>
        <c:crosses val="autoZero"/>
        <c:auto val="1"/>
        <c:lblAlgn val="ctr"/>
        <c:lblOffset val="100"/>
        <c:noMultiLvlLbl val="0"/>
      </c:catAx>
      <c:valAx>
        <c:axId val="1927805135"/>
        <c:scaling>
          <c:orientation val="minMax"/>
        </c:scaling>
        <c:delete val="1"/>
        <c:axPos val="l"/>
        <c:numFmt formatCode="#,##0.0&quot;  &quot;;\(#,##0.0\)&quot; &quot;;#,##0.0&quot;  &quot;;@&quot;  &quot;" sourceLinked="1"/>
        <c:majorTickMark val="out"/>
        <c:minorTickMark val="none"/>
        <c:tickLblPos val="nextTo"/>
        <c:crossAx val="1927815535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'Earnings snaps'!$B$170</c:f>
              <c:strCache>
                <c:ptCount val="1"/>
                <c:pt idx="0">
                  <c:v>Adjusted net income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'Earnings snaps'!$C$169:$L$169</c:f>
              <c:strCache>
                <c:ptCount val="10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1Q 22</c:v>
                </c:pt>
                <c:pt idx="9">
                  <c:v>2Q 22E</c:v>
                </c:pt>
              </c:strCache>
            </c:strRef>
          </c:cat>
          <c:val>
            <c:numRef>
              <c:f>'Earnings snaps'!$C$170:$L$170</c:f>
              <c:numCache>
                <c:formatCode>0</c:formatCode>
                <c:ptCount val="10"/>
                <c:pt idx="0">
                  <c:v>367.00846522687647</c:v>
                </c:pt>
                <c:pt idx="1">
                  <c:v>306.98985332794678</c:v>
                </c:pt>
                <c:pt idx="2">
                  <c:v>330.38224313729251</c:v>
                </c:pt>
                <c:pt idx="3">
                  <c:v>429.32243830788417</c:v>
                </c:pt>
                <c:pt idx="4">
                  <c:v>327.10000000000002</c:v>
                </c:pt>
                <c:pt idx="5">
                  <c:v>345.2</c:v>
                </c:pt>
                <c:pt idx="6">
                  <c:v>418.7</c:v>
                </c:pt>
                <c:pt idx="7">
                  <c:v>334.3</c:v>
                </c:pt>
                <c:pt idx="8">
                  <c:v>371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9-4A7B-86B9-C7789974C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963311"/>
        <c:axId val="55951663"/>
      </c:barChart>
      <c:lineChart>
        <c:grouping val="standard"/>
        <c:varyColors val="0"/>
        <c:ser>
          <c:idx val="1"/>
          <c:order val="1"/>
          <c:tx>
            <c:strRef>
              <c:f>'Earnings snaps'!$B$171</c:f>
              <c:strCache>
                <c:ptCount val="1"/>
                <c:pt idx="0">
                  <c:v>Net adjusted margin</c:v>
                </c:pt>
              </c:strCache>
            </c:strRef>
          </c:tx>
          <c:spPr>
            <a:ln w="25400" cap="rnd">
              <a:solidFill>
                <a:srgbClr val="799098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'Earnings snaps'!$C$169:$L$169</c:f>
              <c:strCache>
                <c:ptCount val="10"/>
                <c:pt idx="0">
                  <c:v>1Q 20</c:v>
                </c:pt>
                <c:pt idx="1">
                  <c:v>2Q 20</c:v>
                </c:pt>
                <c:pt idx="2">
                  <c:v>3Q 20</c:v>
                </c:pt>
                <c:pt idx="3">
                  <c:v>4Q 20</c:v>
                </c:pt>
                <c:pt idx="4">
                  <c:v>1Q 21</c:v>
                </c:pt>
                <c:pt idx="5">
                  <c:v>2Q 21</c:v>
                </c:pt>
                <c:pt idx="6">
                  <c:v>3Q 21</c:v>
                </c:pt>
                <c:pt idx="7">
                  <c:v>4Q 21</c:v>
                </c:pt>
                <c:pt idx="8">
                  <c:v>1Q 22</c:v>
                </c:pt>
                <c:pt idx="9">
                  <c:v>2Q 22E</c:v>
                </c:pt>
              </c:strCache>
            </c:strRef>
          </c:cat>
          <c:val>
            <c:numRef>
              <c:f>'Earnings snaps'!$C$171:$L$171</c:f>
              <c:numCache>
                <c:formatCode>0.0%</c:formatCode>
                <c:ptCount val="10"/>
                <c:pt idx="0">
                  <c:v>0.23121625767904672</c:v>
                </c:pt>
                <c:pt idx="1">
                  <c:v>0.226152855194382</c:v>
                </c:pt>
                <c:pt idx="2">
                  <c:v>0.18545450848299097</c:v>
                </c:pt>
                <c:pt idx="3">
                  <c:v>0.20556496926400966</c:v>
                </c:pt>
                <c:pt idx="4">
                  <c:v>0.15823335913312697</c:v>
                </c:pt>
                <c:pt idx="5">
                  <c:v>0.14567859554355164</c:v>
                </c:pt>
                <c:pt idx="6">
                  <c:v>0.15083939765112758</c:v>
                </c:pt>
                <c:pt idx="7">
                  <c:v>0.10330016686236945</c:v>
                </c:pt>
                <c:pt idx="8">
                  <c:v>0.10825795156113219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9-4A7B-86B9-C7789974C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62063"/>
        <c:axId val="55943343"/>
      </c:lineChart>
      <c:catAx>
        <c:axId val="55963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55951663"/>
        <c:crosses val="autoZero"/>
        <c:auto val="1"/>
        <c:lblAlgn val="ctr"/>
        <c:lblOffset val="100"/>
        <c:noMultiLvlLbl val="0"/>
      </c:catAx>
      <c:valAx>
        <c:axId val="55951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solidFill>
              <a:srgbClr val="B3B3B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55963311"/>
        <c:crosses val="autoZero"/>
        <c:crossBetween val="between"/>
      </c:valAx>
      <c:valAx>
        <c:axId val="55943343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55962063"/>
        <c:crosses val="max"/>
        <c:crossBetween val="between"/>
      </c:valAx>
      <c:catAx>
        <c:axId val="5596206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5943343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Helvetica Neue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'Earnings snaps'!$B$178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snaps'!$C$177:$N$177</c:f>
              <c:strCache>
                <c:ptCount val="12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  <c:pt idx="6">
                  <c:v>3Q 22</c:v>
                </c:pt>
                <c:pt idx="7">
                  <c:v>4Q 22</c:v>
                </c:pt>
                <c:pt idx="8">
                  <c:v>1Q 23</c:v>
                </c:pt>
                <c:pt idx="9">
                  <c:v>2Q 23</c:v>
                </c:pt>
                <c:pt idx="10">
                  <c:v>3Q 23</c:v>
                </c:pt>
                <c:pt idx="11">
                  <c:v>3Q 23</c:v>
                </c:pt>
              </c:strCache>
            </c:strRef>
          </c:cat>
          <c:val>
            <c:numRef>
              <c:f>'Earnings snaps'!$C$178:$N$178</c:f>
              <c:numCache>
                <c:formatCode>#,##0</c:formatCode>
                <c:ptCount val="12"/>
                <c:pt idx="0">
                  <c:v>156.11249543642109</c:v>
                </c:pt>
                <c:pt idx="1">
                  <c:v>193.67563673077342</c:v>
                </c:pt>
                <c:pt idx="2">
                  <c:v>258.61796397675482</c:v>
                </c:pt>
                <c:pt idx="3">
                  <c:v>308.51423074707048</c:v>
                </c:pt>
                <c:pt idx="4">
                  <c:v>332.56578694405874</c:v>
                </c:pt>
                <c:pt idx="5">
                  <c:v>343.76247149091495</c:v>
                </c:pt>
                <c:pt idx="6">
                  <c:v>375.76568154136282</c:v>
                </c:pt>
                <c:pt idx="7">
                  <c:v>361.79340186728535</c:v>
                </c:pt>
                <c:pt idx="8">
                  <c:v>330.59726660021369</c:v>
                </c:pt>
                <c:pt idx="9">
                  <c:v>243</c:v>
                </c:pt>
                <c:pt idx="10">
                  <c:v>260</c:v>
                </c:pt>
                <c:pt idx="11">
                  <c:v>252.9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8-451B-B99F-585AD951D318}"/>
            </c:ext>
          </c:extLst>
        </c:ser>
        <c:ser>
          <c:idx val="1"/>
          <c:order val="1"/>
          <c:tx>
            <c:strRef>
              <c:f>'Earnings snaps'!$B$179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snaps'!$C$177:$N$177</c:f>
              <c:strCache>
                <c:ptCount val="12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  <c:pt idx="6">
                  <c:v>3Q 22</c:v>
                </c:pt>
                <c:pt idx="7">
                  <c:v>4Q 22</c:v>
                </c:pt>
                <c:pt idx="8">
                  <c:v>1Q 23</c:v>
                </c:pt>
                <c:pt idx="9">
                  <c:v>2Q 23</c:v>
                </c:pt>
                <c:pt idx="10">
                  <c:v>3Q 23</c:v>
                </c:pt>
                <c:pt idx="11">
                  <c:v>3Q 23</c:v>
                </c:pt>
              </c:strCache>
            </c:strRef>
          </c:cat>
          <c:val>
            <c:numRef>
              <c:f>'Earnings snaps'!$C$179:$N$179</c:f>
              <c:numCache>
                <c:formatCode>#,##0</c:formatCode>
                <c:ptCount val="12"/>
                <c:pt idx="0">
                  <c:v>-140.21619112384326</c:v>
                </c:pt>
                <c:pt idx="1">
                  <c:v>-78.559840049172081</c:v>
                </c:pt>
                <c:pt idx="2">
                  <c:v>-36.290162918029793</c:v>
                </c:pt>
                <c:pt idx="3">
                  <c:v>-70.278474907233331</c:v>
                </c:pt>
                <c:pt idx="4">
                  <c:v>-76.37532595368063</c:v>
                </c:pt>
                <c:pt idx="5">
                  <c:v>-66.500363314964247</c:v>
                </c:pt>
                <c:pt idx="6">
                  <c:v>-62.279519015963544</c:v>
                </c:pt>
                <c:pt idx="7">
                  <c:v>11.614551315863878</c:v>
                </c:pt>
                <c:pt idx="8">
                  <c:v>68.885493601362384</c:v>
                </c:pt>
                <c:pt idx="9">
                  <c:v>-0.7</c:v>
                </c:pt>
                <c:pt idx="10">
                  <c:v>2</c:v>
                </c:pt>
                <c:pt idx="11">
                  <c:v>53.1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8-451B-B99F-585AD951D3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358965471"/>
        <c:axId val="358962559"/>
      </c:barChart>
      <c:catAx>
        <c:axId val="358965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Roboto" panose="02000000000000000000" pitchFamily="2" charset="0"/>
                <a:ea typeface="Roboto" panose="02000000000000000000" pitchFamily="2" charset="0"/>
                <a:cs typeface="Helvetica Neue"/>
              </a:defRPr>
            </a:pPr>
            <a:endParaRPr lang="en-US"/>
          </a:p>
        </c:txPr>
        <c:crossAx val="358962559"/>
        <c:crosses val="autoZero"/>
        <c:auto val="1"/>
        <c:lblAlgn val="ctr"/>
        <c:lblOffset val="100"/>
        <c:noMultiLvlLbl val="0"/>
      </c:catAx>
      <c:valAx>
        <c:axId val="358962559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35896547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Roboto" panose="02000000000000000000" pitchFamily="2" charset="0"/>
              <a:ea typeface="Roboto" panose="02000000000000000000" pitchFamily="2" charset="0"/>
              <a:cs typeface="Helvetica Neue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Roboto" panose="02000000000000000000" pitchFamily="2" charset="0"/>
          <a:ea typeface="Roboto" panose="02000000000000000000" pitchFamily="2" charset="0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595959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snaps'!$C$202:$L$202</c:f>
              <c:strCache>
                <c:ptCount val="10"/>
                <c:pt idx="0">
                  <c:v>1Q 21</c:v>
                </c:pt>
                <c:pt idx="1">
                  <c:v>2Q 21</c:v>
                </c:pt>
                <c:pt idx="2">
                  <c:v>3Q 21</c:v>
                </c:pt>
                <c:pt idx="3">
                  <c:v>4Q 21</c:v>
                </c:pt>
                <c:pt idx="4">
                  <c:v>1Q 22</c:v>
                </c:pt>
                <c:pt idx="5">
                  <c:v>2Q 22</c:v>
                </c:pt>
                <c:pt idx="6">
                  <c:v>3Q 22</c:v>
                </c:pt>
                <c:pt idx="7">
                  <c:v>4Q 22</c:v>
                </c:pt>
                <c:pt idx="8">
                  <c:v>1Q 23</c:v>
                </c:pt>
                <c:pt idx="9">
                  <c:v>2Q 23</c:v>
                </c:pt>
              </c:strCache>
            </c:strRef>
          </c:cat>
          <c:val>
            <c:numRef>
              <c:f>'Earnings snaps'!$C$203:$L$203</c:f>
              <c:numCache>
                <c:formatCode>#,##0</c:formatCode>
                <c:ptCount val="10"/>
                <c:pt idx="0">
                  <c:v>2321.2178566654702</c:v>
                </c:pt>
                <c:pt idx="1">
                  <c:v>2521.2674740764496</c:v>
                </c:pt>
                <c:pt idx="2">
                  <c:v>2918.6432533962347</c:v>
                </c:pt>
                <c:pt idx="3">
                  <c:v>3416.9156814343255</c:v>
                </c:pt>
                <c:pt idx="4">
                  <c:v>3468.7275229988568</c:v>
                </c:pt>
                <c:pt idx="5">
                  <c:v>3911.8446468874477</c:v>
                </c:pt>
                <c:pt idx="6">
                  <c:v>4067.5675675675675</c:v>
                </c:pt>
                <c:pt idx="7">
                  <c:v>4365.7407407407409</c:v>
                </c:pt>
                <c:pt idx="8">
                  <c:v>4195.2380952380954</c:v>
                </c:pt>
                <c:pt idx="9">
                  <c:v>4510.9489051094897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C-4DC7-A92B-2E110ECD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02106527"/>
        <c:axId val="202091135"/>
      </c:barChart>
      <c:catAx>
        <c:axId val="202106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202091135"/>
        <c:crosses val="autoZero"/>
        <c:auto val="1"/>
        <c:lblAlgn val="ctr"/>
        <c:lblOffset val="100"/>
        <c:noMultiLvlLbl val="0"/>
      </c:catAx>
      <c:valAx>
        <c:axId val="202091135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02106527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'Earnings snaps'!$B$244</c:f>
              <c:strCache>
                <c:ptCount val="1"/>
                <c:pt idx="0">
                  <c:v>Fin Services (Old)</c:v>
                </c:pt>
              </c:strCache>
            </c:strRef>
          </c:tx>
          <c:spPr>
            <a:solidFill>
              <a:srgbClr val="26323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snaps'!$C$243:$I$243</c:f>
              <c:strCache>
                <c:ptCount val="7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</c:strCache>
            </c:strRef>
          </c:cat>
          <c:val>
            <c:numRef>
              <c:f>'Earnings snaps'!$C$244:$I$244</c:f>
              <c:numCache>
                <c:formatCode>0</c:formatCode>
                <c:ptCount val="7"/>
                <c:pt idx="0">
                  <c:v>332.56578694405874</c:v>
                </c:pt>
                <c:pt idx="1">
                  <c:v>343.76247149091495</c:v>
                </c:pt>
                <c:pt idx="2">
                  <c:v>375.76568154136282</c:v>
                </c:pt>
                <c:pt idx="3">
                  <c:v>361.79340186728535</c:v>
                </c:pt>
                <c:pt idx="4">
                  <c:v>330.59726660021369</c:v>
                </c:pt>
                <c:pt idx="5">
                  <c:v>243</c:v>
                </c:pt>
                <c:pt idx="6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7-4298-B874-53011EF66B5B}"/>
            </c:ext>
          </c:extLst>
        </c:ser>
        <c:ser>
          <c:idx val="1"/>
          <c:order val="1"/>
          <c:tx>
            <c:strRef>
              <c:f>'Earnings snaps'!$B$245</c:f>
              <c:strCache>
                <c:ptCount val="1"/>
                <c:pt idx="0">
                  <c:v>Fin Services (New)</c:v>
                </c:pt>
              </c:strCache>
            </c:strRef>
          </c:tx>
          <c:spPr>
            <a:solidFill>
              <a:srgbClr val="79909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FFFFFF"/>
                    </a:solidFill>
                    <a:latin typeface="Helvetica Neue"/>
                    <a:ea typeface="Helvetica Neue"/>
                    <a:cs typeface="Helvetica Neue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'Earnings snaps'!$C$243:$I$243</c:f>
              <c:strCache>
                <c:ptCount val="7"/>
                <c:pt idx="0">
                  <c:v>1Q 22</c:v>
                </c:pt>
                <c:pt idx="1">
                  <c:v>2Q 22</c:v>
                </c:pt>
                <c:pt idx="2">
                  <c:v>3Q 22</c:v>
                </c:pt>
                <c:pt idx="3">
                  <c:v>4Q 22</c:v>
                </c:pt>
                <c:pt idx="4">
                  <c:v>1Q 23</c:v>
                </c:pt>
                <c:pt idx="5">
                  <c:v>2Q 23</c:v>
                </c:pt>
                <c:pt idx="6">
                  <c:v>3Q 23</c:v>
                </c:pt>
              </c:strCache>
            </c:strRef>
          </c:cat>
          <c:val>
            <c:numRef>
              <c:f>'Earnings snaps'!$C$245:$I$245</c:f>
              <c:numCache>
                <c:formatCode>0</c:formatCode>
                <c:ptCount val="7"/>
                <c:pt idx="0">
                  <c:v>305</c:v>
                </c:pt>
                <c:pt idx="1">
                  <c:v>314</c:v>
                </c:pt>
                <c:pt idx="2">
                  <c:v>339</c:v>
                </c:pt>
                <c:pt idx="3">
                  <c:v>329</c:v>
                </c:pt>
                <c:pt idx="4">
                  <c:v>297.8</c:v>
                </c:pt>
                <c:pt idx="5">
                  <c:v>210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7-4298-B874-53011EF66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091505904"/>
        <c:axId val="2091503024"/>
      </c:barChart>
      <c:catAx>
        <c:axId val="209150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B3B3B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Helvetica Neue"/>
                <a:ea typeface="Helvetica Neue"/>
                <a:cs typeface="Helvetica Neue"/>
              </a:defRPr>
            </a:pPr>
            <a:endParaRPr lang="en-US"/>
          </a:p>
        </c:txPr>
        <c:crossAx val="2091503024"/>
        <c:crosses val="autoZero"/>
        <c:auto val="1"/>
        <c:lblAlgn val="ctr"/>
        <c:lblOffset val="100"/>
        <c:noMultiLvlLbl val="0"/>
      </c:catAx>
      <c:valAx>
        <c:axId val="209150302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20915059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Helvetica Neue"/>
              <a:ea typeface="Helvetica Neue"/>
              <a:cs typeface="Helvetica Neue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595959"/>
          </a:solidFill>
          <a:latin typeface="Helvetica Neue"/>
          <a:ea typeface="Helvetica Neue"/>
          <a:cs typeface="Helvetica Neue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Valuation!A1"/><Relationship Id="rId2" Type="http://schemas.openxmlformats.org/officeDocument/2006/relationships/hyperlink" Target="#Quarts!A1"/><Relationship Id="rId1" Type="http://schemas.openxmlformats.org/officeDocument/2006/relationships/hyperlink" Target="#Master!A1"/><Relationship Id="rId5" Type="http://schemas.openxmlformats.org/officeDocument/2006/relationships/image" Target="../media/image1.png"/><Relationship Id="rId4" Type="http://schemas.openxmlformats.org/officeDocument/2006/relationships/hyperlink" Target="http://www.newstreetresearch.com/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41.xml"/><Relationship Id="rId21" Type="http://schemas.openxmlformats.org/officeDocument/2006/relationships/chart" Target="../charts/chart36.xml"/><Relationship Id="rId34" Type="http://schemas.openxmlformats.org/officeDocument/2006/relationships/chart" Target="../charts/chart49.xml"/><Relationship Id="rId42" Type="http://schemas.openxmlformats.org/officeDocument/2006/relationships/chart" Target="../charts/chart57.xml"/><Relationship Id="rId47" Type="http://schemas.openxmlformats.org/officeDocument/2006/relationships/chart" Target="../charts/chart62.xml"/><Relationship Id="rId50" Type="http://schemas.openxmlformats.org/officeDocument/2006/relationships/chart" Target="../charts/chart65.xml"/><Relationship Id="rId55" Type="http://schemas.openxmlformats.org/officeDocument/2006/relationships/chart" Target="../charts/chart70.xml"/><Relationship Id="rId63" Type="http://schemas.openxmlformats.org/officeDocument/2006/relationships/chart" Target="../charts/chart7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6" Type="http://schemas.openxmlformats.org/officeDocument/2006/relationships/chart" Target="../charts/chart31.xml"/><Relationship Id="rId29" Type="http://schemas.openxmlformats.org/officeDocument/2006/relationships/chart" Target="../charts/chart44.xml"/><Relationship Id="rId11" Type="http://schemas.openxmlformats.org/officeDocument/2006/relationships/chart" Target="../charts/chart26.xml"/><Relationship Id="rId24" Type="http://schemas.openxmlformats.org/officeDocument/2006/relationships/chart" Target="../charts/chart39.xml"/><Relationship Id="rId32" Type="http://schemas.openxmlformats.org/officeDocument/2006/relationships/chart" Target="../charts/chart47.xml"/><Relationship Id="rId37" Type="http://schemas.openxmlformats.org/officeDocument/2006/relationships/chart" Target="../charts/chart52.xml"/><Relationship Id="rId40" Type="http://schemas.openxmlformats.org/officeDocument/2006/relationships/chart" Target="../charts/chart55.xml"/><Relationship Id="rId45" Type="http://schemas.openxmlformats.org/officeDocument/2006/relationships/chart" Target="../charts/chart60.xml"/><Relationship Id="rId53" Type="http://schemas.openxmlformats.org/officeDocument/2006/relationships/chart" Target="../charts/chart68.xml"/><Relationship Id="rId58" Type="http://schemas.openxmlformats.org/officeDocument/2006/relationships/chart" Target="../charts/chart73.xml"/><Relationship Id="rId66" Type="http://schemas.openxmlformats.org/officeDocument/2006/relationships/chart" Target="../charts/chart81.xml"/><Relationship Id="rId5" Type="http://schemas.openxmlformats.org/officeDocument/2006/relationships/chart" Target="../charts/chart20.xml"/><Relationship Id="rId61" Type="http://schemas.openxmlformats.org/officeDocument/2006/relationships/chart" Target="../charts/chart76.xml"/><Relationship Id="rId19" Type="http://schemas.openxmlformats.org/officeDocument/2006/relationships/chart" Target="../charts/chart34.xml"/><Relationship Id="rId14" Type="http://schemas.openxmlformats.org/officeDocument/2006/relationships/chart" Target="../charts/chart29.xml"/><Relationship Id="rId22" Type="http://schemas.openxmlformats.org/officeDocument/2006/relationships/chart" Target="../charts/chart37.xml"/><Relationship Id="rId27" Type="http://schemas.openxmlformats.org/officeDocument/2006/relationships/chart" Target="../charts/chart42.xml"/><Relationship Id="rId30" Type="http://schemas.openxmlformats.org/officeDocument/2006/relationships/chart" Target="../charts/chart45.xml"/><Relationship Id="rId35" Type="http://schemas.openxmlformats.org/officeDocument/2006/relationships/chart" Target="../charts/chart50.xml"/><Relationship Id="rId43" Type="http://schemas.openxmlformats.org/officeDocument/2006/relationships/chart" Target="../charts/chart58.xml"/><Relationship Id="rId48" Type="http://schemas.openxmlformats.org/officeDocument/2006/relationships/chart" Target="../charts/chart63.xml"/><Relationship Id="rId56" Type="http://schemas.openxmlformats.org/officeDocument/2006/relationships/chart" Target="../charts/chart71.xml"/><Relationship Id="rId64" Type="http://schemas.openxmlformats.org/officeDocument/2006/relationships/chart" Target="../charts/chart79.xml"/><Relationship Id="rId8" Type="http://schemas.openxmlformats.org/officeDocument/2006/relationships/chart" Target="../charts/chart23.xml"/><Relationship Id="rId51" Type="http://schemas.openxmlformats.org/officeDocument/2006/relationships/chart" Target="../charts/chart66.xml"/><Relationship Id="rId3" Type="http://schemas.openxmlformats.org/officeDocument/2006/relationships/chart" Target="../charts/chart18.xml"/><Relationship Id="rId12" Type="http://schemas.openxmlformats.org/officeDocument/2006/relationships/chart" Target="../charts/chart27.xml"/><Relationship Id="rId17" Type="http://schemas.openxmlformats.org/officeDocument/2006/relationships/chart" Target="../charts/chart32.xml"/><Relationship Id="rId25" Type="http://schemas.openxmlformats.org/officeDocument/2006/relationships/chart" Target="../charts/chart40.xml"/><Relationship Id="rId33" Type="http://schemas.openxmlformats.org/officeDocument/2006/relationships/chart" Target="../charts/chart48.xml"/><Relationship Id="rId38" Type="http://schemas.openxmlformats.org/officeDocument/2006/relationships/chart" Target="../charts/chart53.xml"/><Relationship Id="rId46" Type="http://schemas.openxmlformats.org/officeDocument/2006/relationships/chart" Target="../charts/chart61.xml"/><Relationship Id="rId59" Type="http://schemas.openxmlformats.org/officeDocument/2006/relationships/chart" Target="../charts/chart74.xml"/><Relationship Id="rId67" Type="http://schemas.openxmlformats.org/officeDocument/2006/relationships/chart" Target="../charts/chart82.xml"/><Relationship Id="rId20" Type="http://schemas.openxmlformats.org/officeDocument/2006/relationships/chart" Target="../charts/chart35.xml"/><Relationship Id="rId41" Type="http://schemas.openxmlformats.org/officeDocument/2006/relationships/chart" Target="../charts/chart56.xml"/><Relationship Id="rId54" Type="http://schemas.openxmlformats.org/officeDocument/2006/relationships/chart" Target="../charts/chart69.xml"/><Relationship Id="rId62" Type="http://schemas.openxmlformats.org/officeDocument/2006/relationships/chart" Target="../charts/chart7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5" Type="http://schemas.openxmlformats.org/officeDocument/2006/relationships/chart" Target="../charts/chart30.xml"/><Relationship Id="rId23" Type="http://schemas.openxmlformats.org/officeDocument/2006/relationships/chart" Target="../charts/chart38.xml"/><Relationship Id="rId28" Type="http://schemas.openxmlformats.org/officeDocument/2006/relationships/chart" Target="../charts/chart43.xml"/><Relationship Id="rId36" Type="http://schemas.openxmlformats.org/officeDocument/2006/relationships/chart" Target="../charts/chart51.xml"/><Relationship Id="rId49" Type="http://schemas.openxmlformats.org/officeDocument/2006/relationships/chart" Target="../charts/chart64.xml"/><Relationship Id="rId57" Type="http://schemas.openxmlformats.org/officeDocument/2006/relationships/chart" Target="../charts/chart72.xml"/><Relationship Id="rId10" Type="http://schemas.openxmlformats.org/officeDocument/2006/relationships/chart" Target="../charts/chart25.xml"/><Relationship Id="rId31" Type="http://schemas.openxmlformats.org/officeDocument/2006/relationships/chart" Target="../charts/chart46.xml"/><Relationship Id="rId44" Type="http://schemas.openxmlformats.org/officeDocument/2006/relationships/chart" Target="../charts/chart59.xml"/><Relationship Id="rId52" Type="http://schemas.openxmlformats.org/officeDocument/2006/relationships/chart" Target="../charts/chart67.xml"/><Relationship Id="rId60" Type="http://schemas.openxmlformats.org/officeDocument/2006/relationships/chart" Target="../charts/chart75.xml"/><Relationship Id="rId65" Type="http://schemas.openxmlformats.org/officeDocument/2006/relationships/chart" Target="../charts/chart80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3" Type="http://schemas.openxmlformats.org/officeDocument/2006/relationships/chart" Target="../charts/chart28.xml"/><Relationship Id="rId18" Type="http://schemas.openxmlformats.org/officeDocument/2006/relationships/chart" Target="../charts/chart33.xml"/><Relationship Id="rId39" Type="http://schemas.openxmlformats.org/officeDocument/2006/relationships/chart" Target="../charts/chart5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10" Type="http://schemas.openxmlformats.org/officeDocument/2006/relationships/chart" Target="../charts/chart95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4" Type="http://schemas.openxmlformats.org/officeDocument/2006/relationships/chart" Target="../charts/chart10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1051560</xdr:colOff>
      <xdr:row>28</xdr:row>
      <xdr:rowOff>15240</xdr:rowOff>
    </xdr:from>
    <xdr:to>
      <xdr:col>2</xdr:col>
      <xdr:colOff>586740</xdr:colOff>
      <xdr:row>31</xdr:row>
      <xdr:rowOff>91440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A75927-A636-5148-E3E0-582261295A0F}"/>
            </a:ext>
          </a:extLst>
        </xdr:cNvPr>
        <xdr:cNvSpPr/>
      </xdr:nvSpPr>
      <xdr:spPr>
        <a:xfrm>
          <a:off x="1051560" y="4617720"/>
          <a:ext cx="1485900" cy="533400"/>
        </a:xfrm>
        <a:prstGeom prst="rect">
          <a:avLst/>
        </a:prstGeom>
        <a:ln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/>
            <a:t>Main model</a:t>
          </a:r>
        </a:p>
      </xdr:txBody>
    </xdr:sp>
    <xdr:clientData/>
  </xdr:twoCellAnchor>
  <xdr:twoCellAnchor>
    <xdr:from>
      <xdr:col>3</xdr:col>
      <xdr:colOff>426720</xdr:colOff>
      <xdr:row>28</xdr:row>
      <xdr:rowOff>7620</xdr:rowOff>
    </xdr:from>
    <xdr:to>
      <xdr:col>6</xdr:col>
      <xdr:colOff>83820</xdr:colOff>
      <xdr:row>31</xdr:row>
      <xdr:rowOff>83820</xdr:rowOff>
    </xdr:to>
    <xdr:sp macro="" textlink="">
      <xdr:nvSpPr>
        <xdr:cNvPr id="4" name="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FC30DC-C1C3-6FAD-1263-83AB5DF43AFD}"/>
            </a:ext>
          </a:extLst>
        </xdr:cNvPr>
        <xdr:cNvSpPr/>
      </xdr:nvSpPr>
      <xdr:spPr>
        <a:xfrm>
          <a:off x="2987040" y="4610100"/>
          <a:ext cx="1485900" cy="533400"/>
        </a:xfrm>
        <a:prstGeom prst="rect">
          <a:avLst/>
        </a:prstGeom>
        <a:ln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/>
            <a:t>Interims</a:t>
          </a:r>
        </a:p>
      </xdr:txBody>
    </xdr:sp>
    <xdr:clientData/>
  </xdr:twoCellAnchor>
  <xdr:twoCellAnchor>
    <xdr:from>
      <xdr:col>7</xdr:col>
      <xdr:colOff>30480</xdr:colOff>
      <xdr:row>28</xdr:row>
      <xdr:rowOff>0</xdr:rowOff>
    </xdr:from>
    <xdr:to>
      <xdr:col>9</xdr:col>
      <xdr:colOff>297180</xdr:colOff>
      <xdr:row>31</xdr:row>
      <xdr:rowOff>76200</xdr:rowOff>
    </xdr:to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1CDA21-A1C0-6255-2465-8A7E49DAE28C}"/>
            </a:ext>
          </a:extLst>
        </xdr:cNvPr>
        <xdr:cNvSpPr/>
      </xdr:nvSpPr>
      <xdr:spPr>
        <a:xfrm>
          <a:off x="5029200" y="4602480"/>
          <a:ext cx="1485900" cy="533400"/>
        </a:xfrm>
        <a:prstGeom prst="rect">
          <a:avLst/>
        </a:prstGeom>
        <a:ln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/>
            <a:t>Valuation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40438</xdr:colOff>
      <xdr:row>5</xdr:row>
      <xdr:rowOff>4330</xdr:rowOff>
    </xdr:to>
    <xdr:pic>
      <xdr:nvPicPr>
        <xdr:cNvPr id="6" name="Picture 5" descr="signature_53485845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6F45B2-C0FC-4FCE-BF0F-733B185E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11830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9526</xdr:colOff>
      <xdr:row>220</xdr:row>
      <xdr:rowOff>87311</xdr:rowOff>
    </xdr:from>
    <xdr:to>
      <xdr:col>74</xdr:col>
      <xdr:colOff>330201</xdr:colOff>
      <xdr:row>363</xdr:row>
      <xdr:rowOff>130173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6C9A9A-E6E3-4683-BFF3-6176D64662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587376</xdr:colOff>
      <xdr:row>359</xdr:row>
      <xdr:rowOff>7938</xdr:rowOff>
    </xdr:from>
    <xdr:to>
      <xdr:col>49</xdr:col>
      <xdr:colOff>0</xdr:colOff>
      <xdr:row>378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351F2C4-D900-45A6-8DBD-52F01915DF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64</xdr:col>
      <xdr:colOff>314325</xdr:colOff>
      <xdr:row>366</xdr:row>
      <xdr:rowOff>69850</xdr:rowOff>
    </xdr:from>
    <xdr:to>
      <xdr:col>69</xdr:col>
      <xdr:colOff>374651</xdr:colOff>
      <xdr:row>402</xdr:row>
      <xdr:rowOff>50797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B77D2AB-A13B-4D1A-B9C6-FFB253F561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71</xdr:col>
      <xdr:colOff>281780</xdr:colOff>
      <xdr:row>367</xdr:row>
      <xdr:rowOff>128586</xdr:rowOff>
    </xdr:from>
    <xdr:to>
      <xdr:col>77</xdr:col>
      <xdr:colOff>492125</xdr:colOff>
      <xdr:row>378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40DFEF9-F211-4490-9D4F-1F039DF387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246063</xdr:colOff>
      <xdr:row>343</xdr:row>
      <xdr:rowOff>0</xdr:rowOff>
    </xdr:from>
    <xdr:to>
      <xdr:col>56</xdr:col>
      <xdr:colOff>0</xdr:colOff>
      <xdr:row>361</xdr:row>
      <xdr:rowOff>2040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CA3C78DD-F960-4CB0-909C-03E0BD69B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285749</xdr:colOff>
      <xdr:row>378</xdr:row>
      <xdr:rowOff>0</xdr:rowOff>
    </xdr:from>
    <xdr:to>
      <xdr:col>48</xdr:col>
      <xdr:colOff>0</xdr:colOff>
      <xdr:row>409</xdr:row>
      <xdr:rowOff>55561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2A3D8306-0A92-43F1-94B4-1D6169857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50</xdr:col>
      <xdr:colOff>191838</xdr:colOff>
      <xdr:row>303</xdr:row>
      <xdr:rowOff>168639</xdr:rowOff>
    </xdr:from>
    <xdr:to>
      <xdr:col>57</xdr:col>
      <xdr:colOff>0</xdr:colOff>
      <xdr:row>342</xdr:row>
      <xdr:rowOff>96365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C1028B2-9F2E-880D-6AD0-EF835F842B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52</xdr:col>
      <xdr:colOff>477411</xdr:colOff>
      <xdr:row>74</xdr:row>
      <xdr:rowOff>162393</xdr:rowOff>
    </xdr:from>
    <xdr:to>
      <xdr:col>62</xdr:col>
      <xdr:colOff>141157</xdr:colOff>
      <xdr:row>104</xdr:row>
      <xdr:rowOff>27659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9B21A602-CDB0-FB8D-1FC8-51DCC51E21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590238</xdr:colOff>
      <xdr:row>261</xdr:row>
      <xdr:rowOff>149901</xdr:rowOff>
    </xdr:from>
    <xdr:to>
      <xdr:col>46</xdr:col>
      <xdr:colOff>621467</xdr:colOff>
      <xdr:row>279</xdr:row>
      <xdr:rowOff>149902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C35828-A7E5-53F7-74DA-D3A3AFEB71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40</xdr:col>
      <xdr:colOff>184254</xdr:colOff>
      <xdr:row>319</xdr:row>
      <xdr:rowOff>61834</xdr:rowOff>
    </xdr:from>
    <xdr:to>
      <xdr:col>47</xdr:col>
      <xdr:colOff>209237</xdr:colOff>
      <xdr:row>336</xdr:row>
      <xdr:rowOff>88067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428808-7D3C-1640-D7E3-3D96578122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265451</xdr:colOff>
      <xdr:row>100</xdr:row>
      <xdr:rowOff>18113</xdr:rowOff>
    </xdr:from>
    <xdr:to>
      <xdr:col>45</xdr:col>
      <xdr:colOff>302927</xdr:colOff>
      <xdr:row>120</xdr:row>
      <xdr:rowOff>44346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C2DF94E-59BB-1ACC-A1B7-912155C605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37</xdr:col>
      <xdr:colOff>196746</xdr:colOff>
      <xdr:row>125</xdr:row>
      <xdr:rowOff>64958</xdr:rowOff>
    </xdr:from>
    <xdr:to>
      <xdr:col>44</xdr:col>
      <xdr:colOff>240468</xdr:colOff>
      <xdr:row>141</xdr:row>
      <xdr:rowOff>91191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AF8CAB-9083-6304-AE8E-43FF4D937E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41</xdr:col>
      <xdr:colOff>418475</xdr:colOff>
      <xdr:row>74</xdr:row>
      <xdr:rowOff>49967</xdr:rowOff>
    </xdr:from>
    <xdr:to>
      <xdr:col>50</xdr:col>
      <xdr:colOff>631861</xdr:colOff>
      <xdr:row>103</xdr:row>
      <xdr:rowOff>96364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5CC01F4-BF9A-4BDE-B0B5-ED44110C7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40</xdr:col>
      <xdr:colOff>34353</xdr:colOff>
      <xdr:row>281</xdr:row>
      <xdr:rowOff>139908</xdr:rowOff>
    </xdr:from>
    <xdr:to>
      <xdr:col>47</xdr:col>
      <xdr:colOff>59336</xdr:colOff>
      <xdr:row>296</xdr:row>
      <xdr:rowOff>166141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3C48406-F4A6-E069-D7ED-5893F32AD6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50</xdr:col>
      <xdr:colOff>546515</xdr:colOff>
      <xdr:row>119</xdr:row>
      <xdr:rowOff>30604</xdr:rowOff>
    </xdr:from>
    <xdr:to>
      <xdr:col>59</xdr:col>
      <xdr:colOff>287311</xdr:colOff>
      <xdr:row>139</xdr:row>
      <xdr:rowOff>93688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CEB695-C095-2D99-7F2B-5D1457965A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439615</xdr:colOff>
      <xdr:row>118</xdr:row>
      <xdr:rowOff>13185</xdr:rowOff>
    </xdr:from>
    <xdr:to>
      <xdr:col>17</xdr:col>
      <xdr:colOff>598714</xdr:colOff>
      <xdr:row>138</xdr:row>
      <xdr:rowOff>175845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01D0D2-8FFF-480A-AFB4-22D49F953A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241787</xdr:colOff>
      <xdr:row>156</xdr:row>
      <xdr:rowOff>141515</xdr:rowOff>
    </xdr:from>
    <xdr:to>
      <xdr:col>15</xdr:col>
      <xdr:colOff>244929</xdr:colOff>
      <xdr:row>176</xdr:row>
      <xdr:rowOff>59872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D31FDD-290A-4E4A-AABE-D36E533E0F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446940</xdr:colOff>
      <xdr:row>44</xdr:row>
      <xdr:rowOff>64475</xdr:rowOff>
    </xdr:from>
    <xdr:to>
      <xdr:col>9</xdr:col>
      <xdr:colOff>175845</xdr:colOff>
      <xdr:row>59</xdr:row>
      <xdr:rowOff>161192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5F700B-1B61-44D1-A2D9-194D12DD5F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520211</xdr:colOff>
      <xdr:row>44</xdr:row>
      <xdr:rowOff>153866</xdr:rowOff>
    </xdr:from>
    <xdr:to>
      <xdr:col>15</xdr:col>
      <xdr:colOff>249115</xdr:colOff>
      <xdr:row>60</xdr:row>
      <xdr:rowOff>67411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AF8072-74DC-44D3-BA57-B6CF1CAA3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300404</xdr:colOff>
      <xdr:row>63</xdr:row>
      <xdr:rowOff>168520</xdr:rowOff>
    </xdr:from>
    <xdr:to>
      <xdr:col>9</xdr:col>
      <xdr:colOff>168519</xdr:colOff>
      <xdr:row>78</xdr:row>
      <xdr:rowOff>82064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6E2C269-8200-4576-AC19-AB13B8FF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64</xdr:row>
      <xdr:rowOff>0</xdr:rowOff>
    </xdr:from>
    <xdr:to>
      <xdr:col>15</xdr:col>
      <xdr:colOff>373674</xdr:colOff>
      <xdr:row>78</xdr:row>
      <xdr:rowOff>96717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CD92AF3-83A0-4281-B435-DD6A8E3A2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564173</xdr:colOff>
      <xdr:row>19</xdr:row>
      <xdr:rowOff>35168</xdr:rowOff>
    </xdr:from>
    <xdr:to>
      <xdr:col>10</xdr:col>
      <xdr:colOff>322385</xdr:colOff>
      <xdr:row>34</xdr:row>
      <xdr:rowOff>30772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CC91304-FF8F-4A06-951B-C3F64DD01B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512884</xdr:colOff>
      <xdr:row>193</xdr:row>
      <xdr:rowOff>20514</xdr:rowOff>
    </xdr:from>
    <xdr:to>
      <xdr:col>17</xdr:col>
      <xdr:colOff>402980</xdr:colOff>
      <xdr:row>208</xdr:row>
      <xdr:rowOff>95248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F6E9EE0-41B5-4C14-8D61-804778D874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157</xdr:row>
      <xdr:rowOff>-1</xdr:rowOff>
    </xdr:from>
    <xdr:to>
      <xdr:col>21</xdr:col>
      <xdr:colOff>542191</xdr:colOff>
      <xdr:row>173</xdr:row>
      <xdr:rowOff>131883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421E9ED-A840-4AE5-A97E-2B75B2B5E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227133</xdr:colOff>
      <xdr:row>210</xdr:row>
      <xdr:rowOff>174379</xdr:rowOff>
    </xdr:from>
    <xdr:to>
      <xdr:col>11</xdr:col>
      <xdr:colOff>380999</xdr:colOff>
      <xdr:row>227</xdr:row>
      <xdr:rowOff>169983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720C3E1-CE3E-4358-8C0F-81DAB40768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175</xdr:row>
      <xdr:rowOff>36634</xdr:rowOff>
    </xdr:from>
    <xdr:to>
      <xdr:col>22</xdr:col>
      <xdr:colOff>490904</xdr:colOff>
      <xdr:row>192</xdr:row>
      <xdr:rowOff>95249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18B74F7-3CE4-4696-8756-C9A4FC421C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21980</xdr:colOff>
      <xdr:row>237</xdr:row>
      <xdr:rowOff>95248</xdr:rowOff>
    </xdr:from>
    <xdr:to>
      <xdr:col>13</xdr:col>
      <xdr:colOff>80596</xdr:colOff>
      <xdr:row>249</xdr:row>
      <xdr:rowOff>87922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C7AB3E8-7B3F-48DD-879E-CB1BF96E92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168520</xdr:colOff>
      <xdr:row>258</xdr:row>
      <xdr:rowOff>123091</xdr:rowOff>
    </xdr:from>
    <xdr:to>
      <xdr:col>8</xdr:col>
      <xdr:colOff>205153</xdr:colOff>
      <xdr:row>273</xdr:row>
      <xdr:rowOff>118694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A2AFBDB-2ED6-450F-B29D-9A67FEC5A3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263769</xdr:colOff>
      <xdr:row>258</xdr:row>
      <xdr:rowOff>174380</xdr:rowOff>
    </xdr:from>
    <xdr:to>
      <xdr:col>15</xdr:col>
      <xdr:colOff>29307</xdr:colOff>
      <xdr:row>273</xdr:row>
      <xdr:rowOff>169983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64F6DE9-607B-4156-A922-906E537A60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476250</xdr:colOff>
      <xdr:row>269</xdr:row>
      <xdr:rowOff>130417</xdr:rowOff>
    </xdr:from>
    <xdr:to>
      <xdr:col>21</xdr:col>
      <xdr:colOff>249115</xdr:colOff>
      <xdr:row>286</xdr:row>
      <xdr:rowOff>14652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BAD544-B309-47C7-9E82-1875D5EFB4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0</xdr:colOff>
      <xdr:row>270</xdr:row>
      <xdr:rowOff>0</xdr:rowOff>
    </xdr:from>
    <xdr:to>
      <xdr:col>27</xdr:col>
      <xdr:colOff>417634</xdr:colOff>
      <xdr:row>286</xdr:row>
      <xdr:rowOff>67407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927921-A1FA-4D44-BEC5-7F54AB4FD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703385</xdr:colOff>
      <xdr:row>288</xdr:row>
      <xdr:rowOff>79130</xdr:rowOff>
    </xdr:from>
    <xdr:to>
      <xdr:col>9</xdr:col>
      <xdr:colOff>315057</xdr:colOff>
      <xdr:row>305</xdr:row>
      <xdr:rowOff>95249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D3FE141-9348-4B1B-99AE-E108543D8B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410307</xdr:colOff>
      <xdr:row>308</xdr:row>
      <xdr:rowOff>35167</xdr:rowOff>
    </xdr:from>
    <xdr:to>
      <xdr:col>12</xdr:col>
      <xdr:colOff>498230</xdr:colOff>
      <xdr:row>323</xdr:row>
      <xdr:rowOff>175845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C0E45F4-920C-4C12-9752-B332AC4AB5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49823</xdr:colOff>
      <xdr:row>406</xdr:row>
      <xdr:rowOff>11722</xdr:rowOff>
    </xdr:from>
    <xdr:to>
      <xdr:col>18</xdr:col>
      <xdr:colOff>621323</xdr:colOff>
      <xdr:row>425</xdr:row>
      <xdr:rowOff>29305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8D9A7F8-C5B4-46D7-9172-B243C34E48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43962</xdr:colOff>
      <xdr:row>427</xdr:row>
      <xdr:rowOff>82062</xdr:rowOff>
    </xdr:from>
    <xdr:to>
      <xdr:col>23</xdr:col>
      <xdr:colOff>143608</xdr:colOff>
      <xdr:row>450</xdr:row>
      <xdr:rowOff>99646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CC446-4073-4D02-9291-24873379E0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483577</xdr:colOff>
      <xdr:row>463</xdr:row>
      <xdr:rowOff>35169</xdr:rowOff>
    </xdr:from>
    <xdr:to>
      <xdr:col>16</xdr:col>
      <xdr:colOff>498231</xdr:colOff>
      <xdr:row>480</xdr:row>
      <xdr:rowOff>140677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EC129A2A-4522-4A56-B4CC-FFD0BEF571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152399</xdr:colOff>
      <xdr:row>482</xdr:row>
      <xdr:rowOff>152400</xdr:rowOff>
    </xdr:from>
    <xdr:to>
      <xdr:col>16</xdr:col>
      <xdr:colOff>498230</xdr:colOff>
      <xdr:row>500</xdr:row>
      <xdr:rowOff>123092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0BA196-C9AF-463B-9D5C-453E81E8D1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54429</xdr:colOff>
      <xdr:row>530</xdr:row>
      <xdr:rowOff>5442</xdr:rowOff>
    </xdr:from>
    <xdr:to>
      <xdr:col>15</xdr:col>
      <xdr:colOff>495300</xdr:colOff>
      <xdr:row>550</xdr:row>
      <xdr:rowOff>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B7C8A52-3924-4918-BEA6-8EB31F3FB2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615043</xdr:colOff>
      <xdr:row>551</xdr:row>
      <xdr:rowOff>81643</xdr:rowOff>
    </xdr:from>
    <xdr:to>
      <xdr:col>15</xdr:col>
      <xdr:colOff>533400</xdr:colOff>
      <xdr:row>568</xdr:row>
      <xdr:rowOff>32657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9456CD58-E931-4C30-A88F-EB783278D6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174171</xdr:colOff>
      <xdr:row>551</xdr:row>
      <xdr:rowOff>160564</xdr:rowOff>
    </xdr:from>
    <xdr:to>
      <xdr:col>22</xdr:col>
      <xdr:colOff>408215</xdr:colOff>
      <xdr:row>569</xdr:row>
      <xdr:rowOff>97970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76F9820A-B422-4524-AF91-884114E1A4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157842</xdr:colOff>
      <xdr:row>580</xdr:row>
      <xdr:rowOff>136072</xdr:rowOff>
    </xdr:from>
    <xdr:to>
      <xdr:col>12</xdr:col>
      <xdr:colOff>598715</xdr:colOff>
      <xdr:row>597</xdr:row>
      <xdr:rowOff>97971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DA5B90AC-09C0-444E-8324-133EC20BC8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97971</xdr:colOff>
      <xdr:row>600</xdr:row>
      <xdr:rowOff>32656</xdr:rowOff>
    </xdr:from>
    <xdr:to>
      <xdr:col>11</xdr:col>
      <xdr:colOff>419101</xdr:colOff>
      <xdr:row>615</xdr:row>
      <xdr:rowOff>130628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678AED1-32CE-41FE-BC49-935909CCD3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</xdr:col>
      <xdr:colOff>440870</xdr:colOff>
      <xdr:row>647</xdr:row>
      <xdr:rowOff>32657</xdr:rowOff>
    </xdr:from>
    <xdr:to>
      <xdr:col>12</xdr:col>
      <xdr:colOff>97971</xdr:colOff>
      <xdr:row>666</xdr:row>
      <xdr:rowOff>136071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8BF2E336-DD19-468C-A111-4298F20CAE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462643</xdr:colOff>
      <xdr:row>699</xdr:row>
      <xdr:rowOff>97970</xdr:rowOff>
    </xdr:from>
    <xdr:to>
      <xdr:col>10</xdr:col>
      <xdr:colOff>386443</xdr:colOff>
      <xdr:row>723</xdr:row>
      <xdr:rowOff>65314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6043C7AE-57C5-406D-89B5-297488CD6A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632012</xdr:colOff>
      <xdr:row>700</xdr:row>
      <xdr:rowOff>0</xdr:rowOff>
    </xdr:from>
    <xdr:to>
      <xdr:col>20</xdr:col>
      <xdr:colOff>45465</xdr:colOff>
      <xdr:row>723</xdr:row>
      <xdr:rowOff>152401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7EA2114-B4B9-47FD-B29C-5B0804F87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520899</xdr:colOff>
      <xdr:row>730</xdr:row>
      <xdr:rowOff>60125</xdr:rowOff>
    </xdr:from>
    <xdr:to>
      <xdr:col>16</xdr:col>
      <xdr:colOff>500063</xdr:colOff>
      <xdr:row>750</xdr:row>
      <xdr:rowOff>89297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81739613-8F6C-4050-A1B5-3928CA04F9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294680</xdr:colOff>
      <xdr:row>770</xdr:row>
      <xdr:rowOff>42266</xdr:rowOff>
    </xdr:from>
    <xdr:to>
      <xdr:col>9</xdr:col>
      <xdr:colOff>166688</xdr:colOff>
      <xdr:row>787</xdr:row>
      <xdr:rowOff>101203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2D0F2308-9468-43A1-B9B2-ED79A140F4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0</xdr:colOff>
      <xdr:row>770</xdr:row>
      <xdr:rowOff>0</xdr:rowOff>
    </xdr:from>
    <xdr:to>
      <xdr:col>16</xdr:col>
      <xdr:colOff>639961</xdr:colOff>
      <xdr:row>787</xdr:row>
      <xdr:rowOff>58937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1031E4DF-1133-4744-BCF8-648242941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2559843</xdr:colOff>
      <xdr:row>793</xdr:row>
      <xdr:rowOff>89891</xdr:rowOff>
    </xdr:from>
    <xdr:to>
      <xdr:col>7</xdr:col>
      <xdr:colOff>113109</xdr:colOff>
      <xdr:row>810</xdr:row>
      <xdr:rowOff>35717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E36AC579-DDA0-AE86-9B79-3E76917772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0</xdr:colOff>
      <xdr:row>794</xdr:row>
      <xdr:rowOff>0</xdr:rowOff>
    </xdr:from>
    <xdr:to>
      <xdr:col>14</xdr:col>
      <xdr:colOff>476251</xdr:colOff>
      <xdr:row>810</xdr:row>
      <xdr:rowOff>130373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346EE8AB-111B-4AC1-89C0-E6426D627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617130</xdr:colOff>
      <xdr:row>828</xdr:row>
      <xdr:rowOff>156574</xdr:rowOff>
    </xdr:from>
    <xdr:to>
      <xdr:col>9</xdr:col>
      <xdr:colOff>597082</xdr:colOff>
      <xdr:row>845</xdr:row>
      <xdr:rowOff>164555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861601C1-8224-23DC-2452-0E70115CD4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15</xdr:col>
      <xdr:colOff>501831</xdr:colOff>
      <xdr:row>838</xdr:row>
      <xdr:rowOff>23041</xdr:rowOff>
    </xdr:from>
    <xdr:to>
      <xdr:col>24</xdr:col>
      <xdr:colOff>38100</xdr:colOff>
      <xdr:row>859</xdr:row>
      <xdr:rowOff>48985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FBA91E2D-EF29-7A61-9F04-18F7234F54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409938</xdr:colOff>
      <xdr:row>988</xdr:row>
      <xdr:rowOff>81643</xdr:rowOff>
    </xdr:from>
    <xdr:to>
      <xdr:col>21</xdr:col>
      <xdr:colOff>202020</xdr:colOff>
      <xdr:row>1006</xdr:row>
      <xdr:rowOff>152399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AA2A673A-25FD-0B18-7DA4-B68652E64F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507275</xdr:colOff>
      <xdr:row>1016</xdr:row>
      <xdr:rowOff>75565</xdr:rowOff>
    </xdr:from>
    <xdr:to>
      <xdr:col>8</xdr:col>
      <xdr:colOff>419099</xdr:colOff>
      <xdr:row>1036</xdr:row>
      <xdr:rowOff>53793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1117A55A-DD0B-5E4E-629F-BC0F88507C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1689193</xdr:colOff>
      <xdr:row>1038</xdr:row>
      <xdr:rowOff>81487</xdr:rowOff>
    </xdr:from>
    <xdr:to>
      <xdr:col>12</xdr:col>
      <xdr:colOff>76200</xdr:colOff>
      <xdr:row>1055</xdr:row>
      <xdr:rowOff>27643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ABCDB1D2-0300-4121-A2B9-B1A9B67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5444</xdr:colOff>
      <xdr:row>1060</xdr:row>
      <xdr:rowOff>125186</xdr:rowOff>
    </xdr:from>
    <xdr:to>
      <xdr:col>15</xdr:col>
      <xdr:colOff>555173</xdr:colOff>
      <xdr:row>1078</xdr:row>
      <xdr:rowOff>32657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D8842C30-58B4-CC95-89CA-13B6605600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576942</xdr:colOff>
      <xdr:row>1082</xdr:row>
      <xdr:rowOff>0</xdr:rowOff>
    </xdr:from>
    <xdr:to>
      <xdr:col>10</xdr:col>
      <xdr:colOff>582384</xdr:colOff>
      <xdr:row>1101</xdr:row>
      <xdr:rowOff>146957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D6536E18-AFD8-49CA-9DA0-C806E3DB7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190500</xdr:colOff>
      <xdr:row>1107</xdr:row>
      <xdr:rowOff>179615</xdr:rowOff>
    </xdr:from>
    <xdr:to>
      <xdr:col>19</xdr:col>
      <xdr:colOff>266700</xdr:colOff>
      <xdr:row>1124</xdr:row>
      <xdr:rowOff>48985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4FAD8473-10A8-CBE8-39F3-ED26FB6041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342900</xdr:colOff>
      <xdr:row>1127</xdr:row>
      <xdr:rowOff>97971</xdr:rowOff>
    </xdr:from>
    <xdr:to>
      <xdr:col>16</xdr:col>
      <xdr:colOff>489858</xdr:colOff>
      <xdr:row>1142</xdr:row>
      <xdr:rowOff>65314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2484FB80-7997-ED9A-5D6E-789A504D25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27213</xdr:colOff>
      <xdr:row>1153</xdr:row>
      <xdr:rowOff>10886</xdr:rowOff>
    </xdr:from>
    <xdr:to>
      <xdr:col>18</xdr:col>
      <xdr:colOff>310242</xdr:colOff>
      <xdr:row>1170</xdr:row>
      <xdr:rowOff>48986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E855670E-51E8-0DD4-6248-C30F0F3C5D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337457</xdr:colOff>
      <xdr:row>1199</xdr:row>
      <xdr:rowOff>144236</xdr:rowOff>
    </xdr:from>
    <xdr:to>
      <xdr:col>10</xdr:col>
      <xdr:colOff>337457</xdr:colOff>
      <xdr:row>1214</xdr:row>
      <xdr:rowOff>111579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CFB6F874-731B-B972-D26C-AE5A5F4DD5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15</xdr:col>
      <xdr:colOff>375557</xdr:colOff>
      <xdr:row>1207</xdr:row>
      <xdr:rowOff>76199</xdr:rowOff>
    </xdr:from>
    <xdr:to>
      <xdr:col>22</xdr:col>
      <xdr:colOff>576942</xdr:colOff>
      <xdr:row>1229</xdr:row>
      <xdr:rowOff>48985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13282417-EABF-C625-BA34-120D6387FD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0</xdr:colOff>
      <xdr:row>1171</xdr:row>
      <xdr:rowOff>179614</xdr:rowOff>
    </xdr:from>
    <xdr:to>
      <xdr:col>18</xdr:col>
      <xdr:colOff>283029</xdr:colOff>
      <xdr:row>1189</xdr:row>
      <xdr:rowOff>32656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B1D8D0D1-C4CB-44F3-BF93-5D49FD614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20</xdr:col>
      <xdr:colOff>440871</xdr:colOff>
      <xdr:row>1242</xdr:row>
      <xdr:rowOff>114300</xdr:rowOff>
    </xdr:from>
    <xdr:to>
      <xdr:col>26</xdr:col>
      <xdr:colOff>179613</xdr:colOff>
      <xdr:row>1258</xdr:row>
      <xdr:rowOff>76200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6E813E-CDBA-99A1-9B83-23E31FDAC6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97971</xdr:colOff>
      <xdr:row>1277</xdr:row>
      <xdr:rowOff>54429</xdr:rowOff>
    </xdr:from>
    <xdr:to>
      <xdr:col>17</xdr:col>
      <xdr:colOff>174171</xdr:colOff>
      <xdr:row>1292</xdr:row>
      <xdr:rowOff>21771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BDBA38F5-F15F-49E5-EB56-C9314BFD5B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370114</xdr:colOff>
      <xdr:row>1291</xdr:row>
      <xdr:rowOff>108858</xdr:rowOff>
    </xdr:from>
    <xdr:to>
      <xdr:col>10</xdr:col>
      <xdr:colOff>370114</xdr:colOff>
      <xdr:row>1306</xdr:row>
      <xdr:rowOff>76200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9C6B5B97-3A70-9D1A-B445-06308D6DC9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</xdr:col>
      <xdr:colOff>566057</xdr:colOff>
      <xdr:row>1320</xdr:row>
      <xdr:rowOff>62593</xdr:rowOff>
    </xdr:from>
    <xdr:to>
      <xdr:col>11</xdr:col>
      <xdr:colOff>495300</xdr:colOff>
      <xdr:row>1334</xdr:row>
      <xdr:rowOff>138793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6C2ECBB7-BF94-5C20-0C57-F58B0F16FF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</xdr:col>
      <xdr:colOff>141515</xdr:colOff>
      <xdr:row>1348</xdr:row>
      <xdr:rowOff>35378</xdr:rowOff>
    </xdr:from>
    <xdr:to>
      <xdr:col>12</xdr:col>
      <xdr:colOff>571501</xdr:colOff>
      <xdr:row>1363</xdr:row>
      <xdr:rowOff>2721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132DB75A-32F8-61AE-EF39-59E45AD8A3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16</xdr:col>
      <xdr:colOff>76198</xdr:colOff>
      <xdr:row>1357</xdr:row>
      <xdr:rowOff>81643</xdr:rowOff>
    </xdr:from>
    <xdr:to>
      <xdr:col>24</xdr:col>
      <xdr:colOff>21772</xdr:colOff>
      <xdr:row>1378</xdr:row>
      <xdr:rowOff>10887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76C99DF1-16BC-189A-AC81-048789D2BB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16</xdr:col>
      <xdr:colOff>359229</xdr:colOff>
      <xdr:row>1383</xdr:row>
      <xdr:rowOff>108856</xdr:rowOff>
    </xdr:from>
    <xdr:to>
      <xdr:col>23</xdr:col>
      <xdr:colOff>435429</xdr:colOff>
      <xdr:row>1398</xdr:row>
      <xdr:rowOff>76199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F1571771-4F2F-B425-D62E-14809A49F4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272144</xdr:colOff>
      <xdr:row>1418</xdr:row>
      <xdr:rowOff>166007</xdr:rowOff>
    </xdr:from>
    <xdr:to>
      <xdr:col>14</xdr:col>
      <xdr:colOff>560615</xdr:colOff>
      <xdr:row>1433</xdr:row>
      <xdr:rowOff>133350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5A90995D-DD7D-014B-C31C-2603FE72EC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</xdr:col>
      <xdr:colOff>87086</xdr:colOff>
      <xdr:row>1435</xdr:row>
      <xdr:rowOff>144236</xdr:rowOff>
    </xdr:from>
    <xdr:to>
      <xdr:col>13</xdr:col>
      <xdr:colOff>446314</xdr:colOff>
      <xdr:row>1450</xdr:row>
      <xdr:rowOff>111578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3982FC82-BEC1-955C-97F1-29C997ECB5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21772</xdr:colOff>
      <xdr:row>1454</xdr:row>
      <xdr:rowOff>24492</xdr:rowOff>
    </xdr:from>
    <xdr:to>
      <xdr:col>17</xdr:col>
      <xdr:colOff>239486</xdr:colOff>
      <xdr:row>1472</xdr:row>
      <xdr:rowOff>32656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5D98B32A-31B1-89AE-2E1B-62E9EF6332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15</xdr:col>
      <xdr:colOff>407217</xdr:colOff>
      <xdr:row>1536</xdr:row>
      <xdr:rowOff>4808</xdr:rowOff>
    </xdr:from>
    <xdr:to>
      <xdr:col>23</xdr:col>
      <xdr:colOff>332014</xdr:colOff>
      <xdr:row>1554</xdr:row>
      <xdr:rowOff>30571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2CD90C28-EC47-98C8-34C4-4D3FC1E670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404679</xdr:colOff>
      <xdr:row>1561</xdr:row>
      <xdr:rowOff>165371</xdr:rowOff>
    </xdr:from>
    <xdr:to>
      <xdr:col>10</xdr:col>
      <xdr:colOff>59873</xdr:colOff>
      <xdr:row>1578</xdr:row>
      <xdr:rowOff>163286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5D092E1-5BEC-96CA-71E8-2D96D89A93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198483</xdr:colOff>
      <xdr:row>1569</xdr:row>
      <xdr:rowOff>125821</xdr:rowOff>
    </xdr:from>
    <xdr:to>
      <xdr:col>20</xdr:col>
      <xdr:colOff>54428</xdr:colOff>
      <xdr:row>1590</xdr:row>
      <xdr:rowOff>119743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FD07A31B-81FC-6BA3-8084-2BE2E96F8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</xdr:col>
      <xdr:colOff>234043</xdr:colOff>
      <xdr:row>1596</xdr:row>
      <xdr:rowOff>141514</xdr:rowOff>
    </xdr:from>
    <xdr:to>
      <xdr:col>13</xdr:col>
      <xdr:colOff>593272</xdr:colOff>
      <xdr:row>1611</xdr:row>
      <xdr:rowOff>108856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C015C625-0CF7-3A5F-C6DE-54B9A24A3A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</xdr:col>
      <xdr:colOff>0</xdr:colOff>
      <xdr:row>1613</xdr:row>
      <xdr:rowOff>0</xdr:rowOff>
    </xdr:from>
    <xdr:to>
      <xdr:col>14</xdr:col>
      <xdr:colOff>288472</xdr:colOff>
      <xdr:row>1627</xdr:row>
      <xdr:rowOff>152400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66CB133-B40B-4FCA-84A5-E27390365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2160815</xdr:colOff>
      <xdr:row>1700</xdr:row>
      <xdr:rowOff>133351</xdr:rowOff>
    </xdr:from>
    <xdr:to>
      <xdr:col>9</xdr:col>
      <xdr:colOff>353785</xdr:colOff>
      <xdr:row>1718</xdr:row>
      <xdr:rowOff>97972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5BBC4FCF-743C-D1DC-22F3-EFAAD6D8F3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1701</xdr:row>
      <xdr:rowOff>0</xdr:rowOff>
    </xdr:from>
    <xdr:to>
      <xdr:col>17</xdr:col>
      <xdr:colOff>457200</xdr:colOff>
      <xdr:row>1718</xdr:row>
      <xdr:rowOff>149679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0F64BF2F-B883-4643-89E8-087E48325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3320143</xdr:colOff>
      <xdr:row>1727</xdr:row>
      <xdr:rowOff>141514</xdr:rowOff>
    </xdr:from>
    <xdr:to>
      <xdr:col>9</xdr:col>
      <xdr:colOff>255814</xdr:colOff>
      <xdr:row>1742</xdr:row>
      <xdr:rowOff>108857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6348A275-715E-2253-60A5-0E6147A12C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3238500</xdr:colOff>
      <xdr:row>1758</xdr:row>
      <xdr:rowOff>24493</xdr:rowOff>
    </xdr:from>
    <xdr:to>
      <xdr:col>9</xdr:col>
      <xdr:colOff>174171</xdr:colOff>
      <xdr:row>1772</xdr:row>
      <xdr:rowOff>176893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C95AC0DC-0B72-E770-9FF3-13D7F8E505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45</xdr:row>
      <xdr:rowOff>0</xdr:rowOff>
    </xdr:from>
    <xdr:to>
      <xdr:col>28</xdr:col>
      <xdr:colOff>28015</xdr:colOff>
      <xdr:row>64</xdr:row>
      <xdr:rowOff>127748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1400BB-1337-48E2-9CB4-DE512FD2C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243728</xdr:colOff>
      <xdr:row>29</xdr:row>
      <xdr:rowOff>3922</xdr:rowOff>
    </xdr:from>
    <xdr:to>
      <xdr:col>33</xdr:col>
      <xdr:colOff>554692</xdr:colOff>
      <xdr:row>49</xdr:row>
      <xdr:rowOff>156884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C9714C-20CF-A436-E4C0-3FB6B241A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602316</xdr:colOff>
      <xdr:row>2</xdr:row>
      <xdr:rowOff>132790</xdr:rowOff>
    </xdr:from>
    <xdr:to>
      <xdr:col>32</xdr:col>
      <xdr:colOff>610719</xdr:colOff>
      <xdr:row>27</xdr:row>
      <xdr:rowOff>102534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E9F7ED-DC39-2D2E-C276-B657DFD6F9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771527</xdr:colOff>
      <xdr:row>42</xdr:row>
      <xdr:rowOff>71437</xdr:rowOff>
    </xdr:from>
    <xdr:to>
      <xdr:col>8</xdr:col>
      <xdr:colOff>300038</xdr:colOff>
      <xdr:row>64</xdr:row>
      <xdr:rowOff>90488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4D3C82-E3D8-4949-9F34-A78B96C49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-1</xdr:colOff>
      <xdr:row>38</xdr:row>
      <xdr:rowOff>0</xdr:rowOff>
    </xdr:from>
    <xdr:to>
      <xdr:col>20</xdr:col>
      <xdr:colOff>261936</xdr:colOff>
      <xdr:row>58</xdr:row>
      <xdr:rowOff>120810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D049DF-C2EC-408B-BE17-B59CFBBC9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39</xdr:row>
      <xdr:rowOff>119063</xdr:rowOff>
    </xdr:from>
    <xdr:to>
      <xdr:col>29</xdr:col>
      <xdr:colOff>195400</xdr:colOff>
      <xdr:row>60</xdr:row>
      <xdr:rowOff>19186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C654423-FC70-4254-9FB1-AC3B3165F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20454</xdr:colOff>
      <xdr:row>64</xdr:row>
      <xdr:rowOff>18269</xdr:rowOff>
    </xdr:from>
    <xdr:to>
      <xdr:col>9</xdr:col>
      <xdr:colOff>199868</xdr:colOff>
      <xdr:row>85</xdr:row>
      <xdr:rowOff>32557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26AF2D7-CEE0-41E6-B54A-D327DA6FB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63</xdr:row>
      <xdr:rowOff>130969</xdr:rowOff>
    </xdr:from>
    <xdr:to>
      <xdr:col>19</xdr:col>
      <xdr:colOff>624591</xdr:colOff>
      <xdr:row>83</xdr:row>
      <xdr:rowOff>89332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5557E09-6D5B-492C-8A86-7DE6D75E9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433387</xdr:colOff>
      <xdr:row>82</xdr:row>
      <xdr:rowOff>128587</xdr:rowOff>
    </xdr:from>
    <xdr:to>
      <xdr:col>5</xdr:col>
      <xdr:colOff>510268</xdr:colOff>
      <xdr:row>101</xdr:row>
      <xdr:rowOff>114752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0BF056-5E3F-4462-9808-24AF0484D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105</xdr:row>
      <xdr:rowOff>61913</xdr:rowOff>
    </xdr:from>
    <xdr:to>
      <xdr:col>6</xdr:col>
      <xdr:colOff>352425</xdr:colOff>
      <xdr:row>125</xdr:row>
      <xdr:rowOff>151492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85A7DD-8FCE-416A-ABF4-6D1835CFB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401001</xdr:colOff>
      <xdr:row>90</xdr:row>
      <xdr:rowOff>11907</xdr:rowOff>
    </xdr:from>
    <xdr:to>
      <xdr:col>29</xdr:col>
      <xdr:colOff>643327</xdr:colOff>
      <xdr:row>110</xdr:row>
      <xdr:rowOff>109106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D7F21-A362-4C88-9FB3-6D1302947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498872</xdr:colOff>
      <xdr:row>137</xdr:row>
      <xdr:rowOff>114300</xdr:rowOff>
    </xdr:from>
    <xdr:to>
      <xdr:col>15</xdr:col>
      <xdr:colOff>390525</xdr:colOff>
      <xdr:row>153</xdr:row>
      <xdr:rowOff>33337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8FBE819-7DE4-5F79-5403-A187B495B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563164</xdr:colOff>
      <xdr:row>153</xdr:row>
      <xdr:rowOff>88106</xdr:rowOff>
    </xdr:from>
    <xdr:to>
      <xdr:col>16</xdr:col>
      <xdr:colOff>480934</xdr:colOff>
      <xdr:row>168</xdr:row>
      <xdr:rowOff>174884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652EEE-C2AD-3294-945C-B1B5005B11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148630</xdr:colOff>
      <xdr:row>160</xdr:row>
      <xdr:rowOff>108092</xdr:rowOff>
    </xdr:from>
    <xdr:to>
      <xdr:col>28</xdr:col>
      <xdr:colOff>443458</xdr:colOff>
      <xdr:row>182</xdr:row>
      <xdr:rowOff>93688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8344F2A0-224C-EC36-AF24-FABFE15CF4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314325</xdr:colOff>
      <xdr:row>182</xdr:row>
      <xdr:rowOff>38100</xdr:rowOff>
    </xdr:from>
    <xdr:to>
      <xdr:col>14</xdr:col>
      <xdr:colOff>276225</xdr:colOff>
      <xdr:row>197</xdr:row>
      <xdr:rowOff>66675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F703C74-21D2-62D7-EFEB-615EF35B95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331737</xdr:colOff>
      <xdr:row>198</xdr:row>
      <xdr:rowOff>11633</xdr:rowOff>
    </xdr:from>
    <xdr:to>
      <xdr:col>21</xdr:col>
      <xdr:colOff>56213</xdr:colOff>
      <xdr:row>215</xdr:row>
      <xdr:rowOff>68704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A18AAB1-6BFE-2319-A964-97344B0C67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149902</xdr:colOff>
      <xdr:row>232</xdr:row>
      <xdr:rowOff>64956</xdr:rowOff>
    </xdr:from>
    <xdr:to>
      <xdr:col>19</xdr:col>
      <xdr:colOff>218606</xdr:colOff>
      <xdr:row>250</xdr:row>
      <xdr:rowOff>124917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831E6952-A109-A601-6514-8591D04AC3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252</xdr:row>
      <xdr:rowOff>0</xdr:rowOff>
    </xdr:from>
    <xdr:to>
      <xdr:col>19</xdr:col>
      <xdr:colOff>605852</xdr:colOff>
      <xdr:row>270</xdr:row>
      <xdr:rowOff>72452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1319932-6CCB-46EE-BEB4-B800DA276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2851254</xdr:colOff>
      <xdr:row>255</xdr:row>
      <xdr:rowOff>21237</xdr:rowOff>
    </xdr:from>
    <xdr:to>
      <xdr:col>8</xdr:col>
      <xdr:colOff>71828</xdr:colOff>
      <xdr:row>270</xdr:row>
      <xdr:rowOff>47470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A02AB52-58E0-BAED-883E-084FA973AF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617452</xdr:colOff>
      <xdr:row>27</xdr:row>
      <xdr:rowOff>65506</xdr:rowOff>
    </xdr:from>
    <xdr:to>
      <xdr:col>46</xdr:col>
      <xdr:colOff>627478</xdr:colOff>
      <xdr:row>42</xdr:row>
      <xdr:rowOff>51469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E5EEF4B-F961-4A10-902B-4EDF118541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617453</xdr:colOff>
      <xdr:row>9</xdr:row>
      <xdr:rowOff>65505</xdr:rowOff>
    </xdr:from>
    <xdr:to>
      <xdr:col>46</xdr:col>
      <xdr:colOff>627479</xdr:colOff>
      <xdr:row>24</xdr:row>
      <xdr:rowOff>51468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FD98BD-0557-4710-8940-3F18756914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216398</xdr:colOff>
      <xdr:row>45</xdr:row>
      <xdr:rowOff>15372</xdr:rowOff>
    </xdr:from>
    <xdr:to>
      <xdr:col>47</xdr:col>
      <xdr:colOff>576511</xdr:colOff>
      <xdr:row>64</xdr:row>
      <xdr:rowOff>83552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49253EF-941C-43ED-8E50-312A5D08F3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603410</xdr:colOff>
      <xdr:row>88</xdr:row>
      <xdr:rowOff>130969</xdr:rowOff>
    </xdr:from>
    <xdr:to>
      <xdr:col>47</xdr:col>
      <xdr:colOff>571500</xdr:colOff>
      <xdr:row>106</xdr:row>
      <xdr:rowOff>107156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9D4A88A-6F39-4C72-B2AD-35A09848A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dcfil02\CHQ_users\ghorn00\My%20Documents\VoIP%20Model\Cisco%20VoIP%20Model%20v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3\common\CORPACCT\Financial%20Reporting\SEC\FORM10-Q\2004\3Q%202004\Corporate\workpapers\Debt%20Report%209-30-2004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jsv002\user%20folder2\Accounting\&#20104;&#23455;&#38306;&#36899;\_FY05&#20104;&#23455;\_Package\&#20840;&#31038;&#65381;&#37096;&#21029;&#22522;&#30990;Data&#21152;&#24037;&#20966;&#29702;_&#26368;&#26032;&#2925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ELECOMS/STOCKS/EMEA/Latam/Brazil/Stone/Model/Current/STNE_Q1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LECOMS/STOCKS/ASIA%20(ex-Japan)%20Internet/Tech%20analyser%20v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jsv002\user%20folder2\Planning\FLASH%20SUMMARY\050912%20Flash%20Daily%20Report\Back%20Up&#29992;\Back%20Up&#29992;\EMM%20%20&#23455;&#32318;Revi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ble\finance\TAX51A\COBB\EXCEL\CASHFLOW\2005\1st%20Qtr%202005\FAS%20115%20Tax%201Q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jsv002\user%20folder2\Accounting\&#20104;&#23455;&#38306;&#36899;\_FY06&#20104;&#23455;\_Reporting\_&#12381;&#12398;&#20182;BS&#12539;CF&#12539;Inventory\&#12381;&#12398;&#20182;&#12524;&#12509;&#12540;&#12488;&#12501;&#12449;&#12452;&#12523;-&#26368;&#26032;&#2925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ble\corp-dfs\Financial%20Planning\REPORTING\2016\1Q16\Below%20the%20Line\Support\Net_IncomeBridge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ble\Documents%20and%20Settings\PurvisR\Local%20Settings\Temporary%20Internet%20Files\OLK7F\Documents%20and%20Settings\PreeceS\Local%20Settings\Temporary%20Internet%20Files\OLK22\Overhead%20Consolidation%20December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jsv002\user%20folder2\Accounting\&#20104;&#23455;&#38306;&#36899;\_FY04&#20104;&#23455;\_&#12381;&#12398;&#20182;\200405&#35211;&#36796;&#12415;&#123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jsv002\user%20folder2\Accounting\&#20104;&#23455;&#38306;&#36899;\_FY06&#20104;&#23455;\_Reporting\_PL&#38306;&#36899;\FY06_&#37096;&#38263;&#20250;&#29992;&#36039;&#26009;&#20316;&#25104;&#65420;&#65383;&#65394;&#65433;-&#26368;&#26032;&#2925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pment"/>
      <sheetName val="Model"/>
      <sheetName val="Financial Statements"/>
      <sheetName val="Capex"/>
      <sheetName val="Capex Input"/>
      <sheetName val="Results"/>
      <sheetName val="BTS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Debt Roll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ﾃﾞｰﾀ加工(MTD)"/>
      <sheetName val="ﾃﾞｰﾀ加工(YTD)"/>
    </sheet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ster"/>
      <sheetName val="Valuation"/>
      <sheetName val="Quarts"/>
      <sheetName val="Snaps"/>
      <sheetName val="STNE Estimates"/>
      <sheetName val="Stone 4Q21"/>
      <sheetName val="Acquirer"/>
      <sheetName val="Software"/>
      <sheetName val="Financial services"/>
      <sheetName val="Banking"/>
      <sheetName val="Banking_Soft"/>
      <sheetName val="Notes"/>
      <sheetName val="Analysis"/>
      <sheetName val="Summary"/>
      <sheetName val="Summary 2 - Comps"/>
      <sheetName val="Consensus"/>
      <sheetName val="Mo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910">
          <cell r="C910">
            <v>2022</v>
          </cell>
          <cell r="D910">
            <v>2023</v>
          </cell>
          <cell r="E910">
            <v>2024</v>
          </cell>
          <cell r="F910">
            <v>2025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TOW"/>
      <sheetName val="MELI"/>
      <sheetName val="BAI"/>
      <sheetName val="TC"/>
      <sheetName val="QH"/>
      <sheetName val="REN"/>
      <sheetName val="SINA"/>
      <sheetName val="WB"/>
      <sheetName val="CA"/>
      <sheetName val="DNA"/>
      <sheetName val="GR"/>
      <sheetName val="NEX"/>
      <sheetName val="RAK"/>
      <sheetName val="YJP"/>
      <sheetName val="BTOW1"/>
      <sheetName val="MELI1"/>
      <sheetName val="BAI1"/>
      <sheetName val="TC1"/>
      <sheetName val="QH1"/>
      <sheetName val="REN1"/>
      <sheetName val="SINA1"/>
      <sheetName val="WB1"/>
      <sheetName val="CA1"/>
      <sheetName val="DNA1"/>
      <sheetName val="GR1"/>
      <sheetName val="NEX1"/>
      <sheetName val="RAK1"/>
      <sheetName val="YJP1"/>
      <sheetName val="Global comps"/>
      <sheetName val="Consensus data"/>
      <sheetName val="Share prices"/>
    </sheetNames>
    <sheetDataSet>
      <sheetData sheetId="0">
        <row r="84">
          <cell r="C84">
            <v>1.52207</v>
          </cell>
        </row>
        <row r="86">
          <cell r="C86">
            <v>2.2357999999999998</v>
          </cell>
        </row>
        <row r="87">
          <cell r="C87">
            <v>99.71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1">
          <cell r="C41">
            <v>0.39643310566492568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FY 2nd Hafl Latest Estimate"/>
      <sheetName val="WeeklyData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Cost Report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_ID"/>
      <sheetName val="★ﾒﾆｭｰ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d"/>
      <sheetName val="Ref"/>
      <sheetName val="WaterFall_Pr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Z"/>
      <sheetName val="BEN"/>
      <sheetName val="BRA"/>
      <sheetName val="CE"/>
      <sheetName val="FRA"/>
      <sheetName val="ITA"/>
      <sheetName val="JPN"/>
      <sheetName val="KOR"/>
      <sheetName val="MEX"/>
      <sheetName val="NOR"/>
      <sheetName val="SPA"/>
      <sheetName val="UK"/>
      <sheetName val="UPIBV"/>
      <sheetName val="UPIO"/>
      <sheetName val="UP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礎ﾃﾞｰﾀ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statista.com/statistics/675371/ownership-of-credit-cards-globally-by-country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A53A6-1EA2-471B-B827-54AE9E75CE48}">
  <dimension ref="A8:AU39"/>
  <sheetViews>
    <sheetView showGridLines="0" tabSelected="1" topLeftCell="A8" zoomScale="88" zoomScaleNormal="100" workbookViewId="0">
      <selection activeCell="B11" sqref="B11"/>
    </sheetView>
  </sheetViews>
  <sheetFormatPr defaultColWidth="8.89453125" defaultRowHeight="11.7" x14ac:dyDescent="0.45"/>
  <cols>
    <col min="1" max="1" width="15.41796875" style="316" customWidth="1"/>
    <col min="2" max="2" width="13" style="316" customWidth="1"/>
    <col min="3" max="9" width="8.89453125" style="316"/>
    <col min="10" max="10" width="9.89453125" style="316" bestFit="1" customWidth="1"/>
    <col min="11" max="12" width="8.89453125" style="316"/>
    <col min="13" max="13" width="10.68359375" style="316" bestFit="1" customWidth="1"/>
    <col min="14" max="20" width="8.89453125" style="316"/>
    <col min="21" max="21" width="7.41796875" style="316" bestFit="1" customWidth="1"/>
    <col min="22" max="16384" width="8.89453125" style="316"/>
  </cols>
  <sheetData>
    <row r="8" spans="1:20" ht="13.2" thickBot="1" x14ac:dyDescent="0.55000000000000004">
      <c r="A8" s="314"/>
      <c r="B8" s="315"/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</row>
    <row r="9" spans="1:20" x14ac:dyDescent="0.45">
      <c r="A9" s="317"/>
      <c r="B9" s="317"/>
      <c r="C9" s="317"/>
      <c r="D9" s="317"/>
      <c r="E9" s="317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</row>
    <row r="10" spans="1:20" x14ac:dyDescent="0.45">
      <c r="A10" s="317"/>
      <c r="B10" s="317"/>
      <c r="C10" s="317"/>
      <c r="D10" s="317"/>
      <c r="E10" s="317"/>
      <c r="F10" s="317"/>
      <c r="G10" s="317"/>
      <c r="H10" s="317"/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</row>
    <row r="11" spans="1:20" x14ac:dyDescent="0.45">
      <c r="A11" s="317"/>
      <c r="B11" s="317"/>
      <c r="C11" s="317"/>
      <c r="D11" s="317"/>
      <c r="E11" s="317"/>
      <c r="F11" s="317"/>
      <c r="G11" s="317"/>
      <c r="H11" s="317"/>
      <c r="I11" s="317"/>
      <c r="J11" s="317"/>
      <c r="K11" s="317"/>
      <c r="L11" s="317"/>
      <c r="M11" s="317"/>
      <c r="N11" s="317"/>
      <c r="O11" s="317"/>
      <c r="P11" s="317"/>
      <c r="Q11" s="317"/>
      <c r="R11" s="317"/>
      <c r="S11" s="317"/>
      <c r="T11" s="317"/>
    </row>
    <row r="12" spans="1:20" x14ac:dyDescent="0.45">
      <c r="A12" s="317"/>
      <c r="B12" s="317"/>
      <c r="C12" s="317"/>
      <c r="D12" s="317"/>
      <c r="E12" s="317"/>
      <c r="F12" s="317"/>
      <c r="G12" s="317"/>
      <c r="H12" s="317"/>
      <c r="I12" s="317"/>
      <c r="J12" s="317"/>
      <c r="K12" s="317"/>
      <c r="L12" s="317"/>
      <c r="M12" s="317"/>
      <c r="N12" s="317"/>
      <c r="O12" s="317"/>
      <c r="P12" s="317"/>
      <c r="Q12" s="317"/>
      <c r="R12" s="317"/>
      <c r="S12" s="317"/>
      <c r="T12" s="317"/>
    </row>
    <row r="13" spans="1:20" ht="23.1" x14ac:dyDescent="0.85">
      <c r="A13" s="317"/>
      <c r="B13" s="318" t="s">
        <v>1452</v>
      </c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  <c r="Q13" s="317"/>
      <c r="R13" s="317"/>
      <c r="S13" s="317"/>
      <c r="T13" s="317"/>
    </row>
    <row r="14" spans="1:20" x14ac:dyDescent="0.45">
      <c r="A14" s="317"/>
      <c r="B14" s="317"/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7"/>
      <c r="R14" s="317"/>
      <c r="S14" s="317"/>
      <c r="T14" s="317"/>
    </row>
    <row r="15" spans="1:20" x14ac:dyDescent="0.45">
      <c r="A15" s="317"/>
      <c r="B15" s="317"/>
      <c r="C15" s="317"/>
      <c r="D15" s="317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</row>
    <row r="16" spans="1:20" x14ac:dyDescent="0.45">
      <c r="A16" s="317"/>
      <c r="B16" s="319">
        <f ca="1">+TODAY()</f>
        <v>45368</v>
      </c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7"/>
      <c r="R16" s="317"/>
      <c r="S16" s="317"/>
      <c r="T16" s="317"/>
    </row>
    <row r="17" spans="1:47" ht="12.9" x14ac:dyDescent="0.5">
      <c r="A17" s="317"/>
      <c r="B17" s="320"/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</row>
    <row r="18" spans="1:47" ht="12.9" x14ac:dyDescent="0.5">
      <c r="A18" s="317"/>
      <c r="B18" s="320"/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21"/>
      <c r="V18" s="321"/>
      <c r="W18" s="321"/>
      <c r="X18" s="321"/>
      <c r="Y18" s="321"/>
      <c r="Z18" s="321"/>
      <c r="AA18" s="321"/>
      <c r="AB18" s="321"/>
      <c r="AC18" s="321"/>
      <c r="AD18" s="321"/>
      <c r="AE18" s="321"/>
      <c r="AF18" s="321"/>
      <c r="AG18" s="321"/>
      <c r="AH18" s="321"/>
      <c r="AI18" s="321"/>
      <c r="AJ18" s="321"/>
      <c r="AK18" s="321"/>
      <c r="AL18" s="321"/>
      <c r="AM18" s="321"/>
      <c r="AN18" s="321"/>
      <c r="AO18" s="321"/>
      <c r="AP18" s="321"/>
      <c r="AQ18" s="321"/>
      <c r="AR18" s="321"/>
      <c r="AS18" s="321"/>
      <c r="AT18" s="321"/>
      <c r="AU18" s="321"/>
    </row>
    <row r="19" spans="1:47" ht="12.9" x14ac:dyDescent="0.5">
      <c r="A19" s="317"/>
      <c r="B19" s="322" t="s">
        <v>1447</v>
      </c>
      <c r="C19" s="317"/>
      <c r="D19" s="317"/>
      <c r="E19" s="317"/>
      <c r="F19" s="317"/>
      <c r="G19" s="317"/>
      <c r="H19" s="323"/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21"/>
      <c r="V19" s="321"/>
    </row>
    <row r="20" spans="1:47" ht="12.9" x14ac:dyDescent="0.5">
      <c r="A20" s="317"/>
      <c r="B20" s="324" t="s">
        <v>935</v>
      </c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17"/>
      <c r="Q20" s="317"/>
      <c r="R20" s="321"/>
      <c r="S20" s="321"/>
      <c r="T20" s="321"/>
      <c r="U20" s="321"/>
      <c r="V20" s="321"/>
    </row>
    <row r="21" spans="1:47" ht="12.9" x14ac:dyDescent="0.5">
      <c r="A21" s="317"/>
      <c r="B21" s="325" t="s">
        <v>1448</v>
      </c>
      <c r="C21" s="326"/>
      <c r="D21" s="326"/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</row>
    <row r="22" spans="1:47" ht="12.9" x14ac:dyDescent="0.5">
      <c r="A22" s="317"/>
      <c r="B22" s="320" t="s">
        <v>1449</v>
      </c>
      <c r="C22" s="326"/>
      <c r="D22" s="326"/>
      <c r="E22" s="317"/>
      <c r="F22" s="317"/>
      <c r="G22" s="317"/>
      <c r="H22" s="317"/>
      <c r="I22" s="317"/>
      <c r="J22" s="317"/>
      <c r="K22" s="317"/>
      <c r="L22" s="317"/>
      <c r="M22" s="317"/>
      <c r="N22" s="317"/>
      <c r="O22" s="317"/>
      <c r="P22" s="317"/>
      <c r="Q22" s="317"/>
      <c r="R22" s="317"/>
      <c r="S22" s="317"/>
      <c r="T22" s="317"/>
    </row>
    <row r="23" spans="1:47" ht="12.9" x14ac:dyDescent="0.5">
      <c r="A23" s="317"/>
      <c r="B23" s="320"/>
      <c r="C23" s="326"/>
      <c r="D23" s="326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7"/>
      <c r="R23" s="317"/>
      <c r="S23" s="317"/>
      <c r="T23" s="317"/>
    </row>
    <row r="24" spans="1:47" x14ac:dyDescent="0.45">
      <c r="A24" s="317"/>
      <c r="B24" s="327"/>
      <c r="C24" s="326"/>
      <c r="D24" s="326"/>
      <c r="E24" s="317"/>
      <c r="F24" s="317"/>
      <c r="G24" s="317"/>
      <c r="H24" s="317"/>
      <c r="I24" s="317"/>
      <c r="J24" s="328"/>
      <c r="K24" s="317"/>
      <c r="L24" s="317"/>
      <c r="M24" s="317"/>
      <c r="N24" s="317"/>
      <c r="O24" s="317"/>
      <c r="P24" s="317"/>
      <c r="Q24" s="317"/>
      <c r="R24" s="317"/>
      <c r="S24" s="317"/>
      <c r="T24" s="317"/>
    </row>
    <row r="25" spans="1:47" x14ac:dyDescent="0.45">
      <c r="A25" s="317"/>
      <c r="B25" s="326" t="s">
        <v>1450</v>
      </c>
      <c r="C25" s="329" t="s">
        <v>4</v>
      </c>
      <c r="D25" s="317"/>
      <c r="E25" s="317"/>
      <c r="F25" s="317"/>
      <c r="G25" s="317"/>
      <c r="H25" s="317"/>
      <c r="I25" s="317"/>
      <c r="J25" s="317"/>
      <c r="K25" s="317"/>
      <c r="L25" s="317"/>
      <c r="M25" s="328"/>
      <c r="N25" s="317"/>
      <c r="O25" s="317"/>
      <c r="P25" s="317"/>
      <c r="Q25" s="317"/>
      <c r="R25" s="317"/>
      <c r="S25" s="317"/>
      <c r="T25" s="317"/>
    </row>
    <row r="26" spans="1:47" x14ac:dyDescent="0.45">
      <c r="A26" s="317"/>
      <c r="B26" s="326" t="s">
        <v>940</v>
      </c>
      <c r="C26" s="329" t="s">
        <v>1084</v>
      </c>
      <c r="D26" s="317"/>
      <c r="E26" s="317"/>
      <c r="F26" s="317"/>
      <c r="G26" s="317"/>
      <c r="H26" s="317"/>
      <c r="I26" s="317"/>
      <c r="J26" s="317"/>
      <c r="K26" s="317"/>
      <c r="L26" s="317"/>
      <c r="M26" s="328"/>
      <c r="N26" s="317"/>
      <c r="O26" s="317"/>
      <c r="P26" s="317"/>
      <c r="Q26" s="317"/>
      <c r="R26" s="317"/>
      <c r="S26" s="317"/>
      <c r="T26" s="317"/>
    </row>
    <row r="27" spans="1:47" x14ac:dyDescent="0.45">
      <c r="A27" s="317"/>
      <c r="B27" s="326" t="s">
        <v>1451</v>
      </c>
      <c r="C27" s="330">
        <v>18</v>
      </c>
      <c r="D27" s="323"/>
      <c r="E27" s="323"/>
      <c r="F27" s="317"/>
      <c r="G27" s="317"/>
      <c r="H27" s="317"/>
      <c r="I27" s="317"/>
      <c r="J27" s="317"/>
      <c r="K27" s="317"/>
      <c r="L27" s="317"/>
      <c r="M27" s="317"/>
      <c r="N27" s="317"/>
      <c r="O27" s="317"/>
      <c r="P27" s="317"/>
      <c r="Q27" s="317"/>
      <c r="R27" s="317"/>
      <c r="S27" s="317"/>
      <c r="T27" s="317"/>
    </row>
    <row r="28" spans="1:47" x14ac:dyDescent="0.45">
      <c r="A28" s="317"/>
      <c r="B28" s="326"/>
      <c r="C28" s="331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P28" s="317"/>
      <c r="Q28" s="317"/>
      <c r="R28" s="317"/>
      <c r="S28" s="317"/>
      <c r="T28" s="317"/>
    </row>
    <row r="29" spans="1:47" x14ac:dyDescent="0.45">
      <c r="A29" s="317"/>
      <c r="B29" s="326"/>
      <c r="C29" s="331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P29" s="317"/>
      <c r="Q29" s="317"/>
      <c r="R29" s="317"/>
      <c r="S29" s="317"/>
      <c r="T29" s="317"/>
    </row>
    <row r="30" spans="1:47" x14ac:dyDescent="0.45">
      <c r="A30" s="317"/>
      <c r="B30" s="326"/>
      <c r="C30" s="331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</row>
    <row r="31" spans="1:47" x14ac:dyDescent="0.45">
      <c r="A31" s="317"/>
      <c r="B31" s="317"/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</row>
    <row r="32" spans="1:47" x14ac:dyDescent="0.45">
      <c r="A32" s="317"/>
      <c r="B32" s="317"/>
      <c r="C32" s="317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</row>
    <row r="33" spans="1:20" x14ac:dyDescent="0.45">
      <c r="A33" s="317"/>
      <c r="B33" s="317"/>
      <c r="C33" s="317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7"/>
    </row>
    <row r="34" spans="1:20" x14ac:dyDescent="0.45">
      <c r="A34" s="317"/>
      <c r="B34" s="317"/>
      <c r="C34" s="317"/>
      <c r="D34" s="317"/>
      <c r="E34" s="317"/>
      <c r="F34" s="317"/>
      <c r="G34" s="317"/>
      <c r="H34" s="317"/>
      <c r="I34" s="317"/>
      <c r="J34" s="317"/>
      <c r="K34" s="317"/>
      <c r="L34" s="317"/>
      <c r="M34" s="317"/>
      <c r="N34" s="317"/>
      <c r="O34" s="317"/>
      <c r="P34" s="317"/>
      <c r="Q34" s="317"/>
      <c r="R34" s="317"/>
      <c r="S34" s="317"/>
      <c r="T34" s="317"/>
    </row>
    <row r="35" spans="1:20" x14ac:dyDescent="0.45">
      <c r="A35" s="317"/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7"/>
      <c r="N35" s="317"/>
      <c r="O35" s="317"/>
      <c r="P35" s="317"/>
      <c r="Q35" s="317"/>
      <c r="R35" s="317"/>
      <c r="S35" s="317"/>
      <c r="T35" s="317"/>
    </row>
    <row r="36" spans="1:20" x14ac:dyDescent="0.45">
      <c r="A36" s="317"/>
      <c r="B36" s="317"/>
      <c r="C36" s="317"/>
      <c r="D36" s="317"/>
      <c r="E36" s="317"/>
      <c r="F36" s="317"/>
      <c r="G36" s="317"/>
      <c r="H36" s="317"/>
      <c r="I36" s="317"/>
      <c r="J36" s="317"/>
      <c r="K36" s="317"/>
      <c r="L36" s="317"/>
      <c r="M36" s="317"/>
      <c r="N36" s="317"/>
      <c r="O36" s="317"/>
      <c r="P36" s="317"/>
      <c r="Q36" s="317"/>
      <c r="R36" s="317"/>
      <c r="S36" s="317"/>
      <c r="T36" s="317"/>
    </row>
    <row r="37" spans="1:20" x14ac:dyDescent="0.45">
      <c r="A37" s="317"/>
      <c r="B37" s="317"/>
      <c r="C37" s="317"/>
      <c r="D37" s="317"/>
      <c r="E37" s="317"/>
      <c r="F37" s="317"/>
      <c r="G37" s="317"/>
      <c r="H37" s="317"/>
      <c r="I37" s="317"/>
      <c r="J37" s="317"/>
      <c r="K37" s="317"/>
      <c r="L37" s="317"/>
      <c r="M37" s="317"/>
      <c r="N37" s="317"/>
      <c r="O37" s="317"/>
      <c r="P37" s="317"/>
      <c r="Q37" s="317"/>
      <c r="R37" s="317"/>
      <c r="S37" s="317"/>
      <c r="T37" s="317"/>
    </row>
    <row r="38" spans="1:20" x14ac:dyDescent="0.45">
      <c r="A38" s="317"/>
      <c r="B38" s="317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</row>
    <row r="39" spans="1:20" ht="12" thickBot="1" x14ac:dyDescent="0.5">
      <c r="A39" s="315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3951F-4233-4409-A7BF-87AF701224AB}">
  <dimension ref="B1:X250"/>
  <sheetViews>
    <sheetView showGridLines="0" zoomScale="61" zoomScaleNormal="80" workbookViewId="0">
      <selection activeCell="L20" sqref="L20"/>
    </sheetView>
  </sheetViews>
  <sheetFormatPr defaultColWidth="8.89453125" defaultRowHeight="14.4" x14ac:dyDescent="0.55000000000000004"/>
  <cols>
    <col min="1" max="1" width="8.89453125" style="108"/>
    <col min="2" max="2" width="35.1015625" style="108" customWidth="1"/>
    <col min="3" max="9" width="8.9453125" style="108" customWidth="1"/>
    <col min="10" max="10" width="8.89453125" style="108" customWidth="1"/>
    <col min="11" max="12" width="8.89453125" style="108"/>
    <col min="13" max="13" width="9" style="108" customWidth="1"/>
    <col min="14" max="14" width="11.1015625" style="108" bestFit="1" customWidth="1"/>
    <col min="15" max="15" width="8.1015625" style="108" bestFit="1" customWidth="1"/>
    <col min="16" max="16384" width="8.89453125" style="108"/>
  </cols>
  <sheetData>
    <row r="1" spans="2:16" ht="14.7" thickBot="1" x14ac:dyDescent="0.6"/>
    <row r="2" spans="2:16" x14ac:dyDescent="0.55000000000000004">
      <c r="B2" s="564"/>
      <c r="D2" s="564"/>
      <c r="E2" s="564"/>
      <c r="F2" s="564"/>
      <c r="J2" s="616"/>
      <c r="K2" s="617" t="s">
        <v>463</v>
      </c>
      <c r="L2" s="617" t="s">
        <v>1090</v>
      </c>
      <c r="M2" s="390" t="s">
        <v>463</v>
      </c>
      <c r="P2" s="574"/>
    </row>
    <row r="3" spans="2:16" ht="15.3" x14ac:dyDescent="0.55000000000000004">
      <c r="B3" s="568" t="s">
        <v>496</v>
      </c>
      <c r="C3" s="618" t="s">
        <v>1874</v>
      </c>
      <c r="D3" s="618" t="s">
        <v>2137</v>
      </c>
      <c r="E3" s="618" t="s">
        <v>2341</v>
      </c>
      <c r="F3" s="618" t="s">
        <v>2509</v>
      </c>
      <c r="G3" s="618" t="s">
        <v>2658</v>
      </c>
      <c r="H3" s="618" t="s">
        <v>2735</v>
      </c>
      <c r="I3" s="618" t="s">
        <v>2939</v>
      </c>
      <c r="J3" s="619" t="s">
        <v>3258</v>
      </c>
      <c r="K3" s="620" t="s">
        <v>2123</v>
      </c>
      <c r="L3" s="620" t="s">
        <v>2123</v>
      </c>
      <c r="M3" s="618" t="s">
        <v>3266</v>
      </c>
      <c r="P3" s="588" t="s">
        <v>1271</v>
      </c>
    </row>
    <row r="4" spans="2:16" ht="15.3" x14ac:dyDescent="0.55000000000000004">
      <c r="B4" s="621" t="s">
        <v>294</v>
      </c>
      <c r="C4" s="622">
        <f>Quarts!W9</f>
        <v>3427</v>
      </c>
      <c r="D4" s="622">
        <f>Quarts!X9</f>
        <v>3910.558</v>
      </c>
      <c r="E4" s="622">
        <f>Quarts!Y9</f>
        <v>4035</v>
      </c>
      <c r="F4" s="622">
        <f>Quarts!Z9</f>
        <v>3962</v>
      </c>
      <c r="G4" s="622">
        <f>Quarts!AA9</f>
        <v>3750</v>
      </c>
      <c r="H4" s="622">
        <f>Quarts!AB9</f>
        <v>3826</v>
      </c>
      <c r="I4" s="622">
        <f>Quarts!AC9</f>
        <v>4026</v>
      </c>
      <c r="J4" s="623">
        <f>Quarts!AD9</f>
        <v>4347</v>
      </c>
      <c r="K4" s="624" t="e">
        <f>Quarts!#REF!</f>
        <v>#REF!</v>
      </c>
      <c r="L4" s="624">
        <v>4073</v>
      </c>
      <c r="M4" s="625" t="e">
        <f>J4/K4-1</f>
        <v>#REF!</v>
      </c>
      <c r="P4" s="575">
        <f>I4/J4-1</f>
        <v>-7.3844030365769475E-2</v>
      </c>
    </row>
    <row r="5" spans="2:16" ht="15.3" x14ac:dyDescent="0.55000000000000004">
      <c r="B5" s="564" t="s">
        <v>1098</v>
      </c>
      <c r="C5" s="565">
        <f t="shared" ref="C5:K5" si="0">C4-C24</f>
        <v>3094.4342130559412</v>
      </c>
      <c r="D5" s="565">
        <f t="shared" si="0"/>
        <v>3566.7955285090852</v>
      </c>
      <c r="E5" s="565">
        <f t="shared" si="0"/>
        <v>3659.2343184586371</v>
      </c>
      <c r="F5" s="565">
        <f t="shared" si="0"/>
        <v>3600.2065981327146</v>
      </c>
      <c r="G5" s="565">
        <f t="shared" si="0"/>
        <v>3419.4027333997865</v>
      </c>
      <c r="H5" s="565">
        <f t="shared" si="0"/>
        <v>3583</v>
      </c>
      <c r="I5" s="565">
        <f t="shared" si="0"/>
        <v>3766</v>
      </c>
      <c r="J5" s="626">
        <f t="shared" si="0"/>
        <v>4094.1</v>
      </c>
      <c r="K5" s="627" t="e">
        <f t="shared" si="0"/>
        <v>#REF!</v>
      </c>
      <c r="L5" s="627"/>
      <c r="M5" s="570"/>
      <c r="P5" s="572">
        <f>I5/J5-1</f>
        <v>-8.013971324589042E-2</v>
      </c>
    </row>
    <row r="6" spans="2:16" ht="15.3" x14ac:dyDescent="0.55000000000000004">
      <c r="B6" s="628" t="s">
        <v>1881</v>
      </c>
      <c r="C6" s="629">
        <f t="shared" ref="C6:K6" si="1">-(C4-C7)</f>
        <v>-1230</v>
      </c>
      <c r="D6" s="629">
        <f t="shared" si="1"/>
        <v>-1365</v>
      </c>
      <c r="E6" s="629">
        <f t="shared" si="1"/>
        <v>-1379</v>
      </c>
      <c r="F6" s="629">
        <f t="shared" si="1"/>
        <v>-1412</v>
      </c>
      <c r="G6" s="629">
        <f t="shared" si="1"/>
        <v>-1338.17849682</v>
      </c>
      <c r="H6" s="629">
        <f t="shared" si="1"/>
        <v>-1357.0185106399999</v>
      </c>
      <c r="I6" s="629">
        <f t="shared" si="1"/>
        <v>-1449.9760000000001</v>
      </c>
      <c r="J6" s="630">
        <f t="shared" si="1"/>
        <v>-1629.49450424</v>
      </c>
      <c r="K6" s="631" t="e">
        <f t="shared" si="1"/>
        <v>#REF!</v>
      </c>
      <c r="L6" s="631"/>
      <c r="M6" s="632"/>
      <c r="P6" s="575">
        <f>I6/J6-1</f>
        <v>-0.11016821705926994</v>
      </c>
    </row>
    <row r="7" spans="2:16" ht="15.3" x14ac:dyDescent="0.55000000000000004">
      <c r="B7" s="633" t="s">
        <v>1094</v>
      </c>
      <c r="C7" s="634">
        <f>Quarts!W13</f>
        <v>2197</v>
      </c>
      <c r="D7" s="634">
        <f>Quarts!X13</f>
        <v>2545.558</v>
      </c>
      <c r="E7" s="634">
        <f>Quarts!Y13</f>
        <v>2656</v>
      </c>
      <c r="F7" s="634">
        <f>Quarts!Z13</f>
        <v>2550</v>
      </c>
      <c r="G7" s="634">
        <f>Quarts!AA13</f>
        <v>2411.82150318</v>
      </c>
      <c r="H7" s="634">
        <f>Quarts!AB13</f>
        <v>2468.9814893600001</v>
      </c>
      <c r="I7" s="634">
        <f>Quarts!AC13</f>
        <v>2576.0239999999999</v>
      </c>
      <c r="J7" s="635">
        <f>Quarts!AD13</f>
        <v>2717.50549576</v>
      </c>
      <c r="K7" s="636" t="e">
        <f>Quarts!#REF!</f>
        <v>#REF!</v>
      </c>
      <c r="L7" s="636"/>
      <c r="M7" s="637" t="e">
        <f>J7/K7-1</f>
        <v>#REF!</v>
      </c>
      <c r="P7" s="576">
        <f>I7/J7-1</f>
        <v>-5.206300262529262E-2</v>
      </c>
    </row>
    <row r="8" spans="2:16" ht="15.3" x14ac:dyDescent="0.55000000000000004">
      <c r="B8" s="628"/>
      <c r="C8" s="629"/>
      <c r="D8" s="629"/>
      <c r="E8" s="629"/>
      <c r="F8" s="629"/>
      <c r="G8" s="629"/>
      <c r="H8" s="629"/>
      <c r="I8" s="629"/>
      <c r="J8" s="630"/>
      <c r="K8" s="631"/>
      <c r="L8" s="631"/>
      <c r="M8" s="632"/>
      <c r="P8" s="575"/>
    </row>
    <row r="9" spans="2:16" ht="15.3" x14ac:dyDescent="0.55000000000000004">
      <c r="B9" s="564" t="s">
        <v>942</v>
      </c>
      <c r="C9" s="565">
        <f>Quarts!W163</f>
        <v>80100</v>
      </c>
      <c r="D9" s="565">
        <f>Quarts!X163</f>
        <v>89200</v>
      </c>
      <c r="E9" s="565">
        <f>Quarts!Y163</f>
        <v>90300</v>
      </c>
      <c r="F9" s="565">
        <f>Quarts!Z163</f>
        <v>94300</v>
      </c>
      <c r="G9" s="565">
        <f>Quarts!AA163</f>
        <v>88100</v>
      </c>
      <c r="H9" s="565">
        <f>Quarts!AB163</f>
        <v>92700</v>
      </c>
      <c r="I9" s="565">
        <f>Quarts!AC163</f>
        <v>99836</v>
      </c>
      <c r="J9" s="626">
        <f>Quarts!AD163</f>
        <v>114000</v>
      </c>
      <c r="K9" s="627" t="e">
        <f>Quarts!#REF!</f>
        <v>#REF!</v>
      </c>
      <c r="L9" s="627">
        <v>107522</v>
      </c>
      <c r="M9" s="570" t="e">
        <f>J9/K9-1</f>
        <v>#REF!</v>
      </c>
      <c r="P9" s="572">
        <f>I9/J9-1</f>
        <v>-0.12424561403508771</v>
      </c>
    </row>
    <row r="10" spans="2:16" ht="15.3" x14ac:dyDescent="0.55000000000000004">
      <c r="B10" s="628" t="s">
        <v>1166</v>
      </c>
      <c r="C10" s="629">
        <f>Quarts!W162</f>
        <v>152200</v>
      </c>
      <c r="D10" s="629">
        <f>Quarts!X162</f>
        <v>174700</v>
      </c>
      <c r="E10" s="629">
        <f>Quarts!Y162</f>
        <v>195400</v>
      </c>
      <c r="F10" s="629">
        <f>Quarts!Z162</f>
        <v>209100</v>
      </c>
      <c r="G10" s="629">
        <f>Quarts!AA162</f>
        <v>204100</v>
      </c>
      <c r="H10" s="629">
        <f>Quarts!AB162</f>
        <v>220400</v>
      </c>
      <c r="I10" s="629">
        <f>Quarts!AC162</f>
        <v>243691</v>
      </c>
      <c r="J10" s="630">
        <f>Quarts!AD162</f>
        <v>280600</v>
      </c>
      <c r="K10" s="631" t="e">
        <f>Quarts!#REF!</f>
        <v>#REF!</v>
      </c>
      <c r="L10" s="631"/>
      <c r="M10" s="632"/>
      <c r="P10" s="575"/>
    </row>
    <row r="11" spans="2:16" ht="15.3" x14ac:dyDescent="0.55000000000000004">
      <c r="B11" s="564" t="s">
        <v>1167</v>
      </c>
      <c r="C11" s="565">
        <f>Quarts!W160</f>
        <v>7701.6943500000007</v>
      </c>
      <c r="D11" s="565">
        <f>Quarts!X160</f>
        <v>7500</v>
      </c>
      <c r="E11" s="565">
        <f>Quarts!Y160</f>
        <v>7300</v>
      </c>
      <c r="F11" s="565">
        <f>Quarts!Z160</f>
        <v>7100</v>
      </c>
      <c r="G11" s="565">
        <f>Quarts!AA160</f>
        <v>6900</v>
      </c>
      <c r="H11" s="565">
        <f>Quarts!AB160</f>
        <v>6800</v>
      </c>
      <c r="I11" s="565">
        <f>Quarts!AC160</f>
        <v>6700</v>
      </c>
      <c r="J11" s="626">
        <f>Quarts!AD160</f>
        <v>6500</v>
      </c>
      <c r="K11" s="627" t="e">
        <f>Quarts!#REF!</f>
        <v>#REF!</v>
      </c>
      <c r="L11" s="627"/>
      <c r="M11" s="570"/>
      <c r="P11" s="572">
        <f>I11/J11-1</f>
        <v>3.076923076923066E-2</v>
      </c>
    </row>
    <row r="12" spans="2:16" ht="15.3" x14ac:dyDescent="0.55000000000000004">
      <c r="B12" s="628"/>
      <c r="C12" s="629"/>
      <c r="D12" s="629"/>
      <c r="E12" s="629"/>
      <c r="F12" s="629"/>
      <c r="G12" s="629"/>
      <c r="H12" s="629"/>
      <c r="I12" s="629"/>
      <c r="J12" s="630"/>
      <c r="K12" s="631"/>
      <c r="L12" s="631"/>
      <c r="M12" s="632"/>
      <c r="P12" s="575"/>
    </row>
    <row r="13" spans="2:16" ht="15.3" x14ac:dyDescent="0.55000000000000004">
      <c r="B13" s="638" t="s">
        <v>251</v>
      </c>
      <c r="C13" s="565"/>
      <c r="D13" s="565"/>
      <c r="E13" s="565"/>
      <c r="F13" s="565"/>
      <c r="G13" s="565"/>
      <c r="H13" s="565"/>
      <c r="I13" s="565"/>
      <c r="J13" s="626"/>
      <c r="K13" s="627"/>
      <c r="L13" s="627"/>
      <c r="M13" s="570"/>
      <c r="P13" s="572"/>
    </row>
    <row r="14" spans="2:16" ht="15.3" x14ac:dyDescent="0.55000000000000004">
      <c r="B14" s="628" t="s">
        <v>2530</v>
      </c>
      <c r="C14" s="629">
        <f>Quarts!W68</f>
        <v>-250</v>
      </c>
      <c r="D14" s="629">
        <f>Quarts!X68</f>
        <v>-270.48399999999998</v>
      </c>
      <c r="E14" s="629">
        <f>Quarts!Y68</f>
        <v>-273</v>
      </c>
      <c r="F14" s="629">
        <f>Quarts!Z68</f>
        <v>-191.53634024999999</v>
      </c>
      <c r="G14" s="629">
        <f>Quarts!AA68</f>
        <v>-126</v>
      </c>
      <c r="H14" s="629">
        <f>Quarts!AB68</f>
        <v>-122</v>
      </c>
      <c r="I14" s="629">
        <f>Quarts!AC68</f>
        <v>-165</v>
      </c>
      <c r="J14" s="630">
        <f>Quarts!AD68</f>
        <v>-123</v>
      </c>
      <c r="K14" s="631" t="e">
        <f>Quarts!#REF!</f>
        <v>#REF!</v>
      </c>
      <c r="L14" s="631"/>
      <c r="M14" s="632"/>
      <c r="P14" s="575">
        <f>I14/J14-1</f>
        <v>0.34146341463414642</v>
      </c>
    </row>
    <row r="15" spans="2:16" ht="15.3" x14ac:dyDescent="0.55000000000000004">
      <c r="B15" s="564" t="s">
        <v>2531</v>
      </c>
      <c r="C15" s="565">
        <f>Quarts!W67</f>
        <v>-621</v>
      </c>
      <c r="D15" s="565">
        <f>Quarts!X67</f>
        <v>-756</v>
      </c>
      <c r="E15" s="565">
        <f>Quarts!Y67</f>
        <v>-921</v>
      </c>
      <c r="F15" s="565">
        <f>Quarts!Z67</f>
        <v>-854.70929850153209</v>
      </c>
      <c r="G15" s="565">
        <f>Quarts!AA67</f>
        <v>-813</v>
      </c>
      <c r="H15" s="565">
        <f>Quarts!AB67</f>
        <v>-796</v>
      </c>
      <c r="I15" s="565">
        <f>Quarts!AC67</f>
        <v>-820</v>
      </c>
      <c r="J15" s="626">
        <f>Quarts!AD67</f>
        <v>-841</v>
      </c>
      <c r="K15" s="627" t="e">
        <f>Quarts!#REF!</f>
        <v>#REF!</v>
      </c>
      <c r="L15" s="627"/>
      <c r="M15" s="570"/>
      <c r="P15" s="572">
        <f>I15/J15-1</f>
        <v>-2.4970273483947647E-2</v>
      </c>
    </row>
    <row r="16" spans="2:16" ht="15.3" x14ac:dyDescent="0.55000000000000004">
      <c r="B16" s="639" t="s">
        <v>5</v>
      </c>
      <c r="C16" s="640">
        <f t="shared" ref="C16:K16" si="2">C17-C14-C15</f>
        <v>-2139.3000000000002</v>
      </c>
      <c r="D16" s="640">
        <f t="shared" si="2"/>
        <v>-2441.1570000000002</v>
      </c>
      <c r="E16" s="640">
        <f t="shared" si="2"/>
        <v>-2416</v>
      </c>
      <c r="F16" s="640">
        <f t="shared" si="2"/>
        <v>-2440.567737804382</v>
      </c>
      <c r="G16" s="640">
        <f t="shared" si="2"/>
        <v>-2363</v>
      </c>
      <c r="H16" s="640">
        <f t="shared" si="2"/>
        <v>-2423</v>
      </c>
      <c r="I16" s="640">
        <f t="shared" si="2"/>
        <v>-2529</v>
      </c>
      <c r="J16" s="641">
        <f t="shared" si="2"/>
        <v>-2799</v>
      </c>
      <c r="K16" s="642" t="e">
        <f t="shared" si="2"/>
        <v>#REF!</v>
      </c>
      <c r="L16" s="642"/>
      <c r="M16" s="643"/>
      <c r="P16" s="577">
        <f>I16/J16-1</f>
        <v>-9.6463022508038621E-2</v>
      </c>
    </row>
    <row r="17" spans="2:16" ht="15.3" x14ac:dyDescent="0.55000000000000004">
      <c r="B17" s="564" t="s">
        <v>243</v>
      </c>
      <c r="C17" s="565">
        <f>Quarts!W72</f>
        <v>-3010.3</v>
      </c>
      <c r="D17" s="565">
        <f>Quarts!X72</f>
        <v>-3467.6410000000001</v>
      </c>
      <c r="E17" s="565">
        <f>Quarts!Y72</f>
        <v>-3610</v>
      </c>
      <c r="F17" s="565">
        <f>Quarts!Z72</f>
        <v>-3486.8133765559141</v>
      </c>
      <c r="G17" s="565">
        <f>Quarts!AA72</f>
        <v>-3302</v>
      </c>
      <c r="H17" s="565">
        <f>Quarts!AB72</f>
        <v>-3341</v>
      </c>
      <c r="I17" s="565">
        <f>Quarts!AC72</f>
        <v>-3514</v>
      </c>
      <c r="J17" s="626">
        <f>Quarts!AD72</f>
        <v>-3763</v>
      </c>
      <c r="K17" s="627" t="e">
        <f>Quarts!#REF!</f>
        <v>#REF!</v>
      </c>
      <c r="L17" s="627"/>
      <c r="M17" s="570" t="e">
        <f>J17/K17-1</f>
        <v>#REF!</v>
      </c>
      <c r="P17" s="572">
        <f>I17/J17-1</f>
        <v>-6.6170608557002408E-2</v>
      </c>
    </row>
    <row r="18" spans="2:16" ht="15.3" x14ac:dyDescent="0.55000000000000004">
      <c r="B18" s="628"/>
      <c r="C18" s="629"/>
      <c r="D18" s="629"/>
      <c r="E18" s="629"/>
      <c r="F18" s="629"/>
      <c r="G18" s="629"/>
      <c r="H18" s="629"/>
      <c r="I18" s="629"/>
      <c r="J18" s="630"/>
      <c r="K18" s="631"/>
      <c r="L18" s="631"/>
      <c r="M18" s="632"/>
      <c r="P18" s="575"/>
    </row>
    <row r="19" spans="2:16" ht="15.3" x14ac:dyDescent="0.55000000000000004">
      <c r="B19" s="564" t="s">
        <v>1091</v>
      </c>
      <c r="C19" s="565">
        <f>Quarts!W105</f>
        <v>350.0999999999998</v>
      </c>
      <c r="D19" s="565">
        <f>Quarts!X105</f>
        <v>366.91699999999992</v>
      </c>
      <c r="E19" s="565">
        <f>Quarts!Y105</f>
        <v>380</v>
      </c>
      <c r="F19" s="565">
        <f>Quarts!Z105</f>
        <v>408.18662344408585</v>
      </c>
      <c r="G19" s="565">
        <f>Quarts!AA105</f>
        <v>370</v>
      </c>
      <c r="H19" s="565">
        <f>Quarts!AB105</f>
        <v>385</v>
      </c>
      <c r="I19" s="565">
        <f>Quarts!AC105</f>
        <v>411</v>
      </c>
      <c r="J19" s="626">
        <f>Quarts!AD105</f>
        <v>488</v>
      </c>
      <c r="K19" s="627" t="e">
        <f>Quarts!#REF!</f>
        <v>#REF!</v>
      </c>
      <c r="L19" s="627">
        <v>452</v>
      </c>
      <c r="M19" s="570" t="e">
        <f>J19/K19-1</f>
        <v>#REF!</v>
      </c>
      <c r="P19" s="572">
        <f>I19/J19-1</f>
        <v>-0.15778688524590168</v>
      </c>
    </row>
    <row r="20" spans="2:16" ht="15.3" x14ac:dyDescent="0.55000000000000004">
      <c r="B20" s="628" t="s">
        <v>1092</v>
      </c>
      <c r="C20" s="629">
        <f>Quarts!W110</f>
        <v>371</v>
      </c>
      <c r="D20" s="629">
        <f>Quarts!X110</f>
        <v>403</v>
      </c>
      <c r="E20" s="629">
        <f>Quarts!Y110</f>
        <v>411.3</v>
      </c>
      <c r="F20" s="629">
        <f>Quarts!Z110</f>
        <v>411.3</v>
      </c>
      <c r="G20" s="629">
        <f>Quarts!AA110</f>
        <v>392</v>
      </c>
      <c r="H20" s="629">
        <f>Quarts!AB110</f>
        <v>415</v>
      </c>
      <c r="I20" s="629">
        <f>Quarts!AC110</f>
        <v>440</v>
      </c>
      <c r="J20" s="630">
        <f>Quarts!AD110</f>
        <v>520</v>
      </c>
      <c r="K20" s="631" t="e">
        <f>Quarts!#REF!</f>
        <v>#REF!</v>
      </c>
      <c r="L20" s="631">
        <v>476</v>
      </c>
      <c r="M20" s="632" t="e">
        <f>J20/K20-1</f>
        <v>#REF!</v>
      </c>
      <c r="P20" s="575">
        <f>I20/J20-1</f>
        <v>-0.15384615384615385</v>
      </c>
    </row>
    <row r="21" spans="2:16" ht="15.3" x14ac:dyDescent="0.55000000000000004">
      <c r="B21" s="564" t="s">
        <v>1875</v>
      </c>
      <c r="C21" s="570">
        <f t="shared" ref="C21:L21" si="3">C20/C4</f>
        <v>0.10825795156113219</v>
      </c>
      <c r="D21" s="570">
        <f t="shared" si="3"/>
        <v>0.10305434671982873</v>
      </c>
      <c r="E21" s="570">
        <f t="shared" si="3"/>
        <v>0.10193308550185874</v>
      </c>
      <c r="F21" s="570">
        <f t="shared" si="3"/>
        <v>0.10381120646138314</v>
      </c>
      <c r="G21" s="570">
        <f t="shared" si="3"/>
        <v>0.10453333333333334</v>
      </c>
      <c r="H21" s="570">
        <f t="shared" si="3"/>
        <v>0.10846837428123367</v>
      </c>
      <c r="I21" s="570">
        <f t="shared" si="3"/>
        <v>0.10928961748633879</v>
      </c>
      <c r="J21" s="644">
        <f t="shared" si="3"/>
        <v>0.11962272831838049</v>
      </c>
      <c r="K21" s="645" t="e">
        <f t="shared" si="3"/>
        <v>#REF!</v>
      </c>
      <c r="L21" s="645">
        <f t="shared" si="3"/>
        <v>0.11686717407316474</v>
      </c>
      <c r="M21" s="570"/>
      <c r="P21" s="572">
        <f>I21/J21-1</f>
        <v>-8.638083228247162E-2</v>
      </c>
    </row>
    <row r="22" spans="2:16" ht="15.3" x14ac:dyDescent="0.55000000000000004">
      <c r="B22" s="562"/>
      <c r="C22" s="569"/>
      <c r="D22" s="569"/>
      <c r="E22" s="569"/>
      <c r="F22" s="569"/>
      <c r="G22" s="569"/>
      <c r="H22" s="569"/>
      <c r="I22" s="569"/>
      <c r="J22" s="646"/>
      <c r="K22" s="647"/>
      <c r="L22" s="647"/>
      <c r="M22" s="569"/>
      <c r="P22" s="573"/>
    </row>
    <row r="23" spans="2:16" ht="15.3" x14ac:dyDescent="0.55000000000000004">
      <c r="B23" s="564" t="s">
        <v>727</v>
      </c>
      <c r="C23" s="565">
        <f>Quarts!W167</f>
        <v>72100</v>
      </c>
      <c r="D23" s="565">
        <f>Quarts!X167</f>
        <v>85500</v>
      </c>
      <c r="E23" s="565">
        <f>Quarts!Y167</f>
        <v>105100</v>
      </c>
      <c r="F23" s="565">
        <f>Quarts!Z167</f>
        <v>114800</v>
      </c>
      <c r="G23" s="565">
        <f>Quarts!AA167</f>
        <v>116000</v>
      </c>
      <c r="H23" s="565">
        <f>Quarts!AB167</f>
        <v>127700</v>
      </c>
      <c r="I23" s="565">
        <f>Quarts!AC167</f>
        <v>143855</v>
      </c>
      <c r="J23" s="626">
        <f>Quarts!AD167</f>
        <v>166600</v>
      </c>
      <c r="K23" s="627" t="e">
        <f>Quarts!#REF!</f>
        <v>#REF!</v>
      </c>
      <c r="L23" s="627"/>
      <c r="M23" s="570"/>
      <c r="P23" s="572">
        <f>I23/J23-1</f>
        <v>-0.13652460984393755</v>
      </c>
    </row>
    <row r="24" spans="2:16" ht="15.3" x14ac:dyDescent="0.55000000000000004">
      <c r="B24" s="562" t="s">
        <v>2511</v>
      </c>
      <c r="C24" s="566">
        <f>Quarts!W232</f>
        <v>332.56578694405874</v>
      </c>
      <c r="D24" s="566">
        <f>Quarts!X232</f>
        <v>343.76247149091495</v>
      </c>
      <c r="E24" s="566">
        <f>Quarts!Y232</f>
        <v>375.76568154136282</v>
      </c>
      <c r="F24" s="566">
        <f>Quarts!Z232</f>
        <v>361.79340186728535</v>
      </c>
      <c r="G24" s="566">
        <f>Quarts!AA232</f>
        <v>330.59726660021369</v>
      </c>
      <c r="H24" s="566">
        <f>Quarts!AB232</f>
        <v>243</v>
      </c>
      <c r="I24" s="566">
        <f>Quarts!AC232</f>
        <v>260</v>
      </c>
      <c r="J24" s="648">
        <f>Quarts!AD232</f>
        <v>252.9</v>
      </c>
      <c r="K24" s="649" t="e">
        <f>Quarts!#REF!</f>
        <v>#REF!</v>
      </c>
      <c r="L24" s="649"/>
      <c r="M24" s="569"/>
      <c r="P24" s="573">
        <f>I24/J24-1</f>
        <v>2.8074337682878481E-2</v>
      </c>
    </row>
    <row r="25" spans="2:16" ht="15.3" x14ac:dyDescent="0.55000000000000004">
      <c r="B25" s="564" t="s">
        <v>1093</v>
      </c>
      <c r="C25" s="565">
        <f>Quarts!W238</f>
        <v>2054.7854452799997</v>
      </c>
      <c r="D25" s="565">
        <f>Quarts!X238</f>
        <v>2275.0159656799997</v>
      </c>
      <c r="E25" s="565">
        <f>Quarts!Y238</f>
        <v>2653.2649304199999</v>
      </c>
      <c r="F25" s="565">
        <f>Quarts!Z238</f>
        <v>2721</v>
      </c>
      <c r="G25" s="565">
        <f>Quarts!AA238</f>
        <v>2717</v>
      </c>
      <c r="H25" s="565">
        <f>Quarts!AB238</f>
        <v>2610</v>
      </c>
      <c r="I25" s="565">
        <f>Quarts!AC238</f>
        <v>2462</v>
      </c>
      <c r="J25" s="626">
        <f>Quarts!AD238</f>
        <v>2529</v>
      </c>
      <c r="K25" s="627" t="e">
        <f>Quarts!#REF!</f>
        <v>#REF!</v>
      </c>
      <c r="L25" s="627"/>
      <c r="M25" s="570"/>
      <c r="P25" s="572">
        <f>I25/J25-1</f>
        <v>-2.6492684855674131E-2</v>
      </c>
    </row>
    <row r="26" spans="2:16" ht="15.6" thickBot="1" x14ac:dyDescent="0.6">
      <c r="B26" s="650" t="s">
        <v>724</v>
      </c>
      <c r="C26" s="651">
        <f>Quarts!W203</f>
        <v>14300</v>
      </c>
      <c r="D26" s="651">
        <f>Quarts!X203</f>
        <v>15100</v>
      </c>
      <c r="E26" s="651">
        <f>Quarts!Y203</f>
        <v>15800</v>
      </c>
      <c r="F26" s="651">
        <f>Quarts!Z203</f>
        <v>16200</v>
      </c>
      <c r="G26" s="651">
        <f>Quarts!AA203</f>
        <v>16300</v>
      </c>
      <c r="H26" s="651">
        <f>Quarts!AB203</f>
        <v>16400</v>
      </c>
      <c r="I26" s="651">
        <f ca="1">Quarts!AC203</f>
        <v>16800</v>
      </c>
      <c r="J26" s="652">
        <f>Quarts!AD203</f>
        <v>16800</v>
      </c>
      <c r="K26" s="653" t="e">
        <f>Quarts!#REF!</f>
        <v>#REF!</v>
      </c>
      <c r="L26" s="653"/>
      <c r="M26" s="654"/>
      <c r="P26" s="578">
        <f ca="1">I26/J26-1</f>
        <v>0</v>
      </c>
    </row>
    <row r="27" spans="2:16" x14ac:dyDescent="0.55000000000000004">
      <c r="B27" s="136"/>
      <c r="C27" s="138"/>
      <c r="D27" s="138"/>
      <c r="E27" s="190"/>
      <c r="F27" s="138"/>
      <c r="G27" s="190"/>
      <c r="H27" s="138"/>
      <c r="I27" s="139"/>
    </row>
    <row r="28" spans="2:16" x14ac:dyDescent="0.55000000000000004">
      <c r="C28" s="111"/>
      <c r="D28" s="111"/>
      <c r="E28" s="111"/>
      <c r="F28" s="481"/>
      <c r="G28" s="481"/>
      <c r="H28" s="481"/>
    </row>
    <row r="29" spans="2:16" x14ac:dyDescent="0.55000000000000004">
      <c r="C29" s="111"/>
      <c r="D29" s="111"/>
      <c r="E29" s="111"/>
      <c r="F29" s="481"/>
      <c r="G29" s="481"/>
      <c r="H29" s="481"/>
    </row>
    <row r="30" spans="2:16" x14ac:dyDescent="0.55000000000000004">
      <c r="C30" s="520" t="s">
        <v>2538</v>
      </c>
      <c r="D30" s="520" t="s">
        <v>2513</v>
      </c>
      <c r="E30" s="520" t="s">
        <v>2513</v>
      </c>
      <c r="F30" s="481"/>
      <c r="G30" s="481"/>
      <c r="H30" s="481"/>
    </row>
    <row r="31" spans="2:16" x14ac:dyDescent="0.55000000000000004">
      <c r="B31" s="183" t="s">
        <v>496</v>
      </c>
      <c r="C31" s="184" t="s">
        <v>2539</v>
      </c>
      <c r="D31" s="184" t="s">
        <v>2512</v>
      </c>
      <c r="E31" s="184" t="s">
        <v>240</v>
      </c>
      <c r="F31" s="481"/>
      <c r="G31" s="481"/>
      <c r="H31" s="481"/>
    </row>
    <row r="32" spans="2:16" x14ac:dyDescent="0.55000000000000004">
      <c r="B32" s="472" t="s">
        <v>1824</v>
      </c>
      <c r="C32" s="474" t="s">
        <v>2536</v>
      </c>
      <c r="D32" s="473">
        <f>Acquirer!L7</f>
        <v>394.6</v>
      </c>
      <c r="E32" s="473">
        <v>407</v>
      </c>
      <c r="F32" s="481"/>
      <c r="G32" s="473">
        <f>1.16*SUM(Quarts!W159:Z159)/1000</f>
        <v>410.524</v>
      </c>
      <c r="H32" s="481"/>
    </row>
    <row r="33" spans="2:14" x14ac:dyDescent="0.55000000000000004">
      <c r="B33" s="108" t="s">
        <v>763</v>
      </c>
      <c r="C33" s="111"/>
      <c r="D33" s="111">
        <f>Acquirer!L7/Acquirer!K7-1</f>
        <v>0.11468926553672332</v>
      </c>
      <c r="E33" s="111">
        <f>E32/Acquirer!K7-1</f>
        <v>0.14971751412429368</v>
      </c>
      <c r="F33" s="481"/>
      <c r="G33" s="481"/>
      <c r="H33" s="481"/>
    </row>
    <row r="34" spans="2:14" x14ac:dyDescent="0.55000000000000004">
      <c r="B34" s="472" t="s">
        <v>294</v>
      </c>
      <c r="C34" s="474" t="s">
        <v>2541</v>
      </c>
      <c r="D34" s="473">
        <f>Master!K12</f>
        <v>15949</v>
      </c>
      <c r="E34" s="473">
        <v>17228</v>
      </c>
      <c r="F34" s="481"/>
      <c r="G34" s="108">
        <f>SUM(Quarts!W9:Z9)</f>
        <v>15334.558000000001</v>
      </c>
      <c r="H34" s="481"/>
    </row>
    <row r="35" spans="2:14" x14ac:dyDescent="0.55000000000000004">
      <c r="B35" s="108" t="s">
        <v>763</v>
      </c>
      <c r="C35" s="111"/>
      <c r="D35" s="111">
        <f>D34/Master!J12-1</f>
        <v>4.0052690612202291E-2</v>
      </c>
      <c r="E35" s="111">
        <f>E34/Master!J12-1</f>
        <v>0.12345775621462307</v>
      </c>
      <c r="F35" s="481"/>
      <c r="G35" s="481"/>
      <c r="H35" s="481"/>
    </row>
    <row r="36" spans="2:14" x14ac:dyDescent="0.55000000000000004">
      <c r="B36" s="472" t="s">
        <v>250</v>
      </c>
      <c r="C36" s="473"/>
      <c r="D36" s="473">
        <f>Pagbank!H95</f>
        <v>1059.6905256844539</v>
      </c>
      <c r="E36" s="473">
        <v>1719</v>
      </c>
    </row>
    <row r="37" spans="2:14" x14ac:dyDescent="0.55000000000000004">
      <c r="B37" s="108" t="s">
        <v>1876</v>
      </c>
      <c r="C37" s="471" t="s">
        <v>2540</v>
      </c>
      <c r="D37" s="109">
        <f>Master!K103</f>
        <v>1740.6199999999994</v>
      </c>
      <c r="E37" s="109">
        <v>1670</v>
      </c>
      <c r="G37" s="108">
        <f>SUM(Quarts!W115:Z115)</f>
        <v>1596.8842800541418</v>
      </c>
      <c r="N37" s="108" t="s">
        <v>382</v>
      </c>
    </row>
    <row r="38" spans="2:14" x14ac:dyDescent="0.55000000000000004">
      <c r="B38" s="521" t="s">
        <v>477</v>
      </c>
      <c r="C38" s="522"/>
      <c r="D38" s="522">
        <f>D37/D34</f>
        <v>0.1091366229857671</v>
      </c>
      <c r="E38" s="522">
        <f>E37/E34</f>
        <v>9.6935221732064078E-2</v>
      </c>
    </row>
    <row r="39" spans="2:14" x14ac:dyDescent="0.55000000000000004">
      <c r="B39" s="108" t="s">
        <v>2537</v>
      </c>
    </row>
    <row r="40" spans="2:14" x14ac:dyDescent="0.55000000000000004">
      <c r="B40" s="108" t="s">
        <v>2542</v>
      </c>
    </row>
    <row r="63" spans="4:24" x14ac:dyDescent="0.55000000000000004">
      <c r="D63" s="113" t="s">
        <v>1763</v>
      </c>
      <c r="N63" s="113" t="s">
        <v>1764</v>
      </c>
    </row>
    <row r="64" spans="4:24" x14ac:dyDescent="0.55000000000000004">
      <c r="X64" s="108" t="s">
        <v>274</v>
      </c>
    </row>
    <row r="82" spans="2:23" x14ac:dyDescent="0.55000000000000004">
      <c r="B82" s="113" t="s">
        <v>1766</v>
      </c>
    </row>
    <row r="86" spans="2:23" x14ac:dyDescent="0.55000000000000004">
      <c r="L86" s="108" t="s">
        <v>250</v>
      </c>
    </row>
    <row r="88" spans="2:23" x14ac:dyDescent="0.55000000000000004">
      <c r="W88" s="108" t="s">
        <v>1768</v>
      </c>
    </row>
    <row r="104" spans="2:2" x14ac:dyDescent="0.55000000000000004">
      <c r="B104" s="113" t="s">
        <v>1765</v>
      </c>
    </row>
    <row r="131" spans="2:21" x14ac:dyDescent="0.55000000000000004">
      <c r="B131" s="510"/>
      <c r="C131" s="440" t="s">
        <v>51</v>
      </c>
      <c r="D131" s="440" t="s">
        <v>704</v>
      </c>
      <c r="E131" s="440" t="s">
        <v>705</v>
      </c>
      <c r="F131" s="440" t="s">
        <v>1079</v>
      </c>
      <c r="G131" s="440" t="s">
        <v>1080</v>
      </c>
      <c r="H131" s="440" t="s">
        <v>1081</v>
      </c>
      <c r="I131" s="440" t="s">
        <v>1159</v>
      </c>
      <c r="J131" s="440" t="s">
        <v>1160</v>
      </c>
      <c r="K131" s="440" t="s">
        <v>1874</v>
      </c>
      <c r="L131" s="440" t="s">
        <v>2137</v>
      </c>
      <c r="M131" s="440" t="s">
        <v>2341</v>
      </c>
      <c r="N131" s="440" t="s">
        <v>2509</v>
      </c>
      <c r="O131" s="440" t="s">
        <v>2658</v>
      </c>
      <c r="P131" s="440" t="s">
        <v>2735</v>
      </c>
      <c r="Q131" s="440" t="s">
        <v>2939</v>
      </c>
      <c r="R131" s="440" t="s">
        <v>3271</v>
      </c>
      <c r="S131" s="440" t="s">
        <v>2123</v>
      </c>
    </row>
    <row r="132" spans="2:21" x14ac:dyDescent="0.55000000000000004">
      <c r="B132" s="511" t="s">
        <v>2125</v>
      </c>
      <c r="C132" s="514">
        <f>Quarts!O238</f>
        <v>504.04090740000004</v>
      </c>
      <c r="D132" s="514">
        <f>Quarts!P238</f>
        <v>479.23918463999996</v>
      </c>
      <c r="E132" s="514">
        <f>Quarts!Q238</f>
        <v>485.87377290999996</v>
      </c>
      <c r="F132" s="514">
        <f>Quarts!R238</f>
        <v>611.64998271000013</v>
      </c>
      <c r="G132" s="514">
        <f>Quarts!S238</f>
        <v>771.35686380000004</v>
      </c>
      <c r="H132" s="514">
        <f>Quarts!T238</f>
        <v>1116.1025651699999</v>
      </c>
      <c r="I132" s="514">
        <f>Quarts!U238</f>
        <v>1553.18049015</v>
      </c>
      <c r="J132" s="514">
        <f>Quarts!V238</f>
        <v>1906.9698957400001</v>
      </c>
      <c r="K132" s="514">
        <f>Quarts!W238</f>
        <v>2054.7854452799997</v>
      </c>
      <c r="L132" s="514">
        <f>Quarts!X238</f>
        <v>2275.0159656799997</v>
      </c>
      <c r="M132" s="514">
        <f>Quarts!Y238</f>
        <v>2653.2649304199999</v>
      </c>
      <c r="N132" s="514">
        <f>Quarts!Z238</f>
        <v>2721</v>
      </c>
      <c r="O132" s="514">
        <f>Quarts!AA238</f>
        <v>2717</v>
      </c>
      <c r="P132" s="514">
        <f>Quarts!AB238</f>
        <v>2610</v>
      </c>
      <c r="Q132" s="514">
        <f>Quarts!AC238</f>
        <v>2462</v>
      </c>
      <c r="R132" s="514">
        <f>Quarts!AD238</f>
        <v>2529</v>
      </c>
      <c r="S132" s="514" t="e">
        <f>Quarts!#REF!</f>
        <v>#REF!</v>
      </c>
      <c r="T132"/>
      <c r="U132"/>
    </row>
    <row r="133" spans="2:21" x14ac:dyDescent="0.55000000000000004">
      <c r="B133" s="512" t="s">
        <v>136</v>
      </c>
      <c r="C133" s="515">
        <f>Quarts!O239</f>
        <v>337.65230183</v>
      </c>
      <c r="D133" s="515">
        <f>Quarts!P239</f>
        <v>293.83810225999997</v>
      </c>
      <c r="E133" s="515">
        <f>Quarts!Q239</f>
        <v>276.99847007</v>
      </c>
      <c r="F133" s="515">
        <f>Quarts!R239</f>
        <v>330.84785019999998</v>
      </c>
      <c r="G133" s="515">
        <f>Quarts!S239</f>
        <v>412.67778549000002</v>
      </c>
      <c r="H133" s="515">
        <f>Quarts!T239</f>
        <v>627.29188580999994</v>
      </c>
      <c r="I133" s="515">
        <f>Quarts!U239</f>
        <v>882.66328397000007</v>
      </c>
      <c r="J133" s="515">
        <f>Quarts!V239</f>
        <v>1069.6705776399999</v>
      </c>
      <c r="K133" s="515">
        <f>Quarts!W239</f>
        <v>1008.7420700399998</v>
      </c>
      <c r="L133" s="515">
        <f>Quarts!X239</f>
        <v>918.60363681999991</v>
      </c>
      <c r="M133" s="515">
        <f>Quarts!Y239</f>
        <v>813.28235339000003</v>
      </c>
      <c r="N133" s="515">
        <f>Quarts!Z239</f>
        <v>743</v>
      </c>
      <c r="O133" s="515">
        <f>Quarts!AA239</f>
        <v>672</v>
      </c>
      <c r="P133" s="515">
        <f>Quarts!AB239</f>
        <v>625</v>
      </c>
      <c r="Q133" s="515">
        <f>Quarts!AC239</f>
        <v>471</v>
      </c>
      <c r="R133" s="515">
        <f>Quarts!AD239</f>
        <v>410</v>
      </c>
      <c r="S133" s="515" t="e">
        <f>Quarts!#REF!</f>
        <v>#REF!</v>
      </c>
      <c r="T133"/>
      <c r="U133"/>
    </row>
    <row r="134" spans="2:21" x14ac:dyDescent="0.55000000000000004">
      <c r="B134" s="511" t="s">
        <v>2126</v>
      </c>
      <c r="C134" s="514">
        <f>Quarts!O240</f>
        <v>155.58873563</v>
      </c>
      <c r="D134" s="514">
        <f>Quarts!P240</f>
        <v>170.93922379</v>
      </c>
      <c r="E134" s="514">
        <f>Quarts!Q240</f>
        <v>189.14503212999998</v>
      </c>
      <c r="F134" s="514">
        <f>Quarts!R240</f>
        <v>257.33752817000004</v>
      </c>
      <c r="G134" s="514">
        <f>Quarts!S240</f>
        <v>333.88552074</v>
      </c>
      <c r="H134" s="514">
        <f>Quarts!T240</f>
        <v>458.88023469000001</v>
      </c>
      <c r="I134" s="514">
        <f>Quarts!U240</f>
        <v>604.08902654999997</v>
      </c>
      <c r="J134" s="514">
        <f>Quarts!V240</f>
        <v>726.09477298000002</v>
      </c>
      <c r="K134" s="514">
        <f>Quarts!W240</f>
        <v>852.44543726999996</v>
      </c>
      <c r="L134" s="514">
        <f>Quarts!X240</f>
        <v>919.04727357000002</v>
      </c>
      <c r="M134" s="514">
        <f>Quarts!Y240</f>
        <v>1014.1261052999999</v>
      </c>
      <c r="N134" s="514">
        <f>Quarts!Z240</f>
        <v>1113</v>
      </c>
      <c r="O134" s="514">
        <f>Quarts!AA240</f>
        <v>1087</v>
      </c>
      <c r="P134" s="514">
        <f>Quarts!AB240</f>
        <v>886</v>
      </c>
      <c r="Q134" s="514">
        <f>Quarts!AC240</f>
        <v>816</v>
      </c>
      <c r="R134" s="514">
        <f>Quarts!AD240</f>
        <v>763</v>
      </c>
      <c r="S134" s="514" t="e">
        <f>Quarts!#REF!</f>
        <v>#REF!</v>
      </c>
      <c r="T134"/>
      <c r="U134"/>
    </row>
    <row r="135" spans="2:21" x14ac:dyDescent="0.55000000000000004">
      <c r="B135" s="513" t="s">
        <v>2469</v>
      </c>
      <c r="C135" s="516">
        <f>Quarts!O241</f>
        <v>10.799869940000001</v>
      </c>
      <c r="D135" s="516">
        <f>Quarts!P241</f>
        <v>14.461858589999999</v>
      </c>
      <c r="E135" s="516">
        <f>Quarts!Q241</f>
        <v>19.730270709999999</v>
      </c>
      <c r="F135" s="516">
        <f>Quarts!R241</f>
        <v>23.464604340000001</v>
      </c>
      <c r="G135" s="516">
        <f>Quarts!S241</f>
        <v>24.793557570000001</v>
      </c>
      <c r="H135" s="516">
        <f>Quarts!T241</f>
        <v>29.93044467</v>
      </c>
      <c r="I135" s="516">
        <f>Quarts!U241</f>
        <v>66.428179630000002</v>
      </c>
      <c r="J135" s="516">
        <f>Quarts!V241</f>
        <v>111.20454511999999</v>
      </c>
      <c r="K135" s="516">
        <f>Quarts!W241</f>
        <v>193.59793797</v>
      </c>
      <c r="L135" s="516">
        <f>Quarts!X241</f>
        <v>437.36505529000004</v>
      </c>
      <c r="M135" s="516">
        <f>Quarts!Y241</f>
        <v>825.85647173000007</v>
      </c>
      <c r="N135" s="516">
        <f>Quarts!Z241</f>
        <v>865</v>
      </c>
      <c r="O135" s="516">
        <f>Quarts!AA241</f>
        <v>958</v>
      </c>
      <c r="P135" s="516">
        <f>Quarts!AB241</f>
        <v>1099</v>
      </c>
      <c r="Q135" s="516">
        <f>Quarts!AC241</f>
        <v>1175</v>
      </c>
      <c r="R135" s="516">
        <f>Quarts!AD241</f>
        <v>1356</v>
      </c>
      <c r="S135" s="516" t="e">
        <f>Quarts!#REF!</f>
        <v>#REF!</v>
      </c>
      <c r="T135" s="1"/>
      <c r="U135" s="1"/>
    </row>
    <row r="136" spans="2:21" x14ac:dyDescent="0.55000000000000004">
      <c r="B136" s="136" t="s">
        <v>2124</v>
      </c>
      <c r="C136"/>
      <c r="D136"/>
      <c r="E136"/>
      <c r="F136"/>
      <c r="G136" s="346">
        <f>G132/C132-1</f>
        <v>0.53034575661507111</v>
      </c>
      <c r="H136" s="346">
        <f t="shared" ref="H136:R136" si="4">H132/D132-1</f>
        <v>1.3289050664928532</v>
      </c>
      <c r="I136" s="346">
        <f t="shared" si="4"/>
        <v>2.1966748911917517</v>
      </c>
      <c r="J136" s="346">
        <f t="shared" si="4"/>
        <v>2.1177469952519337</v>
      </c>
      <c r="K136" s="346">
        <f t="shared" si="4"/>
        <v>1.6638583795797679</v>
      </c>
      <c r="L136" s="346">
        <f t="shared" si="4"/>
        <v>1.0383574383537764</v>
      </c>
      <c r="M136" s="346">
        <f t="shared" si="4"/>
        <v>0.70827855954059671</v>
      </c>
      <c r="N136" s="346">
        <f t="shared" si="4"/>
        <v>0.42687097792076867</v>
      </c>
      <c r="O136" s="346">
        <f t="shared" si="4"/>
        <v>0.32227917335172784</v>
      </c>
      <c r="P136" s="346">
        <f t="shared" si="4"/>
        <v>0.14724469602562729</v>
      </c>
      <c r="Q136" s="346">
        <f t="shared" si="4"/>
        <v>-7.2086631164164805E-2</v>
      </c>
      <c r="R136" s="346">
        <f t="shared" si="4"/>
        <v>-7.0562293274531451E-2</v>
      </c>
      <c r="S136" s="346" t="e">
        <f>S132/O132-1</f>
        <v>#REF!</v>
      </c>
      <c r="T136" s="346"/>
      <c r="U136" s="346"/>
    </row>
    <row r="151" spans="2:7" x14ac:dyDescent="0.55000000000000004">
      <c r="C151" s="392" t="s">
        <v>953</v>
      </c>
      <c r="D151" s="392" t="s">
        <v>954</v>
      </c>
      <c r="E151" s="392" t="s">
        <v>955</v>
      </c>
      <c r="F151" s="392" t="s">
        <v>956</v>
      </c>
      <c r="G151" s="392" t="s">
        <v>959</v>
      </c>
    </row>
    <row r="152" spans="2:7" x14ac:dyDescent="0.55000000000000004">
      <c r="B152" s="441" t="s">
        <v>2128</v>
      </c>
      <c r="C152" s="443">
        <f>C153+C154+C155+C156</f>
        <v>4.9832126050199994</v>
      </c>
      <c r="D152" s="443">
        <f>D153+D154+D155+D156</f>
        <v>5.8913385257899993</v>
      </c>
      <c r="E152" s="443">
        <f>E153+E154+E155+E156</f>
        <v>7.1634798318100019</v>
      </c>
      <c r="F152" s="443">
        <f>F153+F154+F155+F156</f>
        <v>8.835008954340001</v>
      </c>
      <c r="G152" s="443">
        <f>G153+G154+G155+G156</f>
        <v>11.182576718679998</v>
      </c>
    </row>
    <row r="153" spans="2:7" x14ac:dyDescent="0.55000000000000004">
      <c r="B153" s="258" t="s">
        <v>2129</v>
      </c>
      <c r="C153" s="260">
        <v>3.5364316050199998</v>
      </c>
      <c r="D153" s="260">
        <v>4.1018175257899996</v>
      </c>
      <c r="E153" s="260">
        <v>4.4933348318100004</v>
      </c>
      <c r="F153" s="260">
        <v>5.7010129543400003</v>
      </c>
      <c r="G153" s="260">
        <v>5.468197718679999</v>
      </c>
    </row>
    <row r="154" spans="2:7" x14ac:dyDescent="0.55000000000000004">
      <c r="B154" s="258" t="s">
        <v>2130</v>
      </c>
      <c r="C154" s="260">
        <v>1.191057</v>
      </c>
      <c r="D154" s="260">
        <v>1.5805400000000001</v>
      </c>
      <c r="E154" s="260">
        <v>2.1573420000000003</v>
      </c>
      <c r="F154" s="260">
        <v>2.510818</v>
      </c>
      <c r="G154" s="260">
        <v>4.4309440000000002</v>
      </c>
    </row>
    <row r="155" spans="2:7" x14ac:dyDescent="0.55000000000000004">
      <c r="B155" s="258" t="s">
        <v>2131</v>
      </c>
      <c r="C155" s="260">
        <v>0</v>
      </c>
      <c r="D155" s="260">
        <v>0</v>
      </c>
      <c r="E155" s="260">
        <v>0.30016300000000001</v>
      </c>
      <c r="F155" s="260">
        <v>0.40499799999999997</v>
      </c>
      <c r="G155" s="260">
        <v>1.0578109999999998</v>
      </c>
    </row>
    <row r="156" spans="2:7" x14ac:dyDescent="0.55000000000000004">
      <c r="B156" s="442" t="s">
        <v>2132</v>
      </c>
      <c r="C156" s="444">
        <v>0.25572400000000001</v>
      </c>
      <c r="D156" s="444">
        <v>0.208981</v>
      </c>
      <c r="E156" s="444">
        <v>0.21264</v>
      </c>
      <c r="F156" s="444">
        <v>0.21818000000000001</v>
      </c>
      <c r="G156" s="444">
        <v>0.22562399999999999</v>
      </c>
    </row>
    <row r="157" spans="2:7" x14ac:dyDescent="0.55000000000000004">
      <c r="C157" s="445">
        <f>C154/C152</f>
        <v>0.2390138840956034</v>
      </c>
      <c r="D157" s="445">
        <f>D154/D152</f>
        <v>0.2682819860174403</v>
      </c>
      <c r="E157" s="445">
        <f>E154/E152</f>
        <v>0.30115838260898725</v>
      </c>
      <c r="F157" s="445">
        <f>F154/F152</f>
        <v>0.2841896384006059</v>
      </c>
      <c r="G157" s="445">
        <f>G154/G152</f>
        <v>0.39623640521046505</v>
      </c>
    </row>
    <row r="169" spans="2:12" x14ac:dyDescent="0.55000000000000004">
      <c r="C169" s="91" t="s">
        <v>1718</v>
      </c>
      <c r="D169" s="91" t="s">
        <v>1717</v>
      </c>
      <c r="E169" s="91" t="s">
        <v>1716</v>
      </c>
      <c r="F169" s="91" t="s">
        <v>878</v>
      </c>
      <c r="G169" s="91" t="s">
        <v>1089</v>
      </c>
      <c r="H169" s="91" t="s">
        <v>1162</v>
      </c>
      <c r="I169" s="91" t="s">
        <v>1516</v>
      </c>
      <c r="J169" s="91" t="s">
        <v>1759</v>
      </c>
      <c r="K169" s="91" t="s">
        <v>1873</v>
      </c>
      <c r="L169" s="91" t="s">
        <v>1165</v>
      </c>
    </row>
    <row r="170" spans="2:12" x14ac:dyDescent="0.55000000000000004">
      <c r="B170" s="108" t="s">
        <v>2135</v>
      </c>
      <c r="C170" s="159">
        <f>Quarts!O110</f>
        <v>367.00846522687647</v>
      </c>
      <c r="D170" s="159">
        <f>Quarts!P110</f>
        <v>306.98985332794678</v>
      </c>
      <c r="E170" s="159">
        <f>Quarts!Q110</f>
        <v>330.38224313729251</v>
      </c>
      <c r="F170" s="159">
        <f>Quarts!R110</f>
        <v>429.32243830788417</v>
      </c>
      <c r="G170" s="159">
        <f>Quarts!S110</f>
        <v>327.10000000000002</v>
      </c>
      <c r="H170" s="159">
        <f>Quarts!T110</f>
        <v>345.2</v>
      </c>
      <c r="I170" s="159">
        <f>Quarts!U110</f>
        <v>418.7</v>
      </c>
      <c r="J170" s="159">
        <f>Quarts!V110</f>
        <v>334.3</v>
      </c>
      <c r="K170" s="159">
        <f>Quarts!W110</f>
        <v>371</v>
      </c>
      <c r="L170" s="159" t="e">
        <f>Quarts!#REF!</f>
        <v>#REF!</v>
      </c>
    </row>
    <row r="171" spans="2:12" x14ac:dyDescent="0.55000000000000004">
      <c r="B171" s="108" t="s">
        <v>2136</v>
      </c>
      <c r="C171" s="475">
        <f>Quarts!O111</f>
        <v>0.23121625767904672</v>
      </c>
      <c r="D171" s="475">
        <f>Quarts!P111</f>
        <v>0.226152855194382</v>
      </c>
      <c r="E171" s="475">
        <f>Quarts!Q111</f>
        <v>0.18545450848299097</v>
      </c>
      <c r="F171" s="475">
        <f>Quarts!R111</f>
        <v>0.20556496926400966</v>
      </c>
      <c r="G171" s="475">
        <f>Quarts!S111</f>
        <v>0.15823335913312697</v>
      </c>
      <c r="H171" s="475">
        <f>Quarts!T111</f>
        <v>0.14567859554355164</v>
      </c>
      <c r="I171" s="475">
        <f>Quarts!U111</f>
        <v>0.15083939765112758</v>
      </c>
      <c r="J171" s="475">
        <f>Quarts!V111</f>
        <v>0.10330016686236945</v>
      </c>
      <c r="K171" s="475">
        <f>Quarts!W111</f>
        <v>0.10825795156113219</v>
      </c>
      <c r="L171" s="475" t="e">
        <f>Quarts!#REF!</f>
        <v>#REF!</v>
      </c>
    </row>
    <row r="176" spans="2:12" x14ac:dyDescent="0.55000000000000004">
      <c r="B176" s="108" t="s">
        <v>246</v>
      </c>
    </row>
    <row r="177" spans="2:14" x14ac:dyDescent="0.55000000000000004">
      <c r="C177" s="91" t="s">
        <v>1089</v>
      </c>
      <c r="D177" s="91" t="s">
        <v>1162</v>
      </c>
      <c r="E177" s="91" t="s">
        <v>1516</v>
      </c>
      <c r="F177" s="91" t="s">
        <v>1759</v>
      </c>
      <c r="G177" s="91" t="s">
        <v>1873</v>
      </c>
      <c r="H177" s="91" t="s">
        <v>2138</v>
      </c>
      <c r="I177" s="91" t="s">
        <v>2340</v>
      </c>
      <c r="J177" s="91" t="s">
        <v>2510</v>
      </c>
      <c r="K177" s="91" t="s">
        <v>2657</v>
      </c>
      <c r="L177" s="91" t="s">
        <v>2736</v>
      </c>
      <c r="M177" s="91" t="s">
        <v>2938</v>
      </c>
      <c r="N177" s="91" t="s">
        <v>2938</v>
      </c>
    </row>
    <row r="178" spans="2:14" x14ac:dyDescent="0.55000000000000004">
      <c r="B178" s="108" t="s">
        <v>294</v>
      </c>
      <c r="C178" s="109">
        <f>Quarts!S232</f>
        <v>156.11249543642109</v>
      </c>
      <c r="D178" s="109">
        <f>Quarts!T232</f>
        <v>193.67563673077342</v>
      </c>
      <c r="E178" s="109">
        <f>Quarts!U232</f>
        <v>258.61796397675482</v>
      </c>
      <c r="F178" s="109">
        <f>Quarts!V232</f>
        <v>308.51423074707048</v>
      </c>
      <c r="G178" s="109">
        <f>Quarts!W232</f>
        <v>332.56578694405874</v>
      </c>
      <c r="H178" s="109">
        <f>Quarts!X232</f>
        <v>343.76247149091495</v>
      </c>
      <c r="I178" s="109">
        <f>Quarts!Y232</f>
        <v>375.76568154136282</v>
      </c>
      <c r="J178" s="109">
        <f>Quarts!Z232</f>
        <v>361.79340186728535</v>
      </c>
      <c r="K178" s="109">
        <f>Quarts!AA232</f>
        <v>330.59726660021369</v>
      </c>
      <c r="L178" s="109">
        <f>Quarts!AB232</f>
        <v>243</v>
      </c>
      <c r="M178" s="109">
        <f>Quarts!AC232</f>
        <v>260</v>
      </c>
      <c r="N178" s="109">
        <f>Quarts!AD232</f>
        <v>252.9</v>
      </c>
    </row>
    <row r="179" spans="2:14" x14ac:dyDescent="0.55000000000000004">
      <c r="B179" s="108" t="s">
        <v>714</v>
      </c>
      <c r="C179" s="109">
        <f>Quarts!S340</f>
        <v>-140.21619112384326</v>
      </c>
      <c r="D179" s="109">
        <f>Quarts!T340</f>
        <v>-78.559840049172081</v>
      </c>
      <c r="E179" s="109">
        <f>Quarts!U340</f>
        <v>-36.290162918029793</v>
      </c>
      <c r="F179" s="109">
        <f>Quarts!V340</f>
        <v>-70.278474907233331</v>
      </c>
      <c r="G179" s="109">
        <f>Quarts!W340</f>
        <v>-76.37532595368063</v>
      </c>
      <c r="H179" s="109">
        <f>Quarts!X340</f>
        <v>-66.500363314964247</v>
      </c>
      <c r="I179" s="109">
        <f>Quarts!Y340</f>
        <v>-62.279519015963544</v>
      </c>
      <c r="J179" s="109">
        <f>Quarts!Z340</f>
        <v>11.614551315863878</v>
      </c>
      <c r="K179" s="109">
        <f>Quarts!AA340</f>
        <v>68.885493601362384</v>
      </c>
      <c r="L179" s="109">
        <f>Quarts!AB340</f>
        <v>-0.7</v>
      </c>
      <c r="M179" s="109">
        <f>Quarts!AC340</f>
        <v>2</v>
      </c>
      <c r="N179" s="109">
        <f>Quarts!AD340</f>
        <v>53.1</v>
      </c>
    </row>
    <row r="200" spans="2:12" x14ac:dyDescent="0.55000000000000004">
      <c r="B200" s="108" t="s">
        <v>2532</v>
      </c>
    </row>
    <row r="202" spans="2:12" x14ac:dyDescent="0.55000000000000004">
      <c r="C202" s="390" t="str">
        <f t="shared" ref="C202:I202" si="5">C177</f>
        <v>1Q 21</v>
      </c>
      <c r="D202" s="390" t="str">
        <f t="shared" si="5"/>
        <v>2Q 21</v>
      </c>
      <c r="E202" s="390" t="str">
        <f t="shared" si="5"/>
        <v>3Q 21</v>
      </c>
      <c r="F202" s="390" t="str">
        <f t="shared" si="5"/>
        <v>4Q 21</v>
      </c>
      <c r="G202" s="390" t="str">
        <f t="shared" si="5"/>
        <v>1Q 22</v>
      </c>
      <c r="H202" s="390" t="str">
        <f t="shared" si="5"/>
        <v>2Q 22</v>
      </c>
      <c r="I202" s="390" t="str">
        <f t="shared" si="5"/>
        <v>3Q 22</v>
      </c>
      <c r="J202" s="390" t="str">
        <f>J177</f>
        <v>4Q 22</v>
      </c>
      <c r="K202" s="390" t="str">
        <f>K177</f>
        <v>1Q 23</v>
      </c>
      <c r="L202" s="390" t="str">
        <f>L177</f>
        <v>2Q 23</v>
      </c>
    </row>
    <row r="203" spans="2:12" x14ac:dyDescent="0.55000000000000004">
      <c r="C203" s="109">
        <f>Quarts!S165</f>
        <v>2321.2178566654702</v>
      </c>
      <c r="D203" s="109">
        <f>Quarts!T165</f>
        <v>2521.2674740764496</v>
      </c>
      <c r="E203" s="109">
        <f>Quarts!U165</f>
        <v>2918.6432533962347</v>
      </c>
      <c r="F203" s="109">
        <f>Quarts!V165</f>
        <v>3416.9156814343255</v>
      </c>
      <c r="G203" s="109">
        <f>Quarts!W165</f>
        <v>3468.7275229988568</v>
      </c>
      <c r="H203" s="109">
        <f>Quarts!X165</f>
        <v>3911.8446468874477</v>
      </c>
      <c r="I203" s="109">
        <f>Quarts!Y165</f>
        <v>4067.5675675675675</v>
      </c>
      <c r="J203" s="109">
        <f>Quarts!Z165</f>
        <v>4365.7407407407409</v>
      </c>
      <c r="K203" s="109">
        <f>Quarts!AA165</f>
        <v>4195.2380952380954</v>
      </c>
      <c r="L203" s="109">
        <f>Quarts!AB165</f>
        <v>4510.9489051094897</v>
      </c>
    </row>
    <row r="214" spans="2:10" x14ac:dyDescent="0.55000000000000004">
      <c r="B214" s="391" t="s">
        <v>496</v>
      </c>
      <c r="C214" s="107" t="str">
        <f>Analysis!D1248</f>
        <v>1Q 21</v>
      </c>
      <c r="D214" s="107" t="str">
        <f>Analysis!E1248</f>
        <v>2Q 21</v>
      </c>
      <c r="E214" s="107" t="str">
        <f>Analysis!F1248</f>
        <v>3Q 21</v>
      </c>
      <c r="F214" s="107" t="str">
        <f>Analysis!G1248</f>
        <v>4Q 21</v>
      </c>
      <c r="G214" s="107" t="str">
        <f>Analysis!H1248</f>
        <v>1Q 22</v>
      </c>
      <c r="H214" s="107" t="str">
        <f>Analysis!I1248</f>
        <v>2Q 22</v>
      </c>
      <c r="I214" s="107" t="str">
        <f>Analysis!J1248</f>
        <v>3Q 22</v>
      </c>
      <c r="J214" s="107" t="str">
        <f>Analysis!K1248</f>
        <v>4Q 22</v>
      </c>
    </row>
    <row r="215" spans="2:10" x14ac:dyDescent="0.55000000000000004">
      <c r="B215" s="472" t="str">
        <f>Analysis!B1249</f>
        <v>Credit book (gross)</v>
      </c>
      <c r="C215" s="473">
        <f>Analysis!D1249</f>
        <v>771.35686380000004</v>
      </c>
      <c r="D215" s="473">
        <f>Analysis!E1249</f>
        <v>1116.1025651699999</v>
      </c>
      <c r="E215" s="473">
        <f>Analysis!F1249</f>
        <v>1553.18049015</v>
      </c>
      <c r="F215" s="473">
        <f>Analysis!G1249</f>
        <v>1906.9698957400001</v>
      </c>
      <c r="G215" s="473">
        <f>Analysis!H1249</f>
        <v>2054.7854452799997</v>
      </c>
      <c r="H215" s="473">
        <f>Analysis!I1249</f>
        <v>2275.0159656799997</v>
      </c>
      <c r="I215" s="473">
        <f>Analysis!J1249</f>
        <v>2653.2649304199999</v>
      </c>
      <c r="J215" s="473">
        <f>Analysis!K1249</f>
        <v>2721</v>
      </c>
    </row>
    <row r="216" spans="2:10" x14ac:dyDescent="0.55000000000000004">
      <c r="B216" s="108" t="str">
        <f>Analysis!B1250</f>
        <v>Pagbank revenue</v>
      </c>
      <c r="C216" s="109">
        <f>Analysis!D1250</f>
        <v>156.11249543642109</v>
      </c>
      <c r="D216" s="109">
        <f>Analysis!E1250</f>
        <v>193.67563673077342</v>
      </c>
      <c r="E216" s="109">
        <f>Analysis!F1250</f>
        <v>258.61796397675482</v>
      </c>
      <c r="F216" s="109">
        <f>Analysis!G1250</f>
        <v>308.51423074707048</v>
      </c>
      <c r="G216" s="109">
        <f>Analysis!H1250</f>
        <v>332.56578694405874</v>
      </c>
      <c r="H216" s="109">
        <f>Analysis!I1250</f>
        <v>343.76247149091495</v>
      </c>
      <c r="I216" s="109">
        <f>Analysis!J1250</f>
        <v>375.76568154136282</v>
      </c>
      <c r="J216" s="109">
        <f>Analysis!K1250</f>
        <v>361.79340186728535</v>
      </c>
    </row>
    <row r="217" spans="2:10" x14ac:dyDescent="0.55000000000000004">
      <c r="B217" s="472" t="str">
        <f>Analysis!B1251</f>
        <v>Annualised "Yield" (incs interchange etc)</v>
      </c>
      <c r="C217" s="525"/>
      <c r="D217" s="525">
        <f>Analysis!E1251</f>
        <v>0.82089451569918448</v>
      </c>
      <c r="E217" s="525">
        <f>Analysis!F1251</f>
        <v>0.77509341232678253</v>
      </c>
      <c r="F217" s="525">
        <f>Analysis!G1251</f>
        <v>0.71329669832882991</v>
      </c>
      <c r="G217" s="525">
        <f>Analysis!H1251</f>
        <v>0.67155239699064473</v>
      </c>
      <c r="H217" s="525">
        <f>Analysis!I1251</f>
        <v>0.63515609860674194</v>
      </c>
      <c r="I217" s="525">
        <f>Analysis!J1251</f>
        <v>0.60997445472513623</v>
      </c>
      <c r="J217" s="525">
        <f>Analysis!K1251</f>
        <v>0.53855685426957334</v>
      </c>
    </row>
    <row r="218" spans="2:10" x14ac:dyDescent="0.55000000000000004">
      <c r="C218" s="159"/>
      <c r="D218" s="159"/>
      <c r="E218" s="159"/>
      <c r="F218" s="159"/>
      <c r="G218" s="159"/>
      <c r="H218" s="159"/>
      <c r="I218" s="159"/>
      <c r="J218" s="159"/>
    </row>
    <row r="219" spans="2:10" x14ac:dyDescent="0.55000000000000004">
      <c r="B219" s="472" t="str">
        <f>Analysis!B1253</f>
        <v>Working Capital</v>
      </c>
      <c r="C219" s="526"/>
      <c r="D219" s="526"/>
      <c r="E219" s="526"/>
      <c r="F219" s="526">
        <f>Analysis!G1253</f>
        <v>257</v>
      </c>
      <c r="G219" s="526">
        <f>Analysis!H1253</f>
        <v>340</v>
      </c>
      <c r="H219" s="526">
        <f>Analysis!I1253</f>
        <v>426.5</v>
      </c>
      <c r="I219" s="526">
        <f>Analysis!J1253</f>
        <v>494</v>
      </c>
      <c r="J219" s="526">
        <f>Analysis!K1253</f>
        <v>522</v>
      </c>
    </row>
    <row r="220" spans="2:10" x14ac:dyDescent="0.55000000000000004">
      <c r="B220" s="108" t="str">
        <f>Analysis!B1254</f>
        <v>Credit Cards</v>
      </c>
      <c r="C220" s="159"/>
      <c r="D220" s="159"/>
      <c r="E220" s="159"/>
      <c r="F220" s="159">
        <f>Analysis!G1254</f>
        <v>174</v>
      </c>
      <c r="G220" s="159">
        <f>Analysis!H1254</f>
        <v>251</v>
      </c>
      <c r="H220" s="159">
        <f>Analysis!I1254</f>
        <v>320.7</v>
      </c>
      <c r="I220" s="159">
        <f>Analysis!J1254</f>
        <v>399</v>
      </c>
      <c r="J220" s="159">
        <f>Analysis!K1254</f>
        <v>451</v>
      </c>
    </row>
    <row r="221" spans="2:10" x14ac:dyDescent="0.55000000000000004">
      <c r="B221" s="521" t="str">
        <f>Analysis!B1255</f>
        <v>Other</v>
      </c>
      <c r="C221" s="527"/>
      <c r="D221" s="527"/>
      <c r="E221" s="527"/>
      <c r="F221" s="527">
        <f>Analysis!G1255</f>
        <v>6</v>
      </c>
      <c r="G221" s="527">
        <f>Analysis!H1255</f>
        <v>6</v>
      </c>
      <c r="H221" s="527">
        <f>Analysis!I1255</f>
        <v>7.7</v>
      </c>
      <c r="I221" s="527">
        <f>Analysis!J1255</f>
        <v>9</v>
      </c>
      <c r="J221" s="527">
        <f>Analysis!K1255</f>
        <v>12</v>
      </c>
    </row>
    <row r="222" spans="2:10" x14ac:dyDescent="0.55000000000000004">
      <c r="B222" s="108" t="str">
        <f>Analysis!B1256</f>
        <v>Total ECL</v>
      </c>
      <c r="C222" s="159"/>
      <c r="D222" s="159"/>
      <c r="E222" s="159"/>
      <c r="F222" s="159">
        <f>Analysis!G1256</f>
        <v>437</v>
      </c>
      <c r="G222" s="159">
        <f>Analysis!H1256</f>
        <v>597</v>
      </c>
      <c r="H222" s="159">
        <f>Analysis!I1256</f>
        <v>754.90000000000009</v>
      </c>
      <c r="I222" s="159">
        <f>Analysis!J1256</f>
        <v>902</v>
      </c>
      <c r="J222" s="159">
        <f>Analysis!K1256</f>
        <v>985</v>
      </c>
    </row>
    <row r="223" spans="2:10" x14ac:dyDescent="0.55000000000000004">
      <c r="B223" s="472" t="str">
        <f>Analysis!B1257</f>
        <v>as % book</v>
      </c>
      <c r="C223" s="526"/>
      <c r="D223" s="526"/>
      <c r="E223" s="526"/>
      <c r="F223" s="525">
        <f>Analysis!G1257</f>
        <v>0.22915935955581621</v>
      </c>
      <c r="G223" s="525">
        <f>Analysis!H1257</f>
        <v>0.29054128321346395</v>
      </c>
      <c r="H223" s="525">
        <f>Analysis!I1257</f>
        <v>0.33182184713783375</v>
      </c>
      <c r="I223" s="525">
        <f>Analysis!J1257</f>
        <v>0.33995851287161793</v>
      </c>
      <c r="J223" s="525">
        <f>Analysis!K1257</f>
        <v>0.36199926497611173</v>
      </c>
    </row>
    <row r="224" spans="2:10" x14ac:dyDescent="0.55000000000000004">
      <c r="C224" s="159"/>
      <c r="D224" s="159"/>
      <c r="E224" s="159"/>
      <c r="F224" s="159"/>
      <c r="G224" s="159"/>
      <c r="H224" s="159"/>
      <c r="I224" s="159"/>
      <c r="J224" s="159"/>
    </row>
    <row r="225" spans="2:10" x14ac:dyDescent="0.55000000000000004">
      <c r="B225" s="472" t="str">
        <f>Analysis!B1259</f>
        <v>Change in provision</v>
      </c>
      <c r="C225" s="526"/>
      <c r="D225" s="526"/>
      <c r="E225" s="526"/>
      <c r="F225" s="526"/>
      <c r="G225" s="526"/>
      <c r="H225" s="526"/>
      <c r="I225" s="526"/>
      <c r="J225" s="526"/>
    </row>
    <row r="226" spans="2:10" x14ac:dyDescent="0.55000000000000004">
      <c r="B226" s="108" t="str">
        <f>Analysis!B1260</f>
        <v>Working Capital</v>
      </c>
      <c r="C226" s="159"/>
      <c r="D226" s="159"/>
      <c r="E226" s="159"/>
      <c r="F226" s="159">
        <f>Analysis!G1260</f>
        <v>39.5</v>
      </c>
      <c r="G226" s="159">
        <f>Analysis!H1260</f>
        <v>83</v>
      </c>
      <c r="H226" s="159">
        <f>Analysis!I1260</f>
        <v>86.5</v>
      </c>
      <c r="I226" s="159">
        <f>Analysis!J1260</f>
        <v>67.5</v>
      </c>
      <c r="J226" s="159">
        <f>Analysis!K1260</f>
        <v>28</v>
      </c>
    </row>
    <row r="227" spans="2:10" x14ac:dyDescent="0.55000000000000004">
      <c r="B227" s="472" t="str">
        <f>Analysis!B1261</f>
        <v>Credit Cards</v>
      </c>
      <c r="C227" s="526"/>
      <c r="D227" s="526"/>
      <c r="E227" s="526"/>
      <c r="F227" s="526">
        <f>Analysis!G1261</f>
        <v>29.5</v>
      </c>
      <c r="G227" s="526">
        <f>Analysis!H1261</f>
        <v>77</v>
      </c>
      <c r="H227" s="526">
        <f>Analysis!I1261</f>
        <v>69.699999999999989</v>
      </c>
      <c r="I227" s="526">
        <f>Analysis!J1261</f>
        <v>78.300000000000011</v>
      </c>
      <c r="J227" s="526">
        <f>Analysis!K1261</f>
        <v>52</v>
      </c>
    </row>
    <row r="228" spans="2:10" x14ac:dyDescent="0.55000000000000004">
      <c r="B228" s="118" t="str">
        <f>Analysis!B1262</f>
        <v>Other</v>
      </c>
      <c r="C228" s="524"/>
      <c r="D228" s="524"/>
      <c r="E228" s="524"/>
      <c r="F228" s="524">
        <f>Analysis!G1262</f>
        <v>1.5</v>
      </c>
      <c r="G228" s="524">
        <f>Analysis!H1262</f>
        <v>0</v>
      </c>
      <c r="H228" s="524">
        <f>Analysis!I1262</f>
        <v>1.7000000000000002</v>
      </c>
      <c r="I228" s="524">
        <f>Analysis!J1262</f>
        <v>1.2999999999999998</v>
      </c>
      <c r="J228" s="524">
        <f>Analysis!K1262</f>
        <v>3</v>
      </c>
    </row>
    <row r="229" spans="2:10" x14ac:dyDescent="0.55000000000000004">
      <c r="B229" s="528" t="str">
        <f>Analysis!B1263</f>
        <v xml:space="preserve">Total ECL </v>
      </c>
      <c r="C229" s="529"/>
      <c r="D229" s="529"/>
      <c r="E229" s="529"/>
      <c r="F229" s="529">
        <f>Analysis!G1263</f>
        <v>70.5</v>
      </c>
      <c r="G229" s="529">
        <f>Analysis!H1263</f>
        <v>160</v>
      </c>
      <c r="H229" s="529">
        <f>Analysis!I1263</f>
        <v>157.90000000000009</v>
      </c>
      <c r="I229" s="529">
        <f>Analysis!J1263</f>
        <v>147.09999999999991</v>
      </c>
      <c r="J229" s="529">
        <f>Analysis!K1263</f>
        <v>83</v>
      </c>
    </row>
    <row r="230" spans="2:10" x14ac:dyDescent="0.55000000000000004">
      <c r="B230" s="108" t="str">
        <f>Analysis!B1264</f>
        <v>as % revenue</v>
      </c>
      <c r="C230" s="159"/>
      <c r="D230" s="159"/>
      <c r="E230" s="159"/>
      <c r="F230" s="112">
        <f>Analysis!G1264</f>
        <v>0.22851458044344827</v>
      </c>
      <c r="G230" s="112">
        <f>Analysis!H1264</f>
        <v>0.48110781770499372</v>
      </c>
      <c r="H230" s="112">
        <f>Analysis!I1264</f>
        <v>0.45932878977504416</v>
      </c>
      <c r="I230" s="112">
        <f>Analysis!J1264</f>
        <v>0.39146736177877306</v>
      </c>
      <c r="J230" s="112">
        <f>Analysis!K1264</f>
        <v>0.22941269678114923</v>
      </c>
    </row>
    <row r="231" spans="2:10" x14ac:dyDescent="0.55000000000000004">
      <c r="B231" s="472"/>
      <c r="C231" s="526"/>
      <c r="D231" s="526"/>
      <c r="E231" s="526"/>
      <c r="F231" s="526"/>
      <c r="G231" s="526"/>
      <c r="H231" s="526"/>
      <c r="I231" s="526"/>
      <c r="J231" s="526"/>
    </row>
    <row r="232" spans="2:10" x14ac:dyDescent="0.55000000000000004">
      <c r="B232" s="108" t="str">
        <f>Analysis!B1266</f>
        <v>Net interest income</v>
      </c>
      <c r="C232" s="159"/>
      <c r="D232" s="159"/>
      <c r="E232" s="159"/>
      <c r="F232" s="159">
        <f>Analysis!G1266</f>
        <v>142.28778944446478</v>
      </c>
      <c r="G232" s="159">
        <f>Analysis!H1266</f>
        <v>170.40260633492653</v>
      </c>
      <c r="H232" s="159">
        <f>Analysis!I1266</f>
        <v>171.95104632575305</v>
      </c>
      <c r="I232" s="159">
        <f>Analysis!J1266</f>
        <v>175.92335108089279</v>
      </c>
      <c r="J232" s="159">
        <f>Analysis!K1266</f>
        <v>162.4633396660081</v>
      </c>
    </row>
    <row r="233" spans="2:10" x14ac:dyDescent="0.55000000000000004">
      <c r="B233" s="472" t="str">
        <f>Analysis!B1267</f>
        <v>Other revenues</v>
      </c>
      <c r="C233" s="526"/>
      <c r="D233" s="526"/>
      <c r="E233" s="526"/>
      <c r="F233" s="526">
        <f>Analysis!G1267</f>
        <v>4.638558354018258</v>
      </c>
      <c r="G233" s="526">
        <f>Analysis!H1267</f>
        <v>37.545871336257903</v>
      </c>
      <c r="H233" s="526">
        <f>Analysis!I1267</f>
        <v>56.413712750032929</v>
      </c>
      <c r="I233" s="526">
        <f>Analysis!J1267</f>
        <v>83.698140622523894</v>
      </c>
      <c r="J233" s="526">
        <f>Analysis!K1267</f>
        <v>84.129773049032508</v>
      </c>
    </row>
    <row r="234" spans="2:10" x14ac:dyDescent="0.55000000000000004">
      <c r="B234" s="118" t="str">
        <f>Analysis!B1268</f>
        <v>Provision</v>
      </c>
      <c r="C234" s="524"/>
      <c r="D234" s="524"/>
      <c r="E234" s="524"/>
      <c r="F234" s="524">
        <f>Analysis!G1268</f>
        <v>70.5</v>
      </c>
      <c r="G234" s="524">
        <f>Analysis!H1268</f>
        <v>160</v>
      </c>
      <c r="H234" s="524">
        <f>Analysis!I1268</f>
        <v>157.90000000000009</v>
      </c>
      <c r="I234" s="524">
        <f>Analysis!J1268</f>
        <v>147.09999999999991</v>
      </c>
      <c r="J234" s="524">
        <f>Analysis!K1268</f>
        <v>83</v>
      </c>
    </row>
    <row r="235" spans="2:10" x14ac:dyDescent="0.55000000000000004">
      <c r="B235" s="528" t="str">
        <f>Analysis!B1269</f>
        <v>Gross profit</v>
      </c>
      <c r="C235" s="529"/>
      <c r="D235" s="529"/>
      <c r="E235" s="529"/>
      <c r="F235" s="529">
        <f>Analysis!G1269</f>
        <v>76.426347798483036</v>
      </c>
      <c r="G235" s="529">
        <f>Analysis!H1269</f>
        <v>47.948477671184435</v>
      </c>
      <c r="H235" s="529">
        <f>Analysis!I1269</f>
        <v>70.464759075785892</v>
      </c>
      <c r="I235" s="529">
        <f>Analysis!J1269</f>
        <v>112.52149170341677</v>
      </c>
      <c r="J235" s="529">
        <f>Analysis!K1269</f>
        <v>163.5931127150406</v>
      </c>
    </row>
    <row r="236" spans="2:10" x14ac:dyDescent="0.55000000000000004">
      <c r="C236" s="159"/>
      <c r="D236" s="159"/>
      <c r="E236" s="159"/>
      <c r="F236" s="159"/>
      <c r="G236" s="159"/>
      <c r="H236" s="159"/>
      <c r="I236" s="159"/>
      <c r="J236" s="159"/>
    </row>
    <row r="237" spans="2:10" x14ac:dyDescent="0.55000000000000004">
      <c r="B237" s="472" t="str">
        <f>Analysis!B1271</f>
        <v>Other opex (Gross Profit less EBITDA)</v>
      </c>
      <c r="C237" s="526"/>
      <c r="D237" s="526"/>
      <c r="E237" s="526"/>
      <c r="F237" s="526" t="e">
        <f>Analysis!G1271</f>
        <v>#REF!</v>
      </c>
      <c r="G237" s="526" t="e">
        <f>Analysis!H1271</f>
        <v>#REF!</v>
      </c>
      <c r="H237" s="526" t="e">
        <f>Analysis!I1271</f>
        <v>#REF!</v>
      </c>
      <c r="I237" s="526" t="e">
        <f>Analysis!J1271</f>
        <v>#REF!</v>
      </c>
      <c r="J237" s="526" t="e">
        <f>Analysis!K1271</f>
        <v>#REF!</v>
      </c>
    </row>
    <row r="238" spans="2:10" ht="14.7" thickBot="1" x14ac:dyDescent="0.6">
      <c r="B238" s="108" t="str">
        <f>Analysis!B1272</f>
        <v>as % revenue</v>
      </c>
      <c r="C238" s="159"/>
      <c r="D238" s="159"/>
      <c r="E238" s="159"/>
      <c r="F238" s="112" t="e">
        <f>Analysis!G1272</f>
        <v>#REF!</v>
      </c>
      <c r="G238" s="112" t="e">
        <f>Analysis!H1272</f>
        <v>#REF!</v>
      </c>
      <c r="H238" s="112" t="e">
        <f>Analysis!I1272</f>
        <v>#REF!</v>
      </c>
      <c r="I238" s="112" t="e">
        <f>Analysis!J1272</f>
        <v>#REF!</v>
      </c>
      <c r="J238" s="112" t="e">
        <f>Analysis!K1272</f>
        <v>#REF!</v>
      </c>
    </row>
    <row r="239" spans="2:10" x14ac:dyDescent="0.55000000000000004">
      <c r="B239" s="530" t="str">
        <f>Analysis!B1273</f>
        <v>EBITDA</v>
      </c>
      <c r="C239" s="531"/>
      <c r="D239" s="531"/>
      <c r="E239" s="531"/>
      <c r="F239" s="531" t="e">
        <f>Analysis!G1273</f>
        <v>#REF!</v>
      </c>
      <c r="G239" s="531" t="e">
        <f>Analysis!H1273</f>
        <v>#REF!</v>
      </c>
      <c r="H239" s="531" t="e">
        <f>Analysis!I1273</f>
        <v>#REF!</v>
      </c>
      <c r="I239" s="531" t="e">
        <f>Analysis!J1273</f>
        <v>#REF!</v>
      </c>
      <c r="J239" s="532" t="e">
        <f>Analysis!K1273</f>
        <v>#REF!</v>
      </c>
    </row>
    <row r="240" spans="2:10" ht="14.7" thickBot="1" x14ac:dyDescent="0.6">
      <c r="B240" s="533" t="str">
        <f>Analysis!B1274</f>
        <v>% margin</v>
      </c>
      <c r="C240" s="534"/>
      <c r="D240" s="534"/>
      <c r="E240" s="534"/>
      <c r="F240" s="535" t="e">
        <f>Analysis!G1274</f>
        <v>#REF!</v>
      </c>
      <c r="G240" s="535" t="e">
        <f>Analysis!H1274</f>
        <v>#REF!</v>
      </c>
      <c r="H240" s="535" t="e">
        <f>Analysis!I1274</f>
        <v>#REF!</v>
      </c>
      <c r="I240" s="535" t="e">
        <f>Analysis!J1274</f>
        <v>#REF!</v>
      </c>
      <c r="J240" s="536" t="e">
        <f>Analysis!K1274</f>
        <v>#REF!</v>
      </c>
    </row>
    <row r="243" spans="2:10" x14ac:dyDescent="0.55000000000000004">
      <c r="C243" s="121" t="str">
        <f>Quarts!W4</f>
        <v>1Q 22</v>
      </c>
      <c r="D243" s="121" t="str">
        <f>Quarts!X4</f>
        <v>2Q 22</v>
      </c>
      <c r="E243" s="121" t="str">
        <f>Quarts!Y4</f>
        <v>3Q 22</v>
      </c>
      <c r="F243" s="121" t="str">
        <f>Quarts!Z4</f>
        <v>4Q 22</v>
      </c>
      <c r="G243" s="121" t="str">
        <f>Quarts!AA4</f>
        <v>1Q 23</v>
      </c>
      <c r="H243" s="121" t="str">
        <f>Quarts!AB4</f>
        <v>2Q 23</v>
      </c>
      <c r="I243" s="121" t="str">
        <f>Quarts!AC4</f>
        <v>3Q 23</v>
      </c>
      <c r="J243" s="121" t="str">
        <f>Quarts!AD4</f>
        <v>4Q 23</v>
      </c>
    </row>
    <row r="244" spans="2:10" x14ac:dyDescent="0.55000000000000004">
      <c r="B244" s="108" t="s">
        <v>2713</v>
      </c>
      <c r="C244" s="159">
        <f>Quarts!W232</f>
        <v>332.56578694405874</v>
      </c>
      <c r="D244" s="159">
        <f>Quarts!X232</f>
        <v>343.76247149091495</v>
      </c>
      <c r="E244" s="159">
        <f>Quarts!Y232</f>
        <v>375.76568154136282</v>
      </c>
      <c r="F244" s="159">
        <f>Quarts!Z232</f>
        <v>361.79340186728535</v>
      </c>
      <c r="G244" s="159">
        <f>Quarts!AA232</f>
        <v>330.59726660021369</v>
      </c>
      <c r="H244" s="159">
        <f>Quarts!AB232</f>
        <v>243</v>
      </c>
      <c r="I244" s="159">
        <f>Quarts!AC232</f>
        <v>260</v>
      </c>
      <c r="J244" s="159">
        <f>Quarts!AD232</f>
        <v>252.9</v>
      </c>
    </row>
    <row r="245" spans="2:10" x14ac:dyDescent="0.55000000000000004">
      <c r="B245" s="108" t="s">
        <v>2714</v>
      </c>
      <c r="C245" s="159">
        <f>Quarts!W234</f>
        <v>305</v>
      </c>
      <c r="D245" s="159">
        <f>Quarts!X234</f>
        <v>314</v>
      </c>
      <c r="E245" s="159">
        <f>Quarts!Y234</f>
        <v>339</v>
      </c>
      <c r="F245" s="159">
        <f>Quarts!Z234</f>
        <v>329</v>
      </c>
      <c r="G245" s="159">
        <f>Quarts!AA234</f>
        <v>297.8</v>
      </c>
      <c r="H245" s="159">
        <f>Quarts!AB234</f>
        <v>210</v>
      </c>
      <c r="I245" s="159">
        <f>Quarts!AC234</f>
        <v>0</v>
      </c>
      <c r="J245" s="159">
        <f>Quarts!AD234</f>
        <v>0</v>
      </c>
    </row>
    <row r="247" spans="2:10" x14ac:dyDescent="0.55000000000000004">
      <c r="B247" s="108" t="s">
        <v>2715</v>
      </c>
      <c r="C247" s="159">
        <f>Quarts!W340</f>
        <v>-76.37532595368063</v>
      </c>
      <c r="D247" s="159">
        <f>Quarts!X340</f>
        <v>-66.500363314964247</v>
      </c>
      <c r="E247" s="159">
        <f>Quarts!Y340</f>
        <v>-62.279519015963544</v>
      </c>
      <c r="F247" s="159">
        <f>Quarts!Z340</f>
        <v>11.614551315863878</v>
      </c>
      <c r="G247" s="159">
        <f>Quarts!AA340</f>
        <v>68.885493601362384</v>
      </c>
      <c r="H247" s="159">
        <f>Quarts!AB340</f>
        <v>-0.7</v>
      </c>
      <c r="I247" s="159">
        <f>Quarts!AC340</f>
        <v>2</v>
      </c>
      <c r="J247" s="159">
        <f>Quarts!AD340</f>
        <v>53.1</v>
      </c>
    </row>
    <row r="248" spans="2:10" x14ac:dyDescent="0.55000000000000004">
      <c r="B248" s="108" t="s">
        <v>2716</v>
      </c>
      <c r="C248" s="159">
        <f>Quarts!W342</f>
        <v>-104.37100101976003</v>
      </c>
      <c r="D248" s="159">
        <f>Quarts!X342</f>
        <v>-95.783634161961672</v>
      </c>
      <c r="E248" s="159">
        <f>Quarts!Y342</f>
        <v>-98.621744390384976</v>
      </c>
      <c r="F248" s="159">
        <f>Quarts!Z342</f>
        <v>-21</v>
      </c>
      <c r="G248" s="159">
        <f>Quarts!AA342</f>
        <v>36.1</v>
      </c>
      <c r="H248" s="159">
        <f>Quarts!AB342</f>
        <v>-34.6</v>
      </c>
      <c r="I248" s="159"/>
      <c r="J248" s="159"/>
    </row>
    <row r="250" spans="2:10" x14ac:dyDescent="0.55000000000000004">
      <c r="B250" s="108" t="s">
        <v>2717</v>
      </c>
      <c r="C250" s="112">
        <f>Quarts!W331</f>
        <v>0.48411474156564993</v>
      </c>
      <c r="D250" s="112">
        <f>Quarts!X331</f>
        <v>0.45641980440598123</v>
      </c>
      <c r="E250" s="112">
        <f>Quarts!Y331</f>
        <v>0.39146736177877306</v>
      </c>
      <c r="F250" s="112">
        <f>Quarts!Z331</f>
        <v>0.22941269678114923</v>
      </c>
      <c r="G250" s="112">
        <f>Quarts!AA331</f>
        <v>0.11796830748501655</v>
      </c>
      <c r="H250" s="112">
        <f>Quarts!AB331</f>
        <v>2.4691358024691357E-2</v>
      </c>
      <c r="I250" s="112">
        <f>Quarts!AC331</f>
        <v>0.13076923076923078</v>
      </c>
      <c r="J250" s="112">
        <f>Quarts!AD331</f>
        <v>0.11466982997232107</v>
      </c>
    </row>
  </sheetData>
  <phoneticPr fontId="51" type="noConversion"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1879C-6751-4901-982A-734CCD5B413D}">
  <dimension ref="A1:M70"/>
  <sheetViews>
    <sheetView showGridLines="0" showRowColHeaders="0" workbookViewId="0">
      <selection activeCell="B2" sqref="B2"/>
    </sheetView>
  </sheetViews>
  <sheetFormatPr defaultColWidth="0" defaultRowHeight="14.25" customHeight="1" zeroHeight="1" x14ac:dyDescent="0.55000000000000004"/>
  <cols>
    <col min="1" max="1" width="2.41796875" style="248" customWidth="1"/>
    <col min="2" max="2" width="30.41796875" style="248" customWidth="1"/>
    <col min="3" max="3" width="20.41796875" style="248" customWidth="1"/>
    <col min="4" max="4" width="2.41796875" style="248" customWidth="1"/>
    <col min="5" max="5" width="30.41796875" style="248" customWidth="1"/>
    <col min="6" max="12" width="10.41796875" style="248" customWidth="1"/>
    <col min="13" max="13" width="2.41796875" style="248" customWidth="1"/>
    <col min="14" max="16384" width="10.41796875" style="248" hidden="1"/>
  </cols>
  <sheetData>
    <row r="1" spans="2:12" ht="14.25" customHeight="1" x14ac:dyDescent="0.55000000000000004"/>
    <row r="2" spans="2:12" ht="14.25" customHeight="1" x14ac:dyDescent="0.55000000000000004">
      <c r="B2" s="249" t="s">
        <v>931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</row>
    <row r="3" spans="2:12" ht="7.5" customHeight="1" x14ac:dyDescent="0.55000000000000004"/>
    <row r="4" spans="2:12" ht="14.25" customHeight="1" x14ac:dyDescent="0.55000000000000004">
      <c r="B4" s="251" t="s">
        <v>3139</v>
      </c>
    </row>
    <row r="5" spans="2:12" ht="7.5" customHeight="1" x14ac:dyDescent="0.55000000000000004"/>
    <row r="6" spans="2:12" ht="14.25" customHeight="1" x14ac:dyDescent="0.55000000000000004">
      <c r="B6" s="252" t="s">
        <v>932</v>
      </c>
      <c r="C6" s="252"/>
      <c r="E6" s="252" t="s">
        <v>933</v>
      </c>
      <c r="F6" s="253">
        <v>2023</v>
      </c>
      <c r="G6" s="253">
        <v>2024</v>
      </c>
      <c r="H6" s="253">
        <v>2025</v>
      </c>
      <c r="I6" s="253">
        <v>2026</v>
      </c>
      <c r="J6" s="253">
        <v>2027</v>
      </c>
    </row>
    <row r="7" spans="2:12" ht="14.25" customHeight="1" x14ac:dyDescent="0.55000000000000004">
      <c r="B7" s="254" t="s">
        <v>934</v>
      </c>
      <c r="C7" s="255" t="s">
        <v>935</v>
      </c>
      <c r="E7" s="256" t="s">
        <v>547</v>
      </c>
      <c r="F7" s="257">
        <f>Valuation!H42</f>
        <v>3.1098488995485338</v>
      </c>
      <c r="G7" s="257">
        <f>Valuation!I42</f>
        <v>2.0615328063665612</v>
      </c>
      <c r="H7" s="257">
        <f>Valuation!J42</f>
        <v>1.3720965237147975</v>
      </c>
      <c r="I7" s="257">
        <f>Valuation!K42</f>
        <v>1.0422059005330333</v>
      </c>
      <c r="J7" s="257">
        <f>Valuation!L42</f>
        <v>0.71352335502934183</v>
      </c>
    </row>
    <row r="8" spans="2:12" ht="14.25" customHeight="1" x14ac:dyDescent="0.55000000000000004">
      <c r="B8" s="258" t="s">
        <v>936</v>
      </c>
      <c r="C8" s="259" t="s">
        <v>937</v>
      </c>
      <c r="E8" s="248" t="s">
        <v>938</v>
      </c>
      <c r="F8" s="260">
        <f>Valuation!H43</f>
        <v>12.766315738070348</v>
      </c>
      <c r="G8" s="260">
        <f>Valuation!I43</f>
        <v>10.092154207257828</v>
      </c>
      <c r="H8" s="260">
        <f>Valuation!J43</f>
        <v>7.9716711296866771</v>
      </c>
      <c r="I8" s="260">
        <f>Valuation!K43</f>
        <v>7.5630326566431911</v>
      </c>
      <c r="J8" s="260">
        <f>Valuation!L43</f>
        <v>0.71352335502934183</v>
      </c>
    </row>
    <row r="9" spans="2:12" ht="14.25" customHeight="1" x14ac:dyDescent="0.55000000000000004">
      <c r="B9" s="254" t="s">
        <v>796</v>
      </c>
      <c r="C9" s="261">
        <v>45292</v>
      </c>
      <c r="E9" s="262" t="s">
        <v>939</v>
      </c>
      <c r="F9" s="263">
        <f>Valuation!H61</f>
        <v>0.12369911638093797</v>
      </c>
      <c r="G9" s="263">
        <f>Valuation!I61</f>
        <v>0.13401534736097068</v>
      </c>
      <c r="H9" s="263">
        <f>Valuation!J61</f>
        <v>0.14433254978615243</v>
      </c>
      <c r="I9" s="263">
        <f>Valuation!K61</f>
        <v>0.13791699427870691</v>
      </c>
      <c r="J9" s="263">
        <f>Valuation!L61</f>
        <v>0.13196239069342472</v>
      </c>
    </row>
    <row r="10" spans="2:12" ht="14.25" customHeight="1" x14ac:dyDescent="0.55000000000000004">
      <c r="B10" s="258" t="s">
        <v>940</v>
      </c>
      <c r="C10" s="264" t="s">
        <v>1084</v>
      </c>
    </row>
    <row r="11" spans="2:12" ht="14.25" customHeight="1" x14ac:dyDescent="0.55000000000000004">
      <c r="B11" s="265" t="s">
        <v>941</v>
      </c>
      <c r="C11" s="273">
        <f>Valuation!G11</f>
        <v>17.698803761498201</v>
      </c>
      <c r="E11" s="252" t="s">
        <v>933</v>
      </c>
      <c r="F11" s="253" t="s">
        <v>960</v>
      </c>
      <c r="G11" s="253" t="s">
        <v>961</v>
      </c>
      <c r="H11" s="253" t="s">
        <v>962</v>
      </c>
      <c r="I11" s="253" t="s">
        <v>963</v>
      </c>
      <c r="J11" s="253">
        <v>2023</v>
      </c>
    </row>
    <row r="12" spans="2:12" ht="14.25" customHeight="1" x14ac:dyDescent="0.55000000000000004">
      <c r="E12" s="256" t="s">
        <v>942</v>
      </c>
      <c r="F12" s="266">
        <f>Quarts!AA159</f>
        <v>88100</v>
      </c>
      <c r="G12" s="266">
        <f>Quarts!AB159</f>
        <v>92700</v>
      </c>
      <c r="H12" s="266">
        <f>Quarts!AC159</f>
        <v>99836</v>
      </c>
      <c r="I12" s="266" t="e">
        <f>Quarts!#REF!</f>
        <v>#REF!</v>
      </c>
      <c r="J12" s="266">
        <f>Acquirer!L83*1000</f>
        <v>394600</v>
      </c>
    </row>
    <row r="13" spans="2:12" ht="14.25" customHeight="1" x14ac:dyDescent="0.55000000000000004">
      <c r="B13" s="252" t="s">
        <v>431</v>
      </c>
      <c r="C13" s="252"/>
      <c r="E13" s="248" t="s">
        <v>943</v>
      </c>
      <c r="F13" s="260">
        <f>Quarts!AA160/1000</f>
        <v>6.9</v>
      </c>
      <c r="G13" s="260">
        <f>Quarts!AB160/1000</f>
        <v>6.8</v>
      </c>
      <c r="H13" s="260">
        <f>Quarts!AC160/1000</f>
        <v>6.7</v>
      </c>
      <c r="I13" s="260" t="e">
        <f>Quarts!#REF!/1000</f>
        <v>#REF!</v>
      </c>
      <c r="J13" s="260">
        <f>Acquirer!L90/1000</f>
        <v>6.5</v>
      </c>
    </row>
    <row r="14" spans="2:12" ht="14.25" customHeight="1" x14ac:dyDescent="0.55000000000000004">
      <c r="B14" s="254" t="s">
        <v>356</v>
      </c>
      <c r="C14" s="267">
        <f>Valuation!D111</f>
        <v>0.13020999999999999</v>
      </c>
      <c r="E14" s="256" t="s">
        <v>944</v>
      </c>
      <c r="F14" s="266">
        <f>Quarts!AA167</f>
        <v>116000</v>
      </c>
      <c r="G14" s="266">
        <f>Quarts!AB167</f>
        <v>127700</v>
      </c>
      <c r="H14" s="266">
        <f>Quarts!AC167</f>
        <v>143855</v>
      </c>
      <c r="I14" s="266" t="e">
        <f>Quarts!#REF!</f>
        <v>#REF!</v>
      </c>
      <c r="J14" s="266">
        <f>Pagbank!H62</f>
        <v>500738.2463784084</v>
      </c>
    </row>
    <row r="15" spans="2:12" ht="14.25" customHeight="1" x14ac:dyDescent="0.55000000000000004">
      <c r="B15" s="258" t="s">
        <v>945</v>
      </c>
      <c r="C15" s="268">
        <f>Valuation!I140</f>
        <v>0.14499999999999999</v>
      </c>
      <c r="E15" s="248" t="s">
        <v>946</v>
      </c>
      <c r="F15" s="260">
        <f>Quarts!AA203/1000</f>
        <v>16.3</v>
      </c>
      <c r="G15" s="260">
        <f>Quarts!AB203/1000</f>
        <v>16.399999999999999</v>
      </c>
      <c r="H15" s="260">
        <f ca="1">Quarts!AC203/1000</f>
        <v>16.8</v>
      </c>
      <c r="I15" s="260" t="e">
        <f>Quarts!#REF!/1000</f>
        <v>#REF!</v>
      </c>
      <c r="J15" s="260">
        <f>Pagbank!H67</f>
        <v>16.8</v>
      </c>
    </row>
    <row r="16" spans="2:12" ht="14.25" customHeight="1" x14ac:dyDescent="0.55000000000000004">
      <c r="B16" s="254" t="s">
        <v>3147</v>
      </c>
      <c r="C16" s="267">
        <f>Valuation!I138</f>
        <v>9.5699999999999993E-2</v>
      </c>
      <c r="E16" s="256" t="s">
        <v>947</v>
      </c>
      <c r="F16" s="266">
        <f>Quarts!AA9</f>
        <v>3750</v>
      </c>
      <c r="G16" s="266">
        <f>Quarts!AB9</f>
        <v>3826</v>
      </c>
      <c r="H16" s="266">
        <f>Quarts!AC9</f>
        <v>4026</v>
      </c>
      <c r="I16" s="266" t="e">
        <f>Quarts!#REF!</f>
        <v>#REF!</v>
      </c>
      <c r="J16" s="266">
        <f>Master!K12</f>
        <v>15949</v>
      </c>
    </row>
    <row r="17" spans="2:10" ht="14.25" customHeight="1" x14ac:dyDescent="0.55000000000000004">
      <c r="B17" s="258" t="s">
        <v>948</v>
      </c>
      <c r="C17" s="268" t="s">
        <v>9</v>
      </c>
      <c r="E17" s="248" t="s">
        <v>3140</v>
      </c>
      <c r="F17" s="269">
        <f>Quarts!AA98</f>
        <v>448</v>
      </c>
      <c r="G17" s="269">
        <f>Quarts!AB98</f>
        <v>485</v>
      </c>
      <c r="H17" s="269">
        <f>Quarts!AC98</f>
        <v>512</v>
      </c>
      <c r="I17" s="269" t="e">
        <f>Quarts!#REF!</f>
        <v>#REF!</v>
      </c>
      <c r="J17" s="260">
        <f>Master!K89</f>
        <v>2028.8999999999996</v>
      </c>
    </row>
    <row r="18" spans="2:10" ht="14.25" customHeight="1" x14ac:dyDescent="0.55000000000000004">
      <c r="B18" s="254" t="s">
        <v>950</v>
      </c>
      <c r="C18" s="267">
        <f>Valuation!I136</f>
        <v>0.04</v>
      </c>
      <c r="E18" s="256" t="s">
        <v>3141</v>
      </c>
      <c r="F18" s="266" t="s">
        <v>9</v>
      </c>
      <c r="G18" s="266" t="s">
        <v>9</v>
      </c>
      <c r="H18" s="266" t="s">
        <v>9</v>
      </c>
      <c r="I18" s="266" t="s">
        <v>9</v>
      </c>
      <c r="J18" s="266">
        <f>Master!K101</f>
        <v>2185.5199999999995</v>
      </c>
    </row>
    <row r="19" spans="2:10" ht="14.25" customHeight="1" x14ac:dyDescent="0.55000000000000004">
      <c r="B19" s="258" t="s">
        <v>820</v>
      </c>
      <c r="C19" s="260">
        <f>Valuation!I139</f>
        <v>1</v>
      </c>
      <c r="E19" s="248" t="s">
        <v>949</v>
      </c>
      <c r="F19" s="269">
        <f>Quarts!AA105</f>
        <v>370</v>
      </c>
      <c r="G19" s="269">
        <f>Quarts!AB105</f>
        <v>385</v>
      </c>
      <c r="H19" s="269">
        <f>Quarts!AC105</f>
        <v>411</v>
      </c>
      <c r="I19" s="269" t="e">
        <f>Quarts!#REF!</f>
        <v>#REF!</v>
      </c>
      <c r="J19" s="269">
        <f>Master!K94</f>
        <v>1637.8999999999996</v>
      </c>
    </row>
    <row r="20" spans="2:10" ht="14.25" customHeight="1" x14ac:dyDescent="0.55000000000000004">
      <c r="B20" s="254" t="s">
        <v>952</v>
      </c>
      <c r="C20" s="271">
        <f>Valuation!I135</f>
        <v>0.105</v>
      </c>
      <c r="E20" s="262" t="s">
        <v>951</v>
      </c>
      <c r="F20" s="270">
        <f>Quarts!AA110</f>
        <v>392</v>
      </c>
      <c r="G20" s="270">
        <f>Quarts!AB110</f>
        <v>415</v>
      </c>
      <c r="H20" s="270">
        <f>Quarts!AC110</f>
        <v>440</v>
      </c>
      <c r="I20" s="270" t="e">
        <f>Quarts!#REF!</f>
        <v>#REF!</v>
      </c>
      <c r="J20" s="270">
        <f>Master!K103</f>
        <v>1740.6199999999994</v>
      </c>
    </row>
    <row r="21" spans="2:10" ht="14.25" customHeight="1" x14ac:dyDescent="0.55000000000000004">
      <c r="B21" s="258" t="s">
        <v>957</v>
      </c>
      <c r="C21" s="268" t="s">
        <v>9</v>
      </c>
    </row>
    <row r="22" spans="2:10" ht="14.25" customHeight="1" x14ac:dyDescent="0.55000000000000004">
      <c r="B22" s="265" t="s">
        <v>958</v>
      </c>
      <c r="C22" s="263" t="s">
        <v>9</v>
      </c>
      <c r="E22" s="252" t="s">
        <v>933</v>
      </c>
      <c r="F22" s="253" t="s">
        <v>964</v>
      </c>
      <c r="G22" s="253" t="s">
        <v>965</v>
      </c>
      <c r="H22" s="253" t="s">
        <v>966</v>
      </c>
      <c r="I22" s="253" t="s">
        <v>967</v>
      </c>
      <c r="J22" s="253">
        <v>2024</v>
      </c>
    </row>
    <row r="23" spans="2:10" ht="14.25" customHeight="1" x14ac:dyDescent="0.55000000000000004">
      <c r="C23" s="248" t="s">
        <v>9</v>
      </c>
      <c r="E23" s="256" t="s">
        <v>942</v>
      </c>
      <c r="F23" s="266">
        <f>Quarts!AE159</f>
        <v>104000</v>
      </c>
      <c r="G23" s="266">
        <f>Quarts!AF159</f>
        <v>107000</v>
      </c>
      <c r="H23" s="266">
        <f>Quarts!AG159</f>
        <v>116000</v>
      </c>
      <c r="I23" s="266">
        <f>Quarts!AH159</f>
        <v>130826.19834710739</v>
      </c>
      <c r="J23" s="266">
        <f>Acquirer!M83*1000</f>
        <v>457826.19834710739</v>
      </c>
    </row>
    <row r="24" spans="2:10" ht="14.25" customHeight="1" x14ac:dyDescent="0.55000000000000004">
      <c r="E24" s="248" t="s">
        <v>943</v>
      </c>
      <c r="F24" s="260">
        <f>Quarts!AE160/1000</f>
        <v>6.5250000000000004</v>
      </c>
      <c r="G24" s="260">
        <f>Quarts!AF160/1000</f>
        <v>6.55</v>
      </c>
      <c r="H24" s="260">
        <f>Quarts!AG160/1000</f>
        <v>6.5750000000000002</v>
      </c>
      <c r="I24" s="260">
        <f>Quarts!AH160/1000</f>
        <v>6.6</v>
      </c>
      <c r="J24" s="260">
        <f>Acquirer!M90/1000</f>
        <v>6.6</v>
      </c>
    </row>
    <row r="25" spans="2:10" ht="14.25" customHeight="1" x14ac:dyDescent="0.55000000000000004">
      <c r="E25" s="256" t="s">
        <v>944</v>
      </c>
      <c r="F25" s="266">
        <f>Quarts!AE167</f>
        <v>150000</v>
      </c>
      <c r="G25" s="266">
        <f>Quarts!AF167</f>
        <v>160000</v>
      </c>
      <c r="H25" s="266">
        <f>Quarts!AG167</f>
        <v>170000</v>
      </c>
      <c r="I25" s="266">
        <f>Quarts!AH167</f>
        <v>123991.26500924956</v>
      </c>
      <c r="J25" s="266">
        <f>Pagbank!I62</f>
        <v>603991.26500924956</v>
      </c>
    </row>
    <row r="26" spans="2:10" ht="14.25" customHeight="1" x14ac:dyDescent="0.55000000000000004">
      <c r="E26" s="248" t="s">
        <v>946</v>
      </c>
      <c r="F26" s="260">
        <f>Quarts!AE203/1000</f>
        <v>17</v>
      </c>
      <c r="G26" s="260">
        <f>Quarts!AF203/1000</f>
        <v>17.2</v>
      </c>
      <c r="H26" s="260">
        <f>Quarts!AG203/1000</f>
        <v>17.399999999999999</v>
      </c>
      <c r="I26" s="260">
        <f>Quarts!AH203/1000</f>
        <v>17.8</v>
      </c>
      <c r="J26" s="260">
        <f>Pagbank!I67</f>
        <v>17.3</v>
      </c>
    </row>
    <row r="27" spans="2:10" ht="14.25" customHeight="1" x14ac:dyDescent="0.55000000000000004">
      <c r="E27" s="256" t="s">
        <v>947</v>
      </c>
      <c r="F27" s="266">
        <f>Quarts!AE9</f>
        <v>4037.3999999999996</v>
      </c>
      <c r="G27" s="266">
        <f>Quarts!AF9</f>
        <v>4119.6000000000004</v>
      </c>
      <c r="H27" s="266">
        <f>Quarts!AG9</f>
        <v>4390.2</v>
      </c>
      <c r="I27" s="266">
        <f>Quarts!AH9</f>
        <v>4886.6825833676094</v>
      </c>
      <c r="J27" s="266">
        <f>Master!L12</f>
        <v>17433.882583367609</v>
      </c>
    </row>
    <row r="28" spans="2:10" ht="14.25" customHeight="1" x14ac:dyDescent="0.55000000000000004">
      <c r="E28" s="248" t="s">
        <v>3140</v>
      </c>
      <c r="F28" s="269">
        <f>Quarts!AE98</f>
        <v>588.57957894736819</v>
      </c>
      <c r="G28" s="269">
        <f>Quarts!AF98</f>
        <v>590.84603157894799</v>
      </c>
      <c r="H28" s="269">
        <f>Quarts!AG98</f>
        <v>673.47265614035132</v>
      </c>
      <c r="I28" s="269">
        <f>Quarts!AH98</f>
        <v>721.54033793696635</v>
      </c>
      <c r="J28" s="260">
        <f>Master!L89</f>
        <v>2574.4386046036307</v>
      </c>
    </row>
    <row r="29" spans="2:10" ht="14.25" customHeight="1" x14ac:dyDescent="0.55000000000000004">
      <c r="E29" s="256" t="s">
        <v>3141</v>
      </c>
      <c r="F29" s="266" t="s">
        <v>9</v>
      </c>
      <c r="G29" s="266" t="s">
        <v>9</v>
      </c>
      <c r="H29" s="266" t="s">
        <v>9</v>
      </c>
      <c r="I29" s="266" t="s">
        <v>9</v>
      </c>
      <c r="J29" s="266">
        <f>Master!L101</f>
        <v>2738.8896046036307</v>
      </c>
    </row>
    <row r="30" spans="2:10" ht="14.25" customHeight="1" x14ac:dyDescent="0.55000000000000004">
      <c r="E30" s="248" t="s">
        <v>949</v>
      </c>
      <c r="F30" s="269">
        <f>Quarts!AE105</f>
        <v>470.86366315789456</v>
      </c>
      <c r="G30" s="269">
        <f>Quarts!AF105</f>
        <v>472.67682526315838</v>
      </c>
      <c r="H30" s="269">
        <f>Quarts!AG105</f>
        <v>538.7781249122811</v>
      </c>
      <c r="I30" s="269">
        <f>Quarts!AH105</f>
        <v>577.23227034957381</v>
      </c>
      <c r="J30" s="269">
        <f>Master!L94</f>
        <v>2059.5508836829044</v>
      </c>
    </row>
    <row r="31" spans="2:10" ht="14.25" customHeight="1" x14ac:dyDescent="0.55000000000000004">
      <c r="E31" s="262" t="s">
        <v>951</v>
      </c>
      <c r="F31" s="270">
        <f>Quarts!AE110</f>
        <v>497.86366315789456</v>
      </c>
      <c r="G31" s="270">
        <f>Quarts!AF110</f>
        <v>499.67682526315838</v>
      </c>
      <c r="H31" s="270">
        <f>Quarts!AG110</f>
        <v>565.7781249122811</v>
      </c>
      <c r="I31" s="270">
        <f>Quarts!AH110</f>
        <v>604.08827034957403</v>
      </c>
      <c r="J31" s="270">
        <f>Master!L103</f>
        <v>2167.4068836829047</v>
      </c>
    </row>
    <row r="32" spans="2:10" ht="14.25" customHeight="1" x14ac:dyDescent="0.55000000000000004"/>
    <row r="33" spans="5:10" ht="14.25" customHeight="1" x14ac:dyDescent="0.55000000000000004">
      <c r="E33" s="252" t="s">
        <v>933</v>
      </c>
      <c r="F33" s="253" t="s">
        <v>968</v>
      </c>
      <c r="G33" s="253" t="s">
        <v>969</v>
      </c>
      <c r="H33" s="253" t="s">
        <v>970</v>
      </c>
      <c r="I33" s="253" t="s">
        <v>971</v>
      </c>
      <c r="J33" s="253">
        <v>2025</v>
      </c>
    </row>
    <row r="34" spans="5:10" ht="14.25" customHeight="1" x14ac:dyDescent="0.55000000000000004">
      <c r="E34" s="256" t="s">
        <v>942</v>
      </c>
      <c r="F34" s="266"/>
      <c r="G34" s="266"/>
      <c r="H34" s="266"/>
      <c r="I34" s="266"/>
      <c r="J34" s="266">
        <f>Acquirer!N83*1000</f>
        <v>522175.37685950415</v>
      </c>
    </row>
    <row r="35" spans="5:10" ht="14.25" customHeight="1" x14ac:dyDescent="0.55000000000000004">
      <c r="E35" s="248" t="s">
        <v>943</v>
      </c>
      <c r="F35" s="260"/>
      <c r="G35" s="260"/>
      <c r="H35" s="260"/>
      <c r="I35" s="260"/>
      <c r="J35" s="260">
        <f>Acquirer!N90/1000</f>
        <v>6.8</v>
      </c>
    </row>
    <row r="36" spans="5:10" ht="14.25" customHeight="1" x14ac:dyDescent="0.55000000000000004">
      <c r="E36" s="256" t="s">
        <v>944</v>
      </c>
      <c r="F36" s="266"/>
      <c r="G36" s="266"/>
      <c r="H36" s="266"/>
      <c r="I36" s="266"/>
      <c r="J36" s="266">
        <f>Pagbank!J62</f>
        <v>651080.93721136183</v>
      </c>
    </row>
    <row r="37" spans="5:10" ht="14.25" customHeight="1" x14ac:dyDescent="0.55000000000000004">
      <c r="E37" s="248" t="s">
        <v>946</v>
      </c>
      <c r="F37" s="260"/>
      <c r="G37" s="260"/>
      <c r="H37" s="260"/>
      <c r="I37" s="260"/>
      <c r="J37" s="260">
        <f>Pagbank!J67</f>
        <v>17.8</v>
      </c>
    </row>
    <row r="38" spans="5:10" ht="14.25" customHeight="1" x14ac:dyDescent="0.55000000000000004">
      <c r="E38" s="256" t="s">
        <v>947</v>
      </c>
      <c r="F38" s="266"/>
      <c r="G38" s="266"/>
      <c r="H38" s="266"/>
      <c r="I38" s="266"/>
      <c r="J38" s="266">
        <f>Master!M12</f>
        <v>19159.259496036688</v>
      </c>
    </row>
    <row r="39" spans="5:10" ht="14.25" customHeight="1" x14ac:dyDescent="0.55000000000000004">
      <c r="E39" s="248" t="s">
        <v>3140</v>
      </c>
      <c r="F39" s="269"/>
      <c r="G39" s="269"/>
      <c r="H39" s="269"/>
      <c r="I39" s="269"/>
      <c r="J39" s="260">
        <f>Master!M89</f>
        <v>3255.6728026022447</v>
      </c>
    </row>
    <row r="40" spans="5:10" ht="14.25" customHeight="1" x14ac:dyDescent="0.55000000000000004">
      <c r="E40" s="256" t="s">
        <v>3141</v>
      </c>
      <c r="F40" s="266"/>
      <c r="G40" s="266"/>
      <c r="H40" s="266"/>
      <c r="I40" s="266"/>
      <c r="J40" s="266">
        <f>Master!M101</f>
        <v>3428.3463526022447</v>
      </c>
    </row>
    <row r="41" spans="5:10" ht="14.25" customHeight="1" x14ac:dyDescent="0.55000000000000004">
      <c r="E41" s="248" t="s">
        <v>949</v>
      </c>
      <c r="F41" s="269"/>
      <c r="G41" s="269"/>
      <c r="H41" s="269"/>
      <c r="I41" s="269"/>
      <c r="J41" s="269">
        <f>Master!M94</f>
        <v>2604.5382420817959</v>
      </c>
    </row>
    <row r="42" spans="5:10" ht="14.25" customHeight="1" x14ac:dyDescent="0.55000000000000004">
      <c r="E42" s="262" t="s">
        <v>951</v>
      </c>
      <c r="F42" s="270"/>
      <c r="G42" s="270"/>
      <c r="H42" s="270"/>
      <c r="I42" s="270"/>
      <c r="J42" s="270">
        <f>Master!M103</f>
        <v>2717.7870420817958</v>
      </c>
    </row>
    <row r="43" spans="5:10" ht="14.25" customHeight="1" x14ac:dyDescent="0.55000000000000004"/>
    <row r="44" spans="5:10" ht="14.25" customHeight="1" x14ac:dyDescent="0.55000000000000004">
      <c r="E44" s="252" t="s">
        <v>933</v>
      </c>
      <c r="F44" s="253" t="s">
        <v>3142</v>
      </c>
      <c r="G44" s="253" t="s">
        <v>3143</v>
      </c>
      <c r="H44" s="253" t="s">
        <v>3144</v>
      </c>
      <c r="I44" s="253" t="s">
        <v>3145</v>
      </c>
      <c r="J44" s="253">
        <v>2026</v>
      </c>
    </row>
    <row r="45" spans="5:10" ht="14.25" customHeight="1" x14ac:dyDescent="0.55000000000000004">
      <c r="E45" s="256" t="s">
        <v>942</v>
      </c>
      <c r="F45" s="266"/>
      <c r="G45" s="266"/>
      <c r="H45" s="266"/>
      <c r="I45" s="266"/>
      <c r="J45" s="266">
        <f>Acquirer!O83*1000</f>
        <v>586175.61545454559</v>
      </c>
    </row>
    <row r="46" spans="5:10" ht="14.25" customHeight="1" x14ac:dyDescent="0.55000000000000004">
      <c r="E46" s="248" t="s">
        <v>943</v>
      </c>
      <c r="F46" s="260"/>
      <c r="G46" s="260"/>
      <c r="H46" s="260"/>
      <c r="I46" s="260"/>
      <c r="J46" s="260">
        <f>Acquirer!O90/1000</f>
        <v>7</v>
      </c>
    </row>
    <row r="47" spans="5:10" ht="14.25" customHeight="1" x14ac:dyDescent="0.55000000000000004">
      <c r="E47" s="256" t="s">
        <v>944</v>
      </c>
      <c r="F47" s="266"/>
      <c r="G47" s="266"/>
      <c r="H47" s="266"/>
      <c r="I47" s="266"/>
      <c r="J47" s="266">
        <f>Pagbank!K62</f>
        <v>701331.90283883235</v>
      </c>
    </row>
    <row r="48" spans="5:10" ht="14.25" customHeight="1" x14ac:dyDescent="0.55000000000000004">
      <c r="E48" s="248" t="s">
        <v>946</v>
      </c>
      <c r="F48" s="260"/>
      <c r="G48" s="260"/>
      <c r="H48" s="260"/>
      <c r="I48" s="260"/>
      <c r="J48" s="260">
        <f>Pagbank!K67</f>
        <v>18.3</v>
      </c>
    </row>
    <row r="49" spans="5:10" ht="14.25" customHeight="1" x14ac:dyDescent="0.55000000000000004">
      <c r="E49" s="256" t="s">
        <v>947</v>
      </c>
      <c r="F49" s="266"/>
      <c r="G49" s="266"/>
      <c r="H49" s="266"/>
      <c r="I49" s="266"/>
      <c r="J49" s="266">
        <f>Master!N12</f>
        <v>20618.750366735352</v>
      </c>
    </row>
    <row r="50" spans="5:10" ht="14.25" customHeight="1" x14ac:dyDescent="0.55000000000000004">
      <c r="E50" s="248" t="s">
        <v>3140</v>
      </c>
      <c r="F50" s="269"/>
      <c r="G50" s="269"/>
      <c r="H50" s="269"/>
      <c r="I50" s="269"/>
      <c r="J50" s="260">
        <f>Master!N89</f>
        <v>3432.1508069910487</v>
      </c>
    </row>
    <row r="51" spans="5:10" ht="14.25" customHeight="1" x14ac:dyDescent="0.55000000000000004">
      <c r="E51" s="256" t="s">
        <v>3141</v>
      </c>
      <c r="F51" s="266"/>
      <c r="G51" s="266"/>
      <c r="H51" s="266"/>
      <c r="I51" s="266"/>
      <c r="J51" s="266">
        <f>Master!N101</f>
        <v>3613.4580344910487</v>
      </c>
    </row>
    <row r="52" spans="5:10" ht="14.25" customHeight="1" x14ac:dyDescent="0.55000000000000004">
      <c r="E52" s="248" t="s">
        <v>949</v>
      </c>
      <c r="F52" s="269"/>
      <c r="G52" s="269"/>
      <c r="H52" s="269"/>
      <c r="I52" s="269"/>
      <c r="J52" s="269">
        <f>Master!N94</f>
        <v>2745.720645592839</v>
      </c>
    </row>
    <row r="53" spans="5:10" ht="14.25" customHeight="1" x14ac:dyDescent="0.55000000000000004">
      <c r="E53" s="262" t="s">
        <v>951</v>
      </c>
      <c r="F53" s="270"/>
      <c r="G53" s="270"/>
      <c r="H53" s="270"/>
      <c r="I53" s="270"/>
      <c r="J53" s="270">
        <f>Master!N103</f>
        <v>2864.6318855928389</v>
      </c>
    </row>
    <row r="54" spans="5:10" ht="14.25" customHeight="1" x14ac:dyDescent="0.55000000000000004"/>
    <row r="55" spans="5:10" ht="14.25" customHeight="1" x14ac:dyDescent="0.55000000000000004"/>
    <row r="56" spans="5:10" ht="14.25" customHeight="1" x14ac:dyDescent="0.55000000000000004"/>
    <row r="57" spans="5:10" ht="14.25" customHeight="1" x14ac:dyDescent="0.55000000000000004"/>
    <row r="58" spans="5:10" ht="14.25" customHeight="1" x14ac:dyDescent="0.55000000000000004"/>
    <row r="59" spans="5:10" ht="14.25" customHeight="1" x14ac:dyDescent="0.55000000000000004"/>
    <row r="60" spans="5:10" ht="14.25" customHeight="1" x14ac:dyDescent="0.55000000000000004"/>
    <row r="61" spans="5:10" ht="14.25" customHeight="1" x14ac:dyDescent="0.55000000000000004"/>
    <row r="62" spans="5:10" ht="14.25" customHeight="1" x14ac:dyDescent="0.55000000000000004"/>
    <row r="63" spans="5:10" ht="14.25" customHeight="1" x14ac:dyDescent="0.55000000000000004"/>
    <row r="64" spans="5:10" ht="14.25" customHeight="1" x14ac:dyDescent="0.55000000000000004"/>
    <row r="65" spans="5:10" ht="14.25" customHeight="1" x14ac:dyDescent="0.55000000000000004"/>
    <row r="66" spans="5:10" ht="14.25" customHeight="1" x14ac:dyDescent="0.55000000000000004"/>
    <row r="67" spans="5:10" ht="14.25" customHeight="1" x14ac:dyDescent="0.55000000000000004"/>
    <row r="68" spans="5:10" ht="14.25" customHeight="1" x14ac:dyDescent="0.55000000000000004"/>
    <row r="69" spans="5:10" ht="14.25" hidden="1" customHeight="1" x14ac:dyDescent="0.55000000000000004">
      <c r="E69" s="256" t="s">
        <v>947</v>
      </c>
      <c r="F69" s="266" t="s">
        <v>9</v>
      </c>
      <c r="G69" s="266" t="s">
        <v>9</v>
      </c>
      <c r="H69" s="266" t="s">
        <v>9</v>
      </c>
      <c r="I69" s="266" t="s">
        <v>9</v>
      </c>
      <c r="J69" s="266">
        <v>984.5</v>
      </c>
    </row>
    <row r="70" spans="5:10" ht="14.25" hidden="1" customHeight="1" x14ac:dyDescent="0.55000000000000004">
      <c r="E70" s="248" t="s">
        <v>949</v>
      </c>
      <c r="F70" s="269" t="s">
        <v>9</v>
      </c>
      <c r="G70" s="269" t="s">
        <v>9</v>
      </c>
      <c r="H70" s="269" t="s">
        <v>9</v>
      </c>
      <c r="I70" s="269" t="s">
        <v>9</v>
      </c>
      <c r="J70" s="269">
        <f>Master!M94</f>
        <v>2604.5382420817959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B6778-CFD2-4833-8F6F-DD51FD980DA2}">
  <dimension ref="B3:Q134"/>
  <sheetViews>
    <sheetView showGridLines="0" zoomScale="70" workbookViewId="0">
      <selection activeCell="C120" sqref="C120:N134"/>
    </sheetView>
  </sheetViews>
  <sheetFormatPr defaultRowHeight="14.4" x14ac:dyDescent="0.55000000000000004"/>
  <cols>
    <col min="2" max="2" width="40.41796875" customWidth="1"/>
  </cols>
  <sheetData>
    <row r="3" spans="2:17" x14ac:dyDescent="0.55000000000000004">
      <c r="B3" s="20" t="str">
        <f>Acquirer!B2</f>
        <v>TPV, BRL billion</v>
      </c>
      <c r="C3" s="20">
        <f>Acquirer!E2</f>
        <v>2016</v>
      </c>
      <c r="D3" s="20">
        <f>Acquirer!F2</f>
        <v>2017</v>
      </c>
      <c r="E3" s="20">
        <f>Acquirer!G2</f>
        <v>2018</v>
      </c>
      <c r="F3" s="20">
        <f>Acquirer!H2</f>
        <v>2019</v>
      </c>
      <c r="G3" s="20">
        <f>Acquirer!I2</f>
        <v>2020</v>
      </c>
      <c r="H3" s="20">
        <f>Acquirer!J2</f>
        <v>2021</v>
      </c>
      <c r="I3" s="20">
        <f>Acquirer!K2</f>
        <v>2022</v>
      </c>
      <c r="J3" s="20">
        <f>Acquirer!L2</f>
        <v>2023</v>
      </c>
      <c r="K3" s="20">
        <f>Acquirer!M2</f>
        <v>2024</v>
      </c>
      <c r="L3" s="20">
        <f>Acquirer!N2</f>
        <v>2025</v>
      </c>
      <c r="M3" s="20">
        <f>Acquirer!O2</f>
        <v>2026</v>
      </c>
      <c r="N3" s="20">
        <f>Acquirer!P2</f>
        <v>2027</v>
      </c>
      <c r="O3" s="20">
        <f>Acquirer!Q2</f>
        <v>2028</v>
      </c>
      <c r="P3" s="20">
        <f>Acquirer!R2</f>
        <v>2029</v>
      </c>
      <c r="Q3" s="20">
        <f>Acquirer!S2</f>
        <v>2030</v>
      </c>
    </row>
    <row r="4" spans="2:17" x14ac:dyDescent="0.55000000000000004">
      <c r="B4" s="173" t="str">
        <f>Acquirer!B3</f>
        <v>Cielo</v>
      </c>
      <c r="C4" s="174">
        <f>Acquirer!E3</f>
        <v>584.9</v>
      </c>
      <c r="D4" s="174">
        <f>Acquirer!F3</f>
        <v>625.6</v>
      </c>
      <c r="E4" s="174">
        <f>Acquirer!G3</f>
        <v>626.5</v>
      </c>
      <c r="F4" s="174">
        <f>Acquirer!H3</f>
        <v>683</v>
      </c>
      <c r="G4" s="174">
        <f>Acquirer!I3</f>
        <v>643.95461593726998</v>
      </c>
      <c r="H4" s="174">
        <f>Acquirer!J3</f>
        <v>713</v>
      </c>
      <c r="I4" s="174">
        <f>Acquirer!K3</f>
        <v>871</v>
      </c>
      <c r="J4" s="174">
        <f>Acquirer!L3</f>
        <v>815</v>
      </c>
      <c r="K4" s="174">
        <f>Acquirer!M3</f>
        <v>902.3420000000001</v>
      </c>
      <c r="L4" s="174">
        <f>Acquirer!N3</f>
        <v>998.91008000000022</v>
      </c>
      <c r="M4" s="174">
        <f>Acquirer!O3</f>
        <v>1105.6607744000003</v>
      </c>
      <c r="N4" s="174">
        <f>Acquirer!P3</f>
        <v>1201.7964851200004</v>
      </c>
      <c r="O4" s="174">
        <f>Acquirer!Q3</f>
        <v>1294.2290690560005</v>
      </c>
      <c r="P4" s="174">
        <f>Acquirer!R3</f>
        <v>1380.7799668776966</v>
      </c>
      <c r="Q4" s="174">
        <f>Acquirer!S3</f>
        <v>1472.8959423089057</v>
      </c>
    </row>
    <row r="5" spans="2:17" x14ac:dyDescent="0.55000000000000004">
      <c r="B5" t="str">
        <f>Acquirer!B4</f>
        <v>Rede</v>
      </c>
      <c r="C5" s="7">
        <f>Acquirer!E4</f>
        <v>387.3</v>
      </c>
      <c r="D5" s="7">
        <f>Acquirer!F4</f>
        <v>391.7</v>
      </c>
      <c r="E5" s="7">
        <f>Acquirer!G4</f>
        <v>437.1</v>
      </c>
      <c r="F5" s="7">
        <f>Acquirer!H4</f>
        <v>487.8</v>
      </c>
      <c r="G5" s="7">
        <f>Acquirer!I4</f>
        <v>509.81299999999999</v>
      </c>
      <c r="H5" s="7">
        <f>Acquirer!J4</f>
        <v>621</v>
      </c>
      <c r="I5" s="7">
        <f>Acquirer!K4</f>
        <v>731</v>
      </c>
      <c r="J5" s="7">
        <f>Acquirer!L4</f>
        <v>857</v>
      </c>
      <c r="K5" s="7">
        <f>Acquirer!M4</f>
        <v>949.38200000000006</v>
      </c>
      <c r="L5" s="7">
        <f>Acquirer!N4</f>
        <v>1051.5948800000001</v>
      </c>
      <c r="M5" s="7">
        <f>Acquirer!O4</f>
        <v>1164.6677504000002</v>
      </c>
      <c r="N5" s="7">
        <f>Acquirer!P4</f>
        <v>1266.7041587200004</v>
      </c>
      <c r="O5" s="7">
        <f>Acquirer!Q4</f>
        <v>1364.9784332800004</v>
      </c>
      <c r="P5" s="7">
        <f>Acquirer!R4</f>
        <v>1457.1892802396167</v>
      </c>
      <c r="Q5" s="7">
        <f>Acquirer!S4</f>
        <v>1555.4180007397795</v>
      </c>
    </row>
    <row r="6" spans="2:17" x14ac:dyDescent="0.55000000000000004">
      <c r="B6" s="173" t="str">
        <f>Acquirer!B5</f>
        <v>Getnet</v>
      </c>
      <c r="C6" s="174">
        <f>Acquirer!E5</f>
        <v>108.2</v>
      </c>
      <c r="D6" s="174">
        <f>Acquirer!F5</f>
        <v>142.1</v>
      </c>
      <c r="E6" s="174">
        <f>Acquirer!G5</f>
        <v>187.4</v>
      </c>
      <c r="F6" s="174">
        <f>Acquirer!H5</f>
        <v>207.5</v>
      </c>
      <c r="G6" s="174">
        <f>Acquirer!I5</f>
        <v>273.70000000000005</v>
      </c>
      <c r="H6" s="174">
        <f>Acquirer!J5</f>
        <v>410</v>
      </c>
      <c r="I6" s="174">
        <f>Acquirer!K5</f>
        <v>480</v>
      </c>
      <c r="J6" s="174">
        <f>Acquirer!L5</f>
        <v>558</v>
      </c>
      <c r="K6" s="174">
        <f>Acquirer!M5</f>
        <v>624.96000000000015</v>
      </c>
      <c r="L6" s="174">
        <f>Acquirer!N5</f>
        <v>699.95520000000022</v>
      </c>
      <c r="M6" s="174">
        <f>Acquirer!O5</f>
        <v>783.94982400000026</v>
      </c>
      <c r="N6" s="174">
        <f>Acquirer!P5</f>
        <v>862.34480640000038</v>
      </c>
      <c r="O6" s="174">
        <f>Acquirer!Q5</f>
        <v>939.95583897600045</v>
      </c>
      <c r="P6" s="174">
        <f>Acquirer!R5</f>
        <v>1015.1523060940806</v>
      </c>
      <c r="Q6" s="174">
        <f>Acquirer!S5</f>
        <v>1096.3644905816072</v>
      </c>
    </row>
    <row r="7" spans="2:17" x14ac:dyDescent="0.55000000000000004">
      <c r="B7" t="str">
        <f>Acquirer!B6</f>
        <v>STNE</v>
      </c>
      <c r="C7" s="7">
        <f>Acquirer!E6</f>
        <v>28.2</v>
      </c>
      <c r="D7" s="7">
        <f>Acquirer!F6</f>
        <v>48.6</v>
      </c>
      <c r="E7" s="7">
        <f>Acquirer!G6</f>
        <v>83.4</v>
      </c>
      <c r="F7" s="7">
        <f>Acquirer!H6</f>
        <v>129.1</v>
      </c>
      <c r="G7" s="7">
        <f>Acquirer!I6</f>
        <v>209.8</v>
      </c>
      <c r="H7" s="7">
        <f>Acquirer!J6</f>
        <v>275</v>
      </c>
      <c r="I7" s="7">
        <f>Acquirer!K6</f>
        <v>354</v>
      </c>
      <c r="J7" s="7">
        <f>Acquirer!L6</f>
        <v>410.44163227895899</v>
      </c>
      <c r="K7" s="7">
        <f>Acquirer!M6</f>
        <v>469.66568351858189</v>
      </c>
      <c r="L7" s="7">
        <f>Acquirer!N6</f>
        <v>532.33026628976233</v>
      </c>
      <c r="M7" s="7">
        <f>Acquirer!O6</f>
        <v>597.70630144323445</v>
      </c>
      <c r="N7" s="7">
        <f>Acquirer!P6</f>
        <v>662.09681663860874</v>
      </c>
      <c r="O7" s="7">
        <f>Acquirer!Q6</f>
        <v>723.17579442765611</v>
      </c>
      <c r="P7" s="7">
        <f>Acquirer!R6</f>
        <v>784.93634419871614</v>
      </c>
      <c r="Q7" s="7">
        <f>Acquirer!S6</f>
        <v>846.84878493530596</v>
      </c>
    </row>
    <row r="8" spans="2:17" x14ac:dyDescent="0.55000000000000004">
      <c r="B8" s="173" t="str">
        <f>Acquirer!B7</f>
        <v>PAGS</v>
      </c>
      <c r="C8" s="174">
        <f>Acquirer!E7</f>
        <v>14.1</v>
      </c>
      <c r="D8" s="174">
        <f>Acquirer!F7</f>
        <v>37.9</v>
      </c>
      <c r="E8" s="174">
        <f>Acquirer!G7</f>
        <v>75.7</v>
      </c>
      <c r="F8" s="174">
        <f>Acquirer!H7</f>
        <v>115.8</v>
      </c>
      <c r="G8" s="174">
        <f>Acquirer!I7</f>
        <v>161.54383102003447</v>
      </c>
      <c r="H8" s="174">
        <f>Acquirer!J7</f>
        <v>253</v>
      </c>
      <c r="I8" s="174">
        <f>Acquirer!K7</f>
        <v>354</v>
      </c>
      <c r="J8" s="174">
        <f>Acquirer!L7</f>
        <v>394.6</v>
      </c>
      <c r="K8" s="174">
        <f>Acquirer!M7</f>
        <v>457.82619834710738</v>
      </c>
      <c r="L8" s="174">
        <f>Acquirer!N7</f>
        <v>522.17537685950413</v>
      </c>
      <c r="M8" s="174">
        <f>Acquirer!O7</f>
        <v>586.17561545454555</v>
      </c>
      <c r="N8" s="174">
        <f>Acquirer!P7</f>
        <v>647.7415691727274</v>
      </c>
      <c r="O8" s="174">
        <f>Acquirer!Q7</f>
        <v>715.48830822190939</v>
      </c>
      <c r="P8" s="174">
        <f>Acquirer!R7</f>
        <v>783.67357120013207</v>
      </c>
      <c r="Q8" s="174">
        <f>Acquirer!S7</f>
        <v>843.96657569733736</v>
      </c>
    </row>
    <row r="9" spans="2:17" x14ac:dyDescent="0.55000000000000004">
      <c r="B9" s="1" t="str">
        <f>Acquirer!B8</f>
        <v>Other</v>
      </c>
      <c r="C9" s="172">
        <f>Acquirer!E8</f>
        <v>79.200000000000045</v>
      </c>
      <c r="D9" s="172">
        <f>Acquirer!F8</f>
        <v>103.70000000000005</v>
      </c>
      <c r="E9" s="172">
        <f>Acquirer!G8</f>
        <v>139.29999999999995</v>
      </c>
      <c r="F9" s="172">
        <f>Acquirer!H8</f>
        <v>223.80000000000018</v>
      </c>
      <c r="G9" s="172">
        <f>Acquirer!I8</f>
        <v>285.11468495448548</v>
      </c>
      <c r="H9" s="172">
        <f>Acquirer!J8</f>
        <v>390</v>
      </c>
      <c r="I9" s="172">
        <f>Acquirer!K8</f>
        <v>604</v>
      </c>
      <c r="J9" s="172">
        <f>Acquirer!L8</f>
        <v>699.95836772104099</v>
      </c>
      <c r="K9" s="172">
        <f>Acquirer!M8</f>
        <v>779.02411813431115</v>
      </c>
      <c r="L9" s="172">
        <f>Acquirer!N8</f>
        <v>880.21819685073433</v>
      </c>
      <c r="M9" s="172">
        <f>Acquirer!O8</f>
        <v>1009.2458143022208</v>
      </c>
      <c r="N9" s="172">
        <f>Acquirer!P8</f>
        <v>1131.4628519486648</v>
      </c>
      <c r="O9" s="172">
        <f>Acquirer!Q8</f>
        <v>1253.8124459584358</v>
      </c>
      <c r="P9" s="172">
        <f>Acquirer!R8</f>
        <v>1373.2396125033613</v>
      </c>
      <c r="Q9" s="172">
        <f>Acquirer!S8</f>
        <v>1523.0749733397574</v>
      </c>
    </row>
    <row r="10" spans="2:17" x14ac:dyDescent="0.55000000000000004">
      <c r="B10" s="175" t="str">
        <f>Acquirer!B9</f>
        <v>Market TPV</v>
      </c>
      <c r="C10" s="176">
        <f>Acquirer!E9</f>
        <v>1201.9000000000001</v>
      </c>
      <c r="D10" s="176">
        <f>Acquirer!F9</f>
        <v>1349.6</v>
      </c>
      <c r="E10" s="176">
        <f>Acquirer!G9</f>
        <v>1549.4</v>
      </c>
      <c r="F10" s="176">
        <f>Acquirer!H9</f>
        <v>1847</v>
      </c>
      <c r="G10" s="176">
        <f>Acquirer!I9</f>
        <v>2083.92613191179</v>
      </c>
      <c r="H10" s="176">
        <f>Acquirer!J9</f>
        <v>2662</v>
      </c>
      <c r="I10" s="176">
        <f>Acquirer!K9</f>
        <v>3394</v>
      </c>
      <c r="J10" s="176">
        <f>Acquirer!L9</f>
        <v>3735</v>
      </c>
      <c r="K10" s="176">
        <f>Acquirer!M9</f>
        <v>4183.2000000000007</v>
      </c>
      <c r="L10" s="176">
        <f>Acquirer!N9</f>
        <v>4685.1840000000011</v>
      </c>
      <c r="M10" s="176">
        <f>Acquirer!O9</f>
        <v>5247.4060800000016</v>
      </c>
      <c r="N10" s="176">
        <f>Acquirer!P9</f>
        <v>5772.1466880000025</v>
      </c>
      <c r="O10" s="176">
        <f>Acquirer!Q9</f>
        <v>6291.639889920003</v>
      </c>
      <c r="P10" s="176">
        <f>Acquirer!R9</f>
        <v>6794.9710811136038</v>
      </c>
      <c r="Q10" s="176">
        <f>Acquirer!S9</f>
        <v>7338.5687676026928</v>
      </c>
    </row>
    <row r="11" spans="2:17" x14ac:dyDescent="0.55000000000000004">
      <c r="B11" t="str">
        <f>Acquirer!B10</f>
        <v>% change</v>
      </c>
      <c r="C11" s="2">
        <f>Acquirer!E10</f>
        <v>0.28052418495631803</v>
      </c>
      <c r="D11" s="2">
        <f>Acquirer!F10</f>
        <v>0.12288875946418165</v>
      </c>
      <c r="E11" s="2">
        <f>Acquirer!G10</f>
        <v>0.14804386484884424</v>
      </c>
      <c r="F11" s="2">
        <f>Acquirer!H10</f>
        <v>0.1920743513618175</v>
      </c>
      <c r="G11" s="2">
        <f>Acquirer!I10</f>
        <v>0.12827619486290742</v>
      </c>
      <c r="H11" s="2">
        <f>Acquirer!J10</f>
        <v>0.27739652535470927</v>
      </c>
      <c r="I11" s="2">
        <f>Acquirer!K10</f>
        <v>0.27498121712997747</v>
      </c>
      <c r="J11" s="2">
        <f>Acquirer!L10</f>
        <v>0.10047142015321153</v>
      </c>
      <c r="K11" s="2">
        <f>Acquirer!M10</f>
        <v>0.12</v>
      </c>
      <c r="L11" s="2">
        <f>Acquirer!N10</f>
        <v>0.12</v>
      </c>
      <c r="M11" s="2">
        <f>Acquirer!O10</f>
        <v>0.12</v>
      </c>
      <c r="N11" s="2">
        <f>Acquirer!P10</f>
        <v>0.1</v>
      </c>
      <c r="O11" s="2">
        <f>Acquirer!Q10</f>
        <v>0.09</v>
      </c>
      <c r="P11" s="2">
        <f>Acquirer!R10</f>
        <v>0.08</v>
      </c>
      <c r="Q11" s="2">
        <f>Acquirer!S10</f>
        <v>0.08</v>
      </c>
    </row>
    <row r="12" spans="2:17" x14ac:dyDescent="0.55000000000000004"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</row>
    <row r="13" spans="2:17" x14ac:dyDescent="0.55000000000000004">
      <c r="B13" t="str">
        <f>Acquirer!B22</f>
        <v>Personal consumption exp</v>
      </c>
      <c r="C13" s="7">
        <f>Acquirer!E22</f>
        <v>4028</v>
      </c>
      <c r="D13" s="7">
        <f>Acquirer!F22</f>
        <v>4247.3</v>
      </c>
      <c r="E13" s="7">
        <f>Acquirer!G22</f>
        <v>4525.8</v>
      </c>
      <c r="F13" s="7">
        <f>Acquirer!H22</f>
        <v>4791</v>
      </c>
      <c r="G13" s="7">
        <f>Acquirer!I22</f>
        <v>4632.8969999999999</v>
      </c>
      <c r="H13" s="7">
        <f>Acquirer!J22</f>
        <v>4771.8839100000005</v>
      </c>
      <c r="I13" s="7">
        <f>Acquirer!K22</f>
        <v>5034.3375250500003</v>
      </c>
      <c r="J13" s="7">
        <f>Acquirer!L22</f>
        <v>5311.2260889277504</v>
      </c>
      <c r="K13" s="7">
        <f>Acquirer!M22</f>
        <v>5603.3435238187767</v>
      </c>
      <c r="L13" s="7">
        <f>Acquirer!N22</f>
        <v>5911.5274176288094</v>
      </c>
      <c r="M13" s="7">
        <f>Acquirer!O22</f>
        <v>6236.6614255983932</v>
      </c>
      <c r="N13" s="7">
        <f>Acquirer!P22</f>
        <v>6579.6778040063045</v>
      </c>
      <c r="O13" s="7">
        <f>Acquirer!Q22</f>
        <v>6941.5600832266509</v>
      </c>
      <c r="P13" s="7">
        <f>Acquirer!R22</f>
        <v>7323.3458878041165</v>
      </c>
      <c r="Q13" s="7">
        <f>Acquirer!S22</f>
        <v>7726.1299116333421</v>
      </c>
    </row>
    <row r="14" spans="2:17" x14ac:dyDescent="0.55000000000000004">
      <c r="B14" s="173" t="str">
        <f>Acquirer!B23</f>
        <v>Growth</v>
      </c>
      <c r="C14" s="177"/>
      <c r="D14" s="177">
        <f>Acquirer!F23</f>
        <v>5.4443892750744904E-2</v>
      </c>
      <c r="E14" s="177">
        <f>Acquirer!G23</f>
        <v>6.5571068678925482E-2</v>
      </c>
      <c r="F14" s="177">
        <f>Acquirer!H23</f>
        <v>5.859737504971485E-2</v>
      </c>
      <c r="G14" s="177">
        <f>Acquirer!I23</f>
        <v>-3.3000000000000002E-2</v>
      </c>
      <c r="H14" s="177">
        <f>Acquirer!J23</f>
        <v>0.03</v>
      </c>
      <c r="I14" s="177">
        <f>Acquirer!K23</f>
        <v>5.5E-2</v>
      </c>
      <c r="J14" s="177">
        <f>Acquirer!L23</f>
        <v>5.5E-2</v>
      </c>
      <c r="K14" s="177">
        <f>Acquirer!M23</f>
        <v>5.5E-2</v>
      </c>
      <c r="L14" s="177">
        <f>Acquirer!N23</f>
        <v>5.5E-2</v>
      </c>
      <c r="M14" s="177">
        <f>Acquirer!O23</f>
        <v>5.5E-2</v>
      </c>
      <c r="N14" s="177">
        <f>Acquirer!P23</f>
        <v>5.5E-2</v>
      </c>
      <c r="O14" s="177">
        <f>Acquirer!Q23</f>
        <v>5.5E-2</v>
      </c>
      <c r="P14" s="177">
        <f>Acquirer!R23</f>
        <v>5.5E-2</v>
      </c>
      <c r="Q14" s="177">
        <f>Acquirer!S23</f>
        <v>5.5E-2</v>
      </c>
    </row>
    <row r="15" spans="2:17" x14ac:dyDescent="0.55000000000000004">
      <c r="B15" t="str">
        <f>Acquirer!B24</f>
        <v>TPV as %</v>
      </c>
      <c r="C15" s="12">
        <f>Acquirer!E24</f>
        <v>0.29838629592850052</v>
      </c>
      <c r="D15" s="12">
        <f>Acquirer!F24</f>
        <v>0.31775480893744257</v>
      </c>
      <c r="E15" s="12">
        <f>Acquirer!G24</f>
        <v>0.34234831411021255</v>
      </c>
      <c r="F15" s="12">
        <f>Acquirer!H24</f>
        <v>0.38551450636610313</v>
      </c>
      <c r="G15" s="12">
        <f>Acquirer!I24</f>
        <v>0.44981058976959559</v>
      </c>
      <c r="H15" s="12">
        <f>Acquirer!J24</f>
        <v>0.55785095576644061</v>
      </c>
      <c r="I15" s="12">
        <f>Acquirer!K24</f>
        <v>0.6741701332324338</v>
      </c>
      <c r="J15" s="12">
        <f>Acquirer!L24</f>
        <v>0.70322745397457465</v>
      </c>
      <c r="K15" s="12">
        <f>Acquirer!M24</f>
        <v>0.74655426393509361</v>
      </c>
      <c r="L15" s="12">
        <f>Acquirer!N24</f>
        <v>0.79255049820597623</v>
      </c>
      <c r="M15" s="12">
        <f>Acquirer!O24</f>
        <v>0.84138062368786115</v>
      </c>
      <c r="N15" s="12">
        <f>Acquirer!P24</f>
        <v>0.87726889673615871</v>
      </c>
      <c r="O15" s="12">
        <f>Acquirer!Q24</f>
        <v>0.90637260421081811</v>
      </c>
      <c r="P15" s="12">
        <f>Acquirer!R24</f>
        <v>0.92785062800728313</v>
      </c>
      <c r="Q15" s="12">
        <f>Acquirer!S24</f>
        <v>0.94983760971361708</v>
      </c>
    </row>
    <row r="16" spans="2:17" x14ac:dyDescent="0.55000000000000004"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</row>
    <row r="17" spans="2:17" x14ac:dyDescent="0.55000000000000004">
      <c r="B17" s="18" t="str">
        <f>Acquirer!B26</f>
        <v>Market share</v>
      </c>
    </row>
    <row r="18" spans="2:17" x14ac:dyDescent="0.55000000000000004">
      <c r="B18" s="173" t="str">
        <f>Acquirer!B27</f>
        <v>Cielo</v>
      </c>
      <c r="C18" s="177">
        <f>Acquirer!E27</f>
        <v>0.4866461436059572</v>
      </c>
      <c r="D18" s="177">
        <f>Acquirer!F27</f>
        <v>0.46354475400118561</v>
      </c>
      <c r="E18" s="177">
        <f>Acquirer!G27</f>
        <v>0.40435007099522391</v>
      </c>
      <c r="F18" s="177">
        <f>Acquirer!H27</f>
        <v>0.36978884677855983</v>
      </c>
      <c r="G18" s="177">
        <f>Acquirer!I27</f>
        <v>0.30901028883711307</v>
      </c>
      <c r="H18" s="177">
        <f>Acquirer!J27</f>
        <v>0.26784372652141247</v>
      </c>
      <c r="I18" s="177">
        <f>Acquirer!K27</f>
        <v>0.2566293459045374</v>
      </c>
      <c r="J18" s="177">
        <f>Acquirer!L27</f>
        <v>0.2182061579651941</v>
      </c>
      <c r="K18" s="177">
        <f>Acquirer!M27</f>
        <v>0.2157061579651941</v>
      </c>
      <c r="L18" s="177">
        <f>Acquirer!N27</f>
        <v>0.2132061579651941</v>
      </c>
      <c r="M18" s="177">
        <f>Acquirer!O27</f>
        <v>0.2107061579651941</v>
      </c>
      <c r="N18" s="177">
        <f>Acquirer!P27</f>
        <v>0.20820615796519409</v>
      </c>
      <c r="O18" s="177">
        <f>Acquirer!Q27</f>
        <v>0.20570615796519409</v>
      </c>
      <c r="P18" s="177">
        <f>Acquirer!R27</f>
        <v>0.20320615796519409</v>
      </c>
      <c r="Q18" s="177">
        <f>Acquirer!S27</f>
        <v>0.20070615796519409</v>
      </c>
    </row>
    <row r="19" spans="2:17" x14ac:dyDescent="0.55000000000000004">
      <c r="B19" t="str">
        <f>Acquirer!B28</f>
        <v>Rede</v>
      </c>
      <c r="C19" s="12">
        <f>Acquirer!E28</f>
        <v>0.32223978700391048</v>
      </c>
      <c r="D19" s="12">
        <f>Acquirer!F28</f>
        <v>0.29023414344991111</v>
      </c>
      <c r="E19" s="12">
        <f>Acquirer!G28</f>
        <v>0.28210920356266944</v>
      </c>
      <c r="F19" s="12">
        <f>Acquirer!H28</f>
        <v>0.26410395235517053</v>
      </c>
      <c r="G19" s="12">
        <f>Acquirer!I28</f>
        <v>0.24464062914374921</v>
      </c>
      <c r="H19" s="12">
        <f>Acquirer!J28</f>
        <v>0.23328324567993988</v>
      </c>
      <c r="I19" s="12">
        <f>Acquirer!K28</f>
        <v>0.2153800824985268</v>
      </c>
      <c r="J19" s="12">
        <f>Acquirer!L28</f>
        <v>0.22945113788487281</v>
      </c>
      <c r="K19" s="12">
        <f>Acquirer!M28</f>
        <v>0.22695113788487281</v>
      </c>
      <c r="L19" s="12">
        <f>Acquirer!N28</f>
        <v>0.22445113788487281</v>
      </c>
      <c r="M19" s="12">
        <f>Acquirer!O28</f>
        <v>0.22195113788487281</v>
      </c>
      <c r="N19" s="12">
        <f>Acquirer!P28</f>
        <v>0.2194511378848728</v>
      </c>
      <c r="O19" s="12">
        <f>Acquirer!Q28</f>
        <v>0.2169511378848728</v>
      </c>
      <c r="P19" s="12">
        <f>Acquirer!R28</f>
        <v>0.2144511378848728</v>
      </c>
      <c r="Q19" s="12">
        <f>Acquirer!S28</f>
        <v>0.2119511378848728</v>
      </c>
    </row>
    <row r="20" spans="2:17" x14ac:dyDescent="0.55000000000000004">
      <c r="B20" s="173" t="str">
        <f>Acquirer!B29</f>
        <v>Getnet</v>
      </c>
      <c r="C20" s="177">
        <f>Acquirer!E29</f>
        <v>9.002412846326649E-2</v>
      </c>
      <c r="D20" s="177">
        <f>Acquirer!F29</f>
        <v>0.10529045643153527</v>
      </c>
      <c r="E20" s="177">
        <f>Acquirer!G29</f>
        <v>0.12095004517877887</v>
      </c>
      <c r="F20" s="177">
        <f>Acquirer!H29</f>
        <v>0.11234434217650244</v>
      </c>
      <c r="G20" s="177">
        <f>Acquirer!I29</f>
        <v>0.1313386284709181</v>
      </c>
      <c r="H20" s="177">
        <f>Acquirer!J29</f>
        <v>0.15401953418482345</v>
      </c>
      <c r="I20" s="177">
        <f>Acquirer!K29</f>
        <v>0.14142604596346495</v>
      </c>
      <c r="J20" s="177">
        <f>Acquirer!L29</f>
        <v>0.14939759036144579</v>
      </c>
      <c r="K20" s="177">
        <f>Acquirer!M29</f>
        <v>0.14939759036144579</v>
      </c>
      <c r="L20" s="177">
        <f>Acquirer!N29</f>
        <v>0.14939759036144579</v>
      </c>
      <c r="M20" s="177">
        <f>Acquirer!O29</f>
        <v>0.14939759036144579</v>
      </c>
      <c r="N20" s="177">
        <f>Acquirer!P29</f>
        <v>0.14939759036144579</v>
      </c>
      <c r="O20" s="177">
        <f>Acquirer!Q29</f>
        <v>0.14939759036144579</v>
      </c>
      <c r="P20" s="177">
        <f>Acquirer!R29</f>
        <v>0.14939759036144579</v>
      </c>
      <c r="Q20" s="177">
        <f>Acquirer!S29</f>
        <v>0.14939759036144579</v>
      </c>
    </row>
    <row r="21" spans="2:17" x14ac:dyDescent="0.55000000000000004">
      <c r="B21" t="str">
        <f>Acquirer!B30</f>
        <v>STNE</v>
      </c>
      <c r="C21" s="12">
        <f>Acquirer!E30</f>
        <v>2.3462850486729341E-2</v>
      </c>
      <c r="D21" s="12">
        <f>Acquirer!F30</f>
        <v>3.6010669828097218E-2</v>
      </c>
      <c r="E21" s="12">
        <f>Acquirer!G30</f>
        <v>5.3827287982444814E-2</v>
      </c>
      <c r="F21" s="12">
        <f>Acquirer!H30</f>
        <v>6.9897130481862482E-2</v>
      </c>
      <c r="G21" s="12">
        <f>Acquirer!I30</f>
        <v>0.10067535350090835</v>
      </c>
      <c r="H21" s="12">
        <f>Acquirer!J30</f>
        <v>0.10330578512396695</v>
      </c>
      <c r="I21" s="12">
        <f>Acquirer!K30</f>
        <v>0.10430170889805539</v>
      </c>
      <c r="J21" s="12">
        <f>Acquirer!L30</f>
        <v>0.10989066459945354</v>
      </c>
      <c r="K21" s="12">
        <f>Acquirer!M30</f>
        <v>0.11227425978164605</v>
      </c>
      <c r="L21" s="12">
        <f>Acquirer!N30</f>
        <v>0.11361992747558307</v>
      </c>
      <c r="M21" s="12">
        <f>Acquirer!O30</f>
        <v>0.11390509755311987</v>
      </c>
      <c r="N21" s="12">
        <f>Acquirer!P30</f>
        <v>0.11470547309808916</v>
      </c>
      <c r="O21" s="12">
        <f>Acquirer!Q30</f>
        <v>0.11494233730482167</v>
      </c>
      <c r="P21" s="12">
        <f>Acquirer!R30</f>
        <v>0.11551724574375609</v>
      </c>
      <c r="Q21" s="12">
        <f>Acquirer!S30</f>
        <v>0.11539699521163553</v>
      </c>
    </row>
    <row r="22" spans="2:17" x14ac:dyDescent="0.55000000000000004">
      <c r="B22" s="173" t="str">
        <f>Acquirer!B31</f>
        <v>PAGS</v>
      </c>
      <c r="C22" s="177">
        <f>Acquirer!E31</f>
        <v>1.1731425243364671E-2</v>
      </c>
      <c r="D22" s="177">
        <f>Acquirer!F31</f>
        <v>2.8082394783639598E-2</v>
      </c>
      <c r="E22" s="177">
        <f>Acquirer!G31</f>
        <v>4.8857622305408542E-2</v>
      </c>
      <c r="F22" s="177">
        <f>Acquirer!H31</f>
        <v>6.2696264212236064E-2</v>
      </c>
      <c r="G22" s="177">
        <f>Acquirer!I31</f>
        <v>7.7518981381472701E-2</v>
      </c>
      <c r="H22" s="177">
        <f>Acquirer!J31</f>
        <v>9.5041322314049589E-2</v>
      </c>
      <c r="I22" s="177">
        <f>Acquirer!K31</f>
        <v>0.10430170889805539</v>
      </c>
      <c r="J22" s="177">
        <f>Acquirer!L31</f>
        <v>0.10564926372155288</v>
      </c>
      <c r="K22" s="177">
        <f>Acquirer!M31</f>
        <v>0.1094440137567191</v>
      </c>
      <c r="L22" s="177">
        <f>Acquirer!N31</f>
        <v>0.11145248017143063</v>
      </c>
      <c r="M22" s="177">
        <f>Acquirer!O31</f>
        <v>0.11170769071764794</v>
      </c>
      <c r="N22" s="177">
        <f>Acquirer!P31</f>
        <v>0.11221848719114311</v>
      </c>
      <c r="O22" s="177">
        <f>Acquirer!Q31</f>
        <v>0.11372047999253923</v>
      </c>
      <c r="P22" s="177">
        <f>Acquirer!R31</f>
        <v>0.11533140639528647</v>
      </c>
      <c r="Q22" s="177">
        <f>Acquirer!S31</f>
        <v>0.11500424707105904</v>
      </c>
    </row>
    <row r="23" spans="2:17" x14ac:dyDescent="0.55000000000000004">
      <c r="B23" s="1" t="str">
        <f>Acquirer!B32</f>
        <v>Other</v>
      </c>
      <c r="C23" s="43">
        <f>Acquirer!E32</f>
        <v>6.5895665196771813E-2</v>
      </c>
      <c r="D23" s="43">
        <f>Acquirer!F32</f>
        <v>7.683758150563133E-2</v>
      </c>
      <c r="E23" s="43">
        <f>Acquirer!G32</f>
        <v>8.9905769975474337E-2</v>
      </c>
      <c r="F23" s="43">
        <f>Acquirer!H32</f>
        <v>0.12116946399566875</v>
      </c>
      <c r="G23" s="43">
        <f>Acquirer!I32</f>
        <v>0.13681611866583859</v>
      </c>
      <c r="H23" s="43">
        <f>Acquirer!J32</f>
        <v>0.14650638617580758</v>
      </c>
      <c r="I23" s="43">
        <f>Acquirer!K32</f>
        <v>0.17796110783736019</v>
      </c>
      <c r="J23" s="43">
        <f>Acquirer!L32</f>
        <v>0.18740518546748086</v>
      </c>
      <c r="K23" s="43">
        <f>Acquirer!M32</f>
        <v>0.18622684025012215</v>
      </c>
      <c r="L23" s="43">
        <f>Acquirer!N32</f>
        <v>0.18787270614147367</v>
      </c>
      <c r="M23" s="43">
        <f>Acquirer!O32</f>
        <v>0.1923323255177195</v>
      </c>
      <c r="N23" s="43">
        <f>Acquirer!P32</f>
        <v>0.19602115349925497</v>
      </c>
      <c r="O23" s="43">
        <f>Acquirer!Q32</f>
        <v>0.19928229649112639</v>
      </c>
      <c r="P23" s="43">
        <f>Acquirer!R32</f>
        <v>0.20209646164944473</v>
      </c>
      <c r="Q23" s="43">
        <f>Acquirer!S32</f>
        <v>0.20754387150579279</v>
      </c>
    </row>
    <row r="24" spans="2:17" x14ac:dyDescent="0.55000000000000004">
      <c r="B24" s="173" t="str">
        <f>Acquirer!B33</f>
        <v>Market TPV</v>
      </c>
      <c r="C24" s="177">
        <f>Acquirer!E33</f>
        <v>1</v>
      </c>
      <c r="D24" s="177">
        <f>Acquirer!F33</f>
        <v>1</v>
      </c>
      <c r="E24" s="177">
        <f>Acquirer!G33</f>
        <v>1</v>
      </c>
      <c r="F24" s="177">
        <f>Acquirer!H33</f>
        <v>1</v>
      </c>
      <c r="G24" s="177">
        <f>Acquirer!I33</f>
        <v>1</v>
      </c>
      <c r="H24" s="177">
        <f>Acquirer!J33</f>
        <v>1</v>
      </c>
      <c r="I24" s="177">
        <f>Acquirer!K33</f>
        <v>1</v>
      </c>
      <c r="J24" s="177">
        <f>Acquirer!L33</f>
        <v>1</v>
      </c>
      <c r="K24" s="177">
        <f>Acquirer!M33</f>
        <v>1</v>
      </c>
      <c r="L24" s="177">
        <f>Acquirer!N33</f>
        <v>1</v>
      </c>
      <c r="M24" s="177">
        <f>Acquirer!O33</f>
        <v>1</v>
      </c>
      <c r="N24" s="177">
        <f>Acquirer!P33</f>
        <v>1</v>
      </c>
      <c r="O24" s="177">
        <f>Acquirer!Q33</f>
        <v>1</v>
      </c>
      <c r="P24" s="177">
        <f>Acquirer!R33</f>
        <v>1</v>
      </c>
      <c r="Q24" s="177">
        <f>Acquirer!S33</f>
        <v>1</v>
      </c>
    </row>
    <row r="26" spans="2:17" x14ac:dyDescent="0.55000000000000004">
      <c r="B26" s="178" t="str">
        <f>Acquirer!B82</f>
        <v>BRL billion</v>
      </c>
      <c r="C26" s="178">
        <f>Acquirer!E82</f>
        <v>2016</v>
      </c>
      <c r="D26" s="178">
        <f>Acquirer!F82</f>
        <v>2017</v>
      </c>
      <c r="E26" s="178">
        <f>Acquirer!G82</f>
        <v>2018</v>
      </c>
      <c r="F26" s="178">
        <f>Acquirer!H82</f>
        <v>2019</v>
      </c>
      <c r="G26" s="178">
        <f>Acquirer!I82</f>
        <v>2020</v>
      </c>
      <c r="H26" s="178">
        <f>Acquirer!J82</f>
        <v>2021</v>
      </c>
      <c r="I26" s="178">
        <f>Acquirer!K82</f>
        <v>2022</v>
      </c>
      <c r="J26" s="178">
        <f>Acquirer!L82</f>
        <v>2023</v>
      </c>
      <c r="K26" s="178">
        <f>Acquirer!M82</f>
        <v>2024</v>
      </c>
      <c r="L26" s="178">
        <f>Acquirer!N82</f>
        <v>2025</v>
      </c>
      <c r="M26" s="178">
        <f>Acquirer!O82</f>
        <v>2026</v>
      </c>
      <c r="N26" s="178">
        <f>Acquirer!P82</f>
        <v>2027</v>
      </c>
      <c r="O26" s="178">
        <f>Acquirer!Q82</f>
        <v>2028</v>
      </c>
      <c r="P26" s="178">
        <f>Acquirer!R82</f>
        <v>2029</v>
      </c>
      <c r="Q26" s="178">
        <f>Acquirer!S82</f>
        <v>2030</v>
      </c>
    </row>
    <row r="27" spans="2:17" x14ac:dyDescent="0.55000000000000004">
      <c r="B27" t="str">
        <f>Acquirer!B83</f>
        <v>PAGS Acquirer TPV</v>
      </c>
      <c r="C27" s="13">
        <f>Acquirer!E83</f>
        <v>14.1</v>
      </c>
      <c r="D27" s="13">
        <f>Acquirer!F83</f>
        <v>37.9</v>
      </c>
      <c r="E27" s="13">
        <f>Acquirer!G83</f>
        <v>75.7</v>
      </c>
      <c r="F27" s="13">
        <f>Acquirer!H83</f>
        <v>115.8</v>
      </c>
      <c r="G27" s="13">
        <f>Acquirer!I83</f>
        <v>161.54383102003447</v>
      </c>
      <c r="H27" s="13">
        <f>Acquirer!J83</f>
        <v>253</v>
      </c>
      <c r="I27" s="13">
        <f>Acquirer!K83</f>
        <v>354</v>
      </c>
      <c r="J27" s="13">
        <f>Acquirer!L83</f>
        <v>394.6</v>
      </c>
      <c r="K27" s="13">
        <f>Acquirer!M83</f>
        <v>457.82619834710738</v>
      </c>
      <c r="L27" s="13">
        <f>Acquirer!N83</f>
        <v>522.17537685950413</v>
      </c>
      <c r="M27" s="13">
        <f>Acquirer!O83</f>
        <v>586.17561545454555</v>
      </c>
      <c r="N27" s="13">
        <f>Acquirer!P83</f>
        <v>647.7415691727274</v>
      </c>
      <c r="O27" s="13">
        <f>Acquirer!Q83</f>
        <v>715.48830822190939</v>
      </c>
      <c r="P27" s="13">
        <f>Acquirer!R83</f>
        <v>783.67357120013207</v>
      </c>
      <c r="Q27" s="13">
        <f>Acquirer!S83</f>
        <v>843.96657569733736</v>
      </c>
    </row>
    <row r="28" spans="2:17" x14ac:dyDescent="0.55000000000000004">
      <c r="B28" s="173" t="str">
        <f>Acquirer!B84</f>
        <v>% growth</v>
      </c>
      <c r="C28" s="179">
        <f>Acquirer!E84</f>
        <v>0</v>
      </c>
      <c r="D28" s="179">
        <f>Acquirer!F84</f>
        <v>1.6879432624113475</v>
      </c>
      <c r="E28" s="179">
        <f>Acquirer!G84</f>
        <v>0.99736147757255944</v>
      </c>
      <c r="F28" s="179">
        <f>Acquirer!H84</f>
        <v>0.52972258916776749</v>
      </c>
      <c r="G28" s="179">
        <f>Acquirer!I84</f>
        <v>0.39502444749597987</v>
      </c>
      <c r="H28" s="179">
        <f>Acquirer!J84</f>
        <v>0.56613841830099498</v>
      </c>
      <c r="I28" s="179">
        <f>Acquirer!K84</f>
        <v>0.39920948616600782</v>
      </c>
      <c r="J28" s="179">
        <f>Acquirer!L84</f>
        <v>0.11468926553672332</v>
      </c>
      <c r="K28" s="179">
        <f>Acquirer!M84</f>
        <v>0.16022858172100185</v>
      </c>
      <c r="L28" s="179">
        <f>Acquirer!N84</f>
        <v>0.14055372703597335</v>
      </c>
      <c r="M28" s="179">
        <f>Acquirer!O84</f>
        <v>0.12256464289824454</v>
      </c>
      <c r="N28" s="179">
        <f>Acquirer!P84</f>
        <v>0.10502987858074064</v>
      </c>
      <c r="O28" s="179">
        <f>Acquirer!Q84</f>
        <v>0.10458914831682908</v>
      </c>
      <c r="P28" s="179">
        <f>Acquirer!R84</f>
        <v>9.529891990502648E-2</v>
      </c>
      <c r="Q28" s="179">
        <f>Acquirer!S84</f>
        <v>7.693637595162417E-2</v>
      </c>
    </row>
    <row r="30" spans="2:17" x14ac:dyDescent="0.55000000000000004">
      <c r="B30" s="173" t="str">
        <f>Acquirer!B86</f>
        <v xml:space="preserve"> - of which debit</v>
      </c>
      <c r="C30" s="180">
        <f>Acquirer!E86</f>
        <v>4.7999999999999989</v>
      </c>
      <c r="D30" s="180">
        <f>Acquirer!F86</f>
        <v>13.099999999999998</v>
      </c>
      <c r="E30" s="180">
        <f>Acquirer!G86</f>
        <v>32.300000000000004</v>
      </c>
      <c r="F30" s="180">
        <f>Acquirer!H86</f>
        <v>49.8</v>
      </c>
      <c r="G30" s="180">
        <f>Acquirer!I86</f>
        <v>75.124349624469815</v>
      </c>
      <c r="H30" s="180">
        <f>Acquirer!J86</f>
        <v>110.39162048610245</v>
      </c>
      <c r="I30" s="180">
        <f>Acquirer!K86</f>
        <v>152.32826387237887</v>
      </c>
      <c r="J30" s="180">
        <f>Acquirer!L86</f>
        <v>169.59581660675758</v>
      </c>
      <c r="K30" s="180">
        <f>Acquirer!M86</f>
        <v>196.1382519549403</v>
      </c>
      <c r="L30" s="180">
        <f>Acquirer!N86</f>
        <v>223.34475572672329</v>
      </c>
      <c r="M30" s="180">
        <f>Acquirer!O86</f>
        <v>250.66841182897144</v>
      </c>
      <c r="N30" s="180">
        <f>Acquirer!P86</f>
        <v>276.88512595923225</v>
      </c>
      <c r="O30" s="180">
        <f>Acquirer!Q86</f>
        <v>305.4902864467814</v>
      </c>
      <c r="P30" s="180">
        <f>Acquirer!R86</f>
        <v>334.19852670750714</v>
      </c>
      <c r="Q30" s="180">
        <f>Acquirer!S86</f>
        <v>359.99806517657373</v>
      </c>
    </row>
    <row r="31" spans="2:17" x14ac:dyDescent="0.55000000000000004">
      <c r="B31" t="str">
        <f>Acquirer!B87</f>
        <v xml:space="preserve"> - of which credit</v>
      </c>
      <c r="C31" s="13">
        <f>Acquirer!E87</f>
        <v>9.3000000000000007</v>
      </c>
      <c r="D31" s="13">
        <f>Acquirer!F87</f>
        <v>24.8</v>
      </c>
      <c r="E31" s="13">
        <f>Acquirer!G87</f>
        <v>43.4</v>
      </c>
      <c r="F31" s="13">
        <f>Acquirer!H87</f>
        <v>66</v>
      </c>
      <c r="G31" s="13">
        <f>Acquirer!I87</f>
        <v>86.419481395564659</v>
      </c>
      <c r="H31" s="13">
        <f>Acquirer!J87</f>
        <v>142.60837951389755</v>
      </c>
      <c r="I31" s="13">
        <f>Acquirer!K87</f>
        <v>201.67173612762113</v>
      </c>
      <c r="J31" s="13">
        <f>Acquirer!L87</f>
        <v>225.00418339324244</v>
      </c>
      <c r="K31" s="13">
        <f>Acquirer!M87</f>
        <v>261.68794639216708</v>
      </c>
      <c r="L31" s="13">
        <f>Acquirer!N87</f>
        <v>298.83062113278083</v>
      </c>
      <c r="M31" s="13">
        <f>Acquirer!O87</f>
        <v>335.50720362557411</v>
      </c>
      <c r="N31" s="13">
        <f>Acquirer!P87</f>
        <v>370.85644321349514</v>
      </c>
      <c r="O31" s="13">
        <f>Acquirer!Q87</f>
        <v>409.998021775128</v>
      </c>
      <c r="P31" s="13">
        <f>Acquirer!R87</f>
        <v>449.47504449262493</v>
      </c>
      <c r="Q31" s="13">
        <f>Acquirer!S87</f>
        <v>483.96851052076363</v>
      </c>
    </row>
    <row r="32" spans="2:17" x14ac:dyDescent="0.55000000000000004">
      <c r="B32" s="173" t="str">
        <f>Acquirer!B88</f>
        <v>Credit as % PAGS TPV</v>
      </c>
      <c r="C32" s="179">
        <f>Acquirer!E88</f>
        <v>0.65957446808510645</v>
      </c>
      <c r="D32" s="179">
        <f>Acquirer!F88</f>
        <v>0.65435356200527706</v>
      </c>
      <c r="E32" s="179">
        <f>Acquirer!G88</f>
        <v>0.5733157199471598</v>
      </c>
      <c r="F32" s="179">
        <f>Acquirer!H88</f>
        <v>0.56994818652849744</v>
      </c>
      <c r="G32" s="179">
        <f>Acquirer!I88</f>
        <v>0.53495996009186519</v>
      </c>
      <c r="H32" s="179">
        <f>Acquirer!J88</f>
        <v>0.56366948424465435</v>
      </c>
      <c r="I32" s="179">
        <f>Acquirer!K88</f>
        <v>0.56969416985203714</v>
      </c>
      <c r="J32" s="179">
        <f>Acquirer!L88</f>
        <v>0.5702082701298592</v>
      </c>
      <c r="K32" s="179">
        <f>Acquirer!M88</f>
        <v>0.57158796796020106</v>
      </c>
      <c r="L32" s="179">
        <f>Acquirer!N88</f>
        <v>0.57228018473414888</v>
      </c>
      <c r="M32" s="179">
        <f>Acquirer!O88</f>
        <v>0.5723663604897784</v>
      </c>
      <c r="N32" s="179">
        <f>Acquirer!P88</f>
        <v>0.57253766141200391</v>
      </c>
      <c r="O32" s="179">
        <f>Acquirer!Q88</f>
        <v>0.57303245498732414</v>
      </c>
      <c r="P32" s="179">
        <f>Acquirer!R88</f>
        <v>0.57354881038579697</v>
      </c>
      <c r="Q32" s="179">
        <f>Acquirer!S88</f>
        <v>0.57344511554960442</v>
      </c>
    </row>
    <row r="34" spans="2:17" x14ac:dyDescent="0.55000000000000004">
      <c r="B34" s="173" t="str">
        <f>Acquirer!B90</f>
        <v>Total merchants, 000s</v>
      </c>
      <c r="C34" s="174">
        <f>Acquirer!E90</f>
        <v>1411</v>
      </c>
      <c r="D34" s="174">
        <f>Acquirer!F90</f>
        <v>2791</v>
      </c>
      <c r="E34" s="174">
        <f>Acquirer!G90</f>
        <v>4135</v>
      </c>
      <c r="F34" s="174">
        <f>Acquirer!H90</f>
        <v>5269</v>
      </c>
      <c r="G34" s="174">
        <f>Acquirer!I90</f>
        <v>7033.9470000000001</v>
      </c>
      <c r="H34" s="174">
        <f>Acquirer!J90</f>
        <v>7693</v>
      </c>
      <c r="I34" s="174">
        <f>Acquirer!K90</f>
        <v>7100</v>
      </c>
      <c r="J34" s="174">
        <f>Acquirer!L90</f>
        <v>6500</v>
      </c>
      <c r="K34" s="174">
        <f>Acquirer!M90</f>
        <v>6600</v>
      </c>
      <c r="L34" s="174">
        <f>Acquirer!N90</f>
        <v>6800</v>
      </c>
      <c r="M34" s="174">
        <f>Acquirer!O90</f>
        <v>7000</v>
      </c>
      <c r="N34" s="174">
        <f>Acquirer!P90</f>
        <v>7200</v>
      </c>
      <c r="O34" s="174">
        <f>Acquirer!Q90</f>
        <v>7400</v>
      </c>
      <c r="P34" s="174">
        <f>Acquirer!R90</f>
        <v>7600</v>
      </c>
      <c r="Q34" s="174">
        <f>Acquirer!S90</f>
        <v>7800</v>
      </c>
    </row>
    <row r="35" spans="2:17" x14ac:dyDescent="0.55000000000000004">
      <c r="B35" t="str">
        <f>Acquirer!B91</f>
        <v>Adds, 000s</v>
      </c>
      <c r="C35" s="7">
        <f>Acquirer!E91</f>
        <v>0</v>
      </c>
      <c r="D35" s="7">
        <f>Acquirer!F91</f>
        <v>1380</v>
      </c>
      <c r="E35" s="7">
        <f>Acquirer!G91</f>
        <v>1344</v>
      </c>
      <c r="F35" s="7">
        <f>Acquirer!H91</f>
        <v>1134</v>
      </c>
      <c r="G35" s="7">
        <f>Acquirer!I91</f>
        <v>1764.9470000000001</v>
      </c>
      <c r="H35" s="7">
        <f>Acquirer!J91</f>
        <v>659.05299999999988</v>
      </c>
      <c r="I35" s="7">
        <f>Acquirer!K91</f>
        <v>-593</v>
      </c>
      <c r="J35" s="7">
        <f>Acquirer!L91</f>
        <v>-600</v>
      </c>
      <c r="K35" s="7">
        <f>Acquirer!M91</f>
        <v>100</v>
      </c>
      <c r="L35" s="7">
        <f>Acquirer!N91</f>
        <v>200</v>
      </c>
      <c r="M35" s="7">
        <f>Acquirer!O91</f>
        <v>200</v>
      </c>
      <c r="N35" s="7">
        <f>Acquirer!P91</f>
        <v>200</v>
      </c>
      <c r="O35" s="7">
        <f>Acquirer!Q91</f>
        <v>200</v>
      </c>
      <c r="P35" s="7">
        <f>Acquirer!R91</f>
        <v>200</v>
      </c>
      <c r="Q35" s="7">
        <f>Acquirer!S91</f>
        <v>200</v>
      </c>
    </row>
    <row r="36" spans="2:17" x14ac:dyDescent="0.55000000000000004">
      <c r="B36" s="173" t="str">
        <f>Acquirer!B92</f>
        <v>TPV/merchant, BRL</v>
      </c>
      <c r="C36" s="174">
        <f>Acquirer!E92</f>
        <v>0</v>
      </c>
      <c r="D36" s="174">
        <f>Acquirer!F92</f>
        <v>18039.029033793431</v>
      </c>
      <c r="E36" s="174">
        <f>Acquirer!G92</f>
        <v>21859.65925498123</v>
      </c>
      <c r="F36" s="174">
        <f>Acquirer!H92</f>
        <v>24627.817949808592</v>
      </c>
      <c r="G36" s="174">
        <f>Acquirer!I92</f>
        <v>26260.997632524053</v>
      </c>
      <c r="H36" s="174">
        <f>Acquirer!J92</f>
        <v>34358.784614353535</v>
      </c>
      <c r="I36" s="174">
        <f>Acquirer!K92</f>
        <v>47860.474548773069</v>
      </c>
      <c r="J36" s="174">
        <f>Acquirer!L92</f>
        <v>58029.411764705881</v>
      </c>
      <c r="K36" s="174">
        <f>Acquirer!M92</f>
        <v>69897.129518642338</v>
      </c>
      <c r="L36" s="174">
        <f>Acquirer!N92</f>
        <v>77936.623411866283</v>
      </c>
      <c r="M36" s="174">
        <f>Acquirer!O92</f>
        <v>84952.987747035586</v>
      </c>
      <c r="N36" s="174">
        <f>Acquirer!P92</f>
        <v>91231.206925736245</v>
      </c>
      <c r="O36" s="174">
        <f>Acquirer!Q92</f>
        <v>98012.097016699918</v>
      </c>
      <c r="P36" s="174">
        <f>Acquirer!R92</f>
        <v>104489.80949335096</v>
      </c>
      <c r="Q36" s="174">
        <f>Acquirer!S92</f>
        <v>109606.04879186201</v>
      </c>
    </row>
    <row r="37" spans="2:17" x14ac:dyDescent="0.55000000000000004">
      <c r="B37" t="str">
        <f>Acquirer!B94</f>
        <v>Brazil merchants, 000s</v>
      </c>
      <c r="C37" s="7">
        <f>Acquirer!E94</f>
        <v>33000</v>
      </c>
      <c r="D37" s="7">
        <f>Acquirer!F94</f>
        <v>33000</v>
      </c>
      <c r="E37" s="7">
        <f>Acquirer!G94</f>
        <v>33000</v>
      </c>
      <c r="F37" s="7">
        <f>Acquirer!H94</f>
        <v>33000</v>
      </c>
      <c r="G37" s="7">
        <f>Acquirer!I94</f>
        <v>33000</v>
      </c>
      <c r="H37" s="7">
        <f>Acquirer!J94</f>
        <v>33000</v>
      </c>
      <c r="I37" s="7">
        <f>Acquirer!K94</f>
        <v>33000</v>
      </c>
      <c r="J37" s="7">
        <f>Acquirer!L94</f>
        <v>33000</v>
      </c>
      <c r="K37" s="7">
        <f>Acquirer!M94</f>
        <v>33000</v>
      </c>
      <c r="L37" s="7">
        <f>Acquirer!N94</f>
        <v>33000</v>
      </c>
      <c r="M37" s="7">
        <f>Acquirer!O94</f>
        <v>33000</v>
      </c>
      <c r="N37" s="7">
        <f>Acquirer!P94</f>
        <v>33000</v>
      </c>
      <c r="O37" s="7">
        <f>Acquirer!Q94</f>
        <v>33000</v>
      </c>
      <c r="P37" s="7">
        <f>Acquirer!R94</f>
        <v>33000</v>
      </c>
      <c r="Q37" s="7">
        <f>Acquirer!S94</f>
        <v>33000</v>
      </c>
    </row>
    <row r="38" spans="2:17" x14ac:dyDescent="0.55000000000000004">
      <c r="B38" s="173" t="str">
        <f>Acquirer!B95</f>
        <v>Share of merchants</v>
      </c>
      <c r="C38" s="179">
        <f>Acquirer!E95</f>
        <v>4.2757575757575758E-2</v>
      </c>
      <c r="D38" s="179">
        <f>Acquirer!F95</f>
        <v>8.4575757575757582E-2</v>
      </c>
      <c r="E38" s="179">
        <f>Acquirer!G95</f>
        <v>0.1253030303030303</v>
      </c>
      <c r="F38" s="179">
        <f>Acquirer!H95</f>
        <v>0.15966666666666668</v>
      </c>
      <c r="G38" s="179">
        <f>Acquirer!I95</f>
        <v>0.21314990909090908</v>
      </c>
      <c r="H38" s="179">
        <f>Acquirer!J95</f>
        <v>0.23312121212121212</v>
      </c>
      <c r="I38" s="179">
        <f>Acquirer!K95</f>
        <v>0.21515151515151515</v>
      </c>
      <c r="J38" s="179">
        <f>Acquirer!L95</f>
        <v>0.19696969696969696</v>
      </c>
      <c r="K38" s="179">
        <f>Acquirer!M95</f>
        <v>0.2</v>
      </c>
      <c r="L38" s="179">
        <f>Acquirer!N95</f>
        <v>0.20606060606060606</v>
      </c>
      <c r="M38" s="179">
        <f>Acquirer!O95</f>
        <v>0.21212121212121213</v>
      </c>
      <c r="N38" s="179">
        <f>Acquirer!P95</f>
        <v>0.21818181818181817</v>
      </c>
      <c r="O38" s="179">
        <f>Acquirer!Q95</f>
        <v>0.22424242424242424</v>
      </c>
      <c r="P38" s="179">
        <f>Acquirer!R95</f>
        <v>0.23030303030303031</v>
      </c>
      <c r="Q38" s="179">
        <f>Acquirer!S95</f>
        <v>0.23636363636363636</v>
      </c>
    </row>
    <row r="39" spans="2:17" x14ac:dyDescent="0.55000000000000004">
      <c r="B39" s="23" t="s">
        <v>843</v>
      </c>
    </row>
    <row r="40" spans="2:17" x14ac:dyDescent="0.55000000000000004">
      <c r="B40" s="173" t="str">
        <f>Acquirer!B98</f>
        <v>mPOS TPV</v>
      </c>
      <c r="C40" s="180">
        <f>Acquirer!E98</f>
        <v>14.1</v>
      </c>
      <c r="D40" s="180">
        <f>Acquirer!F98</f>
        <v>33.9</v>
      </c>
      <c r="E40" s="180">
        <f>Acquirer!G98</f>
        <v>69.7</v>
      </c>
      <c r="F40" s="180">
        <f>Acquirer!H98</f>
        <v>105.8</v>
      </c>
      <c r="G40" s="180">
        <f>Acquirer!I98</f>
        <v>142.77716435336782</v>
      </c>
      <c r="H40" s="180">
        <f>Acquirer!J98</f>
        <v>215</v>
      </c>
      <c r="I40" s="180">
        <f>Acquirer!K98</f>
        <v>304</v>
      </c>
      <c r="J40" s="180">
        <f>Acquirer!L98</f>
        <v>329.6</v>
      </c>
      <c r="K40" s="180">
        <f>Acquirer!M98</f>
        <v>379.1761983471074</v>
      </c>
      <c r="L40" s="180">
        <f>Acquirer!N98</f>
        <v>435.66037685950414</v>
      </c>
      <c r="M40" s="180">
        <f>Acquirer!O98</f>
        <v>495.33486545454554</v>
      </c>
      <c r="N40" s="180">
        <f>Acquirer!P98</f>
        <v>552.35878167272745</v>
      </c>
      <c r="O40" s="180">
        <f>Acquirer!Q98</f>
        <v>615.33638134690943</v>
      </c>
      <c r="P40" s="180">
        <f>Acquirer!R98</f>
        <v>678.51404798138208</v>
      </c>
      <c r="Q40" s="180">
        <f>Acquirer!S98</f>
        <v>733.54907631764979</v>
      </c>
    </row>
    <row r="41" spans="2:17" x14ac:dyDescent="0.55000000000000004">
      <c r="B41" t="str">
        <f>Acquirer!B99</f>
        <v>mPOS merchants, 000s</v>
      </c>
      <c r="C41" s="7">
        <f>Acquirer!E99</f>
        <v>1411</v>
      </c>
      <c r="D41" s="7">
        <f>Acquirer!F99</f>
        <v>2496.4353562005276</v>
      </c>
      <c r="E41" s="7">
        <f>Acquirer!G99</f>
        <v>3807.2589167767505</v>
      </c>
      <c r="F41" s="7">
        <f>Acquirer!H99</f>
        <v>4813.9913644214166</v>
      </c>
      <c r="G41" s="7">
        <f>Acquirer!I99</f>
        <v>6216.8081599310835</v>
      </c>
      <c r="H41" s="7">
        <f>Acquirer!J99</f>
        <v>7043</v>
      </c>
      <c r="I41" s="7">
        <f>Acquirer!K99</f>
        <v>6350</v>
      </c>
      <c r="J41" s="7">
        <f>Acquirer!L99</f>
        <v>5750</v>
      </c>
      <c r="K41" s="7">
        <f>Acquirer!M99</f>
        <v>5850</v>
      </c>
      <c r="L41" s="7">
        <f>Acquirer!N99</f>
        <v>6050</v>
      </c>
      <c r="M41" s="7">
        <f>Acquirer!O99</f>
        <v>6250</v>
      </c>
      <c r="N41" s="7">
        <f>Acquirer!P99</f>
        <v>6450</v>
      </c>
      <c r="O41" s="7">
        <f>Acquirer!Q99</f>
        <v>6650</v>
      </c>
      <c r="P41" s="7">
        <f>Acquirer!R99</f>
        <v>6850</v>
      </c>
      <c r="Q41" s="7">
        <f>Acquirer!S99</f>
        <v>7050</v>
      </c>
    </row>
    <row r="42" spans="2:17" x14ac:dyDescent="0.55000000000000004">
      <c r="B42" s="175" t="s">
        <v>853</v>
      </c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</row>
    <row r="43" spans="2:17" x14ac:dyDescent="0.55000000000000004">
      <c r="B43" t="str">
        <f>Acquirer!B106</f>
        <v>Online (Wirecard, moip) TPV</v>
      </c>
      <c r="C43" s="13">
        <f>Acquirer!E106</f>
        <v>0</v>
      </c>
      <c r="D43" s="13">
        <f>Acquirer!F106</f>
        <v>4</v>
      </c>
      <c r="E43" s="13">
        <f>Acquirer!G106</f>
        <v>6</v>
      </c>
      <c r="F43" s="13">
        <f>Acquirer!H106</f>
        <v>10</v>
      </c>
      <c r="G43" s="13">
        <f>Acquirer!I106</f>
        <v>18.766666666666666</v>
      </c>
      <c r="H43" s="13">
        <f>Acquirer!J106</f>
        <v>38</v>
      </c>
      <c r="I43" s="13">
        <f>Acquirer!K106</f>
        <v>50</v>
      </c>
      <c r="J43" s="13">
        <f>Acquirer!L106</f>
        <v>65</v>
      </c>
      <c r="K43" s="13">
        <f>Acquirer!M106</f>
        <v>78.649999999999991</v>
      </c>
      <c r="L43" s="13">
        <f>Acquirer!N106</f>
        <v>86.515000000000001</v>
      </c>
      <c r="M43" s="13">
        <f>Acquirer!O106</f>
        <v>90.84075</v>
      </c>
      <c r="N43" s="13">
        <f>Acquirer!P106</f>
        <v>95.382787500000006</v>
      </c>
      <c r="O43" s="13">
        <f>Acquirer!Q106</f>
        <v>100.15192687500002</v>
      </c>
      <c r="P43" s="13">
        <f>Acquirer!R106</f>
        <v>105.15952321875002</v>
      </c>
      <c r="Q43" s="13">
        <f>Acquirer!S106</f>
        <v>110.41749937968753</v>
      </c>
    </row>
    <row r="44" spans="2:17" x14ac:dyDescent="0.55000000000000004">
      <c r="B44" s="173" t="str">
        <f>Acquirer!B107</f>
        <v>% change</v>
      </c>
      <c r="C44" s="179">
        <f>Acquirer!E107</f>
        <v>0</v>
      </c>
      <c r="D44" s="179">
        <f>Acquirer!F107</f>
        <v>0</v>
      </c>
      <c r="E44" s="179">
        <f>Acquirer!G107</f>
        <v>0.5</v>
      </c>
      <c r="F44" s="179">
        <f>Acquirer!H107</f>
        <v>0.66666666666666674</v>
      </c>
      <c r="G44" s="179">
        <f>Acquirer!I107</f>
        <v>0.87666666666666648</v>
      </c>
      <c r="H44" s="179">
        <f>Acquirer!J107</f>
        <v>1.0248667850799289</v>
      </c>
      <c r="I44" s="179">
        <f>Acquirer!K107</f>
        <v>0.31578947368421062</v>
      </c>
      <c r="J44" s="179">
        <f>Acquirer!L107</f>
        <v>0.32</v>
      </c>
      <c r="K44" s="179">
        <f>Acquirer!M107</f>
        <v>0.21</v>
      </c>
      <c r="L44" s="179">
        <f>Acquirer!N107</f>
        <v>0.1</v>
      </c>
      <c r="M44" s="179">
        <f>Acquirer!O107</f>
        <v>0.05</v>
      </c>
      <c r="N44" s="179">
        <f>Acquirer!P107</f>
        <v>0.05</v>
      </c>
      <c r="O44" s="179">
        <f>Acquirer!Q107</f>
        <v>0.05</v>
      </c>
      <c r="P44" s="179">
        <f>Acquirer!R107</f>
        <v>0.05</v>
      </c>
      <c r="Q44" s="179">
        <f>Acquirer!S107</f>
        <v>0.05</v>
      </c>
    </row>
    <row r="45" spans="2:17" x14ac:dyDescent="0.55000000000000004">
      <c r="B45" t="str">
        <f>Acquirer!B108</f>
        <v>Online merchants</v>
      </c>
      <c r="C45" s="7">
        <f>Acquirer!E108</f>
        <v>0</v>
      </c>
      <c r="D45" s="7">
        <f>Acquirer!F108</f>
        <v>294.56464379947232</v>
      </c>
      <c r="E45" s="7">
        <f>Acquirer!G108</f>
        <v>327.74108322324963</v>
      </c>
      <c r="F45" s="7">
        <f>Acquirer!H108</f>
        <v>455.00863557858372</v>
      </c>
      <c r="G45" s="7">
        <f>Acquirer!I108</f>
        <v>817.13884006891635</v>
      </c>
      <c r="H45" s="7">
        <f>Acquirer!J108</f>
        <v>650</v>
      </c>
      <c r="I45" s="7">
        <f>Acquirer!K108</f>
        <v>750</v>
      </c>
      <c r="J45" s="7">
        <f>Acquirer!L108</f>
        <v>750</v>
      </c>
      <c r="K45" s="7">
        <f>Acquirer!M108</f>
        <v>750</v>
      </c>
      <c r="L45" s="7">
        <f>Acquirer!N108</f>
        <v>750</v>
      </c>
      <c r="M45" s="7">
        <f>Acquirer!O108</f>
        <v>750</v>
      </c>
      <c r="N45" s="7">
        <f>Acquirer!P108</f>
        <v>750</v>
      </c>
      <c r="O45" s="7">
        <f>Acquirer!Q108</f>
        <v>750</v>
      </c>
      <c r="P45" s="7">
        <f>Acquirer!R108</f>
        <v>750</v>
      </c>
      <c r="Q45" s="7">
        <f>Acquirer!S108</f>
        <v>750</v>
      </c>
    </row>
    <row r="46" spans="2:17" x14ac:dyDescent="0.55000000000000004">
      <c r="B46" s="173" t="str">
        <f>Acquirer!B110</f>
        <v>Online as % total PAGS TPV</v>
      </c>
      <c r="C46" s="179">
        <f>Acquirer!E110</f>
        <v>0</v>
      </c>
      <c r="D46" s="179">
        <f>Acquirer!F110</f>
        <v>0.10554089709762533</v>
      </c>
      <c r="E46" s="179">
        <f>Acquirer!G110</f>
        <v>7.9260237780713338E-2</v>
      </c>
      <c r="F46" s="179">
        <f>Acquirer!H110</f>
        <v>8.6355785837651119E-2</v>
      </c>
      <c r="G46" s="179">
        <f>Acquirer!I110</f>
        <v>0.11617074170006063</v>
      </c>
      <c r="H46" s="179">
        <f>Acquirer!J110</f>
        <v>0.15019762845849802</v>
      </c>
      <c r="I46" s="179">
        <f>Acquirer!K110</f>
        <v>0.14124293785310735</v>
      </c>
      <c r="J46" s="179">
        <f>Acquirer!L110</f>
        <v>0.16472377090724782</v>
      </c>
      <c r="K46" s="179">
        <f>Acquirer!M110</f>
        <v>0.17179008165970089</v>
      </c>
      <c r="L46" s="179">
        <f>Acquirer!N110</f>
        <v>0.16568188358540242</v>
      </c>
      <c r="M46" s="179">
        <f>Acquirer!O110</f>
        <v>0.15497190194368324</v>
      </c>
      <c r="N46" s="179">
        <f>Acquirer!P110</f>
        <v>0.14725438668668359</v>
      </c>
      <c r="O46" s="179">
        <f>Acquirer!Q110</f>
        <v>0.13997702789007391</v>
      </c>
      <c r="P46" s="179">
        <f>Acquirer!R110</f>
        <v>0.13418791584065645</v>
      </c>
      <c r="Q46" s="179">
        <f>Acquirer!S110</f>
        <v>0.13083160229237012</v>
      </c>
    </row>
    <row r="48" spans="2:17" x14ac:dyDescent="0.55000000000000004">
      <c r="B48" s="20" t="s">
        <v>496</v>
      </c>
      <c r="C48" s="20">
        <f t="shared" ref="C48:Q48" si="0">C3</f>
        <v>2016</v>
      </c>
      <c r="D48" s="20">
        <f t="shared" si="0"/>
        <v>2017</v>
      </c>
      <c r="E48" s="20">
        <f t="shared" si="0"/>
        <v>2018</v>
      </c>
      <c r="F48" s="20">
        <f t="shared" si="0"/>
        <v>2019</v>
      </c>
      <c r="G48" s="20">
        <f t="shared" si="0"/>
        <v>2020</v>
      </c>
      <c r="H48" s="20">
        <f t="shared" si="0"/>
        <v>2021</v>
      </c>
      <c r="I48" s="20">
        <f t="shared" si="0"/>
        <v>2022</v>
      </c>
      <c r="J48" s="20">
        <f t="shared" si="0"/>
        <v>2023</v>
      </c>
      <c r="K48" s="20">
        <f t="shared" si="0"/>
        <v>2024</v>
      </c>
      <c r="L48" s="20">
        <f t="shared" si="0"/>
        <v>2025</v>
      </c>
      <c r="M48" s="20">
        <f t="shared" si="0"/>
        <v>2026</v>
      </c>
      <c r="N48" s="20">
        <f t="shared" si="0"/>
        <v>2027</v>
      </c>
      <c r="O48" s="20">
        <f t="shared" si="0"/>
        <v>2028</v>
      </c>
      <c r="P48" s="20">
        <f t="shared" si="0"/>
        <v>2029</v>
      </c>
      <c r="Q48" s="20">
        <f t="shared" si="0"/>
        <v>2030</v>
      </c>
    </row>
    <row r="49" spans="2:17" x14ac:dyDescent="0.55000000000000004">
      <c r="B49" s="182" t="str">
        <f>Acquirer!B113</f>
        <v>Take-rate MDRs, bps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</row>
    <row r="50" spans="2:17" x14ac:dyDescent="0.55000000000000004">
      <c r="B50" t="str">
        <f>Acquirer!B114</f>
        <v>Debit</v>
      </c>
      <c r="C50">
        <f>Acquirer!E114</f>
        <v>190</v>
      </c>
      <c r="D50">
        <f>Acquirer!F114</f>
        <v>190</v>
      </c>
      <c r="E50">
        <f>Acquirer!G114</f>
        <v>190</v>
      </c>
      <c r="F50">
        <f>Acquirer!H114</f>
        <v>190</v>
      </c>
      <c r="G50">
        <f>Acquirer!I114</f>
        <v>190</v>
      </c>
      <c r="H50">
        <f>Acquirer!J114</f>
        <v>175</v>
      </c>
      <c r="I50" s="4">
        <f>Acquirer!K114</f>
        <v>162</v>
      </c>
      <c r="J50" s="4">
        <f>Acquirer!L114</f>
        <v>147</v>
      </c>
      <c r="K50" s="4">
        <f>Acquirer!M114</f>
        <v>151.41</v>
      </c>
      <c r="L50" s="4">
        <f>Acquirer!N114</f>
        <v>148.3818</v>
      </c>
      <c r="M50" s="4">
        <f>Acquirer!O114</f>
        <v>146.89798199999998</v>
      </c>
      <c r="N50" s="4">
        <f>Acquirer!P114</f>
        <v>142.49104254</v>
      </c>
      <c r="O50" s="4">
        <f>Acquirer!Q114</f>
        <v>135.36649041299998</v>
      </c>
      <c r="P50" s="4">
        <f>Acquirer!R114</f>
        <v>128.59816589234998</v>
      </c>
      <c r="Q50" s="4">
        <f>Acquirer!S114</f>
        <v>122.16825759773248</v>
      </c>
    </row>
    <row r="51" spans="2:17" x14ac:dyDescent="0.55000000000000004">
      <c r="B51" s="173" t="str">
        <f>Acquirer!B115</f>
        <v>Credit</v>
      </c>
      <c r="C51" s="173">
        <f>Acquirer!E115</f>
        <v>320</v>
      </c>
      <c r="D51" s="173">
        <f>Acquirer!F115</f>
        <v>320</v>
      </c>
      <c r="E51" s="173">
        <f>Acquirer!G115</f>
        <v>320</v>
      </c>
      <c r="F51" s="173">
        <f>Acquirer!H115</f>
        <v>320</v>
      </c>
      <c r="G51" s="173">
        <f>Acquirer!I115</f>
        <v>290</v>
      </c>
      <c r="H51" s="173">
        <f>Acquirer!J115</f>
        <v>275</v>
      </c>
      <c r="I51" s="193">
        <f>Acquirer!K115</f>
        <v>267</v>
      </c>
      <c r="J51" s="193">
        <f>Acquirer!L115</f>
        <v>234</v>
      </c>
      <c r="K51" s="193">
        <f>Acquirer!M115</f>
        <v>219.95999999999998</v>
      </c>
      <c r="L51" s="193">
        <f>Acquirer!N115</f>
        <v>215.56079999999997</v>
      </c>
      <c r="M51" s="193">
        <f>Acquirer!O115</f>
        <v>213.40519199999997</v>
      </c>
      <c r="N51" s="193">
        <f>Acquirer!P115</f>
        <v>207.00303623999997</v>
      </c>
      <c r="O51" s="193">
        <f>Acquirer!Q115</f>
        <v>198.72291479039995</v>
      </c>
      <c r="P51" s="193">
        <f>Acquirer!R115</f>
        <v>190.77399819878394</v>
      </c>
      <c r="Q51" s="193">
        <f>Acquirer!S115</f>
        <v>183.14303827083259</v>
      </c>
    </row>
    <row r="53" spans="2:17" x14ac:dyDescent="0.55000000000000004">
      <c r="B53" s="182" t="s">
        <v>707</v>
      </c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</row>
    <row r="54" spans="2:17" x14ac:dyDescent="0.55000000000000004">
      <c r="B54" t="str">
        <f>Acquirer!B118</f>
        <v>Debit</v>
      </c>
      <c r="C54" s="7">
        <f>Acquirer!E118</f>
        <v>91.199999999999974</v>
      </c>
      <c r="D54" s="7">
        <f>Acquirer!F118</f>
        <v>248.89999999999995</v>
      </c>
      <c r="E54" s="7">
        <f>Acquirer!G118</f>
        <v>613.70000000000005</v>
      </c>
      <c r="F54" s="7">
        <f>Acquirer!H118</f>
        <v>946.19999999999993</v>
      </c>
      <c r="G54" s="7">
        <f>Acquirer!I118</f>
        <v>1427.3626428649266</v>
      </c>
      <c r="H54" s="7">
        <f>Acquirer!J118</f>
        <v>1931.8533585067933</v>
      </c>
      <c r="I54" s="7">
        <f>Acquirer!K118</f>
        <v>2467.7178747325374</v>
      </c>
      <c r="J54" s="7">
        <f>Acquirer!L118</f>
        <v>2493.0585041193362</v>
      </c>
      <c r="K54" s="7">
        <f>Acquirer!M118</f>
        <v>2969.7292728497509</v>
      </c>
      <c r="L54" s="7">
        <f>Acquirer!N118</f>
        <v>3314.029687529151</v>
      </c>
      <c r="M54" s="7">
        <f>Acquirer!O118</f>
        <v>3682.268384882083</v>
      </c>
      <c r="N54" s="7">
        <f>Acquirer!P118</f>
        <v>3945.3650261750226</v>
      </c>
      <c r="O54" s="7">
        <f>Acquirer!Q118</f>
        <v>4135.3147931562853</v>
      </c>
      <c r="P54" s="7">
        <f>Acquirer!R118</f>
        <v>4297.7317578510965</v>
      </c>
      <c r="Q54" s="7">
        <f>Acquirer!S118</f>
        <v>4398.0336361176951</v>
      </c>
    </row>
    <row r="55" spans="2:17" x14ac:dyDescent="0.55000000000000004">
      <c r="B55" s="194" t="str">
        <f>Acquirer!B119</f>
        <v>Credit</v>
      </c>
      <c r="C55" s="195">
        <f>Acquirer!E119</f>
        <v>297.60000000000002</v>
      </c>
      <c r="D55" s="195">
        <f>Acquirer!F119</f>
        <v>793.6</v>
      </c>
      <c r="E55" s="195">
        <f>Acquirer!G119</f>
        <v>1388.8</v>
      </c>
      <c r="F55" s="195">
        <f>Acquirer!H119</f>
        <v>2112</v>
      </c>
      <c r="G55" s="195">
        <f>Acquirer!I119</f>
        <v>2506.1649604713753</v>
      </c>
      <c r="H55" s="195">
        <f>Acquirer!J119</f>
        <v>3921.7304366321828</v>
      </c>
      <c r="I55" s="195">
        <f>Acquirer!K119</f>
        <v>5384.6353546074852</v>
      </c>
      <c r="J55" s="195">
        <f>Acquirer!L119</f>
        <v>5265.0978914018733</v>
      </c>
      <c r="K55" s="195">
        <f>Acquirer!M119</f>
        <v>5756.0880688421066</v>
      </c>
      <c r="L55" s="195">
        <f>Acquirer!N119</f>
        <v>6441.6167755879142</v>
      </c>
      <c r="M55" s="195">
        <f>Acquirer!O119</f>
        <v>7159.8979207098737</v>
      </c>
      <c r="N55" s="195">
        <f>Acquirer!P119</f>
        <v>7676.8409754360628</v>
      </c>
      <c r="O55" s="195">
        <f>Acquirer!Q119</f>
        <v>8147.6001945451299</v>
      </c>
      <c r="P55" s="195">
        <f>Acquirer!R119</f>
        <v>8574.815132843436</v>
      </c>
      <c r="Q55" s="195">
        <f>Acquirer!S119</f>
        <v>8863.546344418206</v>
      </c>
    </row>
    <row r="56" spans="2:17" x14ac:dyDescent="0.55000000000000004">
      <c r="B56" t="str">
        <f>Acquirer!B120</f>
        <v>Total</v>
      </c>
      <c r="C56" s="7">
        <f>Acquirer!E120</f>
        <v>388.8</v>
      </c>
      <c r="D56" s="7">
        <f>Acquirer!F120</f>
        <v>1042.5</v>
      </c>
      <c r="E56" s="7">
        <f>Acquirer!G120</f>
        <v>2002.5</v>
      </c>
      <c r="F56" s="7">
        <f>Acquirer!H120</f>
        <v>3058.2</v>
      </c>
      <c r="G56" s="7">
        <f>Acquirer!I120</f>
        <v>3933.5276033363016</v>
      </c>
      <c r="H56" s="7">
        <f>Acquirer!J120</f>
        <v>5853.5837951389758</v>
      </c>
      <c r="I56" s="7">
        <f>Acquirer!K120</f>
        <v>7852.3532293400222</v>
      </c>
      <c r="J56" s="7">
        <f>Acquirer!L120</f>
        <v>7758.1563955212096</v>
      </c>
      <c r="K56" s="7">
        <f>Acquirer!M120</f>
        <v>8725.817341691858</v>
      </c>
      <c r="L56" s="7">
        <f>Acquirer!N120</f>
        <v>9755.6464631170657</v>
      </c>
      <c r="M56" s="7">
        <f>Acquirer!O120</f>
        <v>10842.166305591956</v>
      </c>
      <c r="N56" s="7">
        <f>Acquirer!P120</f>
        <v>11622.206001611085</v>
      </c>
      <c r="O56" s="7">
        <f>Acquirer!Q120</f>
        <v>12282.914987701415</v>
      </c>
      <c r="P56" s="7">
        <f>Acquirer!R120</f>
        <v>12872.546890694532</v>
      </c>
      <c r="Q56" s="7">
        <f>Acquirer!S120</f>
        <v>13261.579980535902</v>
      </c>
    </row>
    <row r="57" spans="2:17" x14ac:dyDescent="0.55000000000000004"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</row>
    <row r="58" spans="2:17" x14ac:dyDescent="0.55000000000000004">
      <c r="B58" s="9" t="str">
        <f>Acquirer!B122</f>
        <v>Factoring revenue</v>
      </c>
    </row>
    <row r="59" spans="2:17" x14ac:dyDescent="0.55000000000000004">
      <c r="B59" s="173" t="str">
        <f>Acquirer!B123</f>
        <v xml:space="preserve">TPV from credit </v>
      </c>
      <c r="C59" s="180">
        <f>Acquirer!E123</f>
        <v>9.3000000000000007</v>
      </c>
      <c r="D59" s="180">
        <f>Acquirer!F123</f>
        <v>24.8</v>
      </c>
      <c r="E59" s="180">
        <f>Acquirer!G123</f>
        <v>43.4</v>
      </c>
      <c r="F59" s="180">
        <f>Acquirer!H123</f>
        <v>66</v>
      </c>
      <c r="G59" s="180">
        <f>Acquirer!I123</f>
        <v>86.419481395564659</v>
      </c>
      <c r="H59" s="180">
        <f>Acquirer!J123</f>
        <v>142.60837951389755</v>
      </c>
      <c r="I59" s="180">
        <f>Acquirer!K123</f>
        <v>201.67173612762113</v>
      </c>
      <c r="J59" s="180">
        <f>Acquirer!L123</f>
        <v>225.00418339324244</v>
      </c>
      <c r="K59" s="180">
        <f>Acquirer!M123</f>
        <v>261.68794639216708</v>
      </c>
      <c r="L59" s="180">
        <f>Acquirer!N123</f>
        <v>298.83062113278083</v>
      </c>
      <c r="M59" s="180">
        <f>Acquirer!O123</f>
        <v>335.50720362557411</v>
      </c>
      <c r="N59" s="180">
        <f>Acquirer!P123</f>
        <v>370.85644321349514</v>
      </c>
      <c r="O59" s="180">
        <f>Acquirer!Q123</f>
        <v>409.998021775128</v>
      </c>
      <c r="P59" s="180">
        <f>Acquirer!R123</f>
        <v>449.47504449262493</v>
      </c>
      <c r="Q59" s="180">
        <f>Acquirer!S123</f>
        <v>483.96851052076363</v>
      </c>
    </row>
    <row r="60" spans="2:17" x14ac:dyDescent="0.55000000000000004">
      <c r="B60" t="str">
        <f>Acquirer!B124</f>
        <v>- of which % multi-installments</v>
      </c>
      <c r="C60" s="2">
        <f>Acquirer!E124</f>
        <v>0.6</v>
      </c>
      <c r="D60" s="2">
        <f>Acquirer!F124</f>
        <v>0.6</v>
      </c>
      <c r="E60" s="2">
        <f>Acquirer!G124</f>
        <v>0.6</v>
      </c>
      <c r="F60" s="2">
        <f>Acquirer!H124</f>
        <v>0.6</v>
      </c>
      <c r="G60" s="2">
        <f>Acquirer!I124</f>
        <v>0.5</v>
      </c>
      <c r="H60" s="2">
        <f>Acquirer!J124</f>
        <v>0.6</v>
      </c>
      <c r="I60" s="2">
        <f>Acquirer!K124</f>
        <v>0.5</v>
      </c>
      <c r="J60" s="2">
        <f>Acquirer!L124</f>
        <v>0.5</v>
      </c>
      <c r="K60" s="2">
        <f>Acquirer!M124</f>
        <v>0.5</v>
      </c>
      <c r="L60" s="2">
        <f>Acquirer!N124</f>
        <v>0.5</v>
      </c>
      <c r="M60" s="2">
        <f>Acquirer!O124</f>
        <v>0.5</v>
      </c>
      <c r="N60" s="2">
        <f>Acquirer!P124</f>
        <v>0.5</v>
      </c>
      <c r="O60" s="2">
        <f>Acquirer!Q124</f>
        <v>0.5</v>
      </c>
      <c r="P60" s="2">
        <f>Acquirer!R124</f>
        <v>0.5</v>
      </c>
      <c r="Q60" s="2">
        <f>Acquirer!S124</f>
        <v>0.5</v>
      </c>
    </row>
    <row r="61" spans="2:17" x14ac:dyDescent="0.55000000000000004">
      <c r="B61" s="173" t="str">
        <f>Acquirer!B125</f>
        <v>Multi-installment TPV</v>
      </c>
      <c r="C61" s="180">
        <f>Acquirer!E125</f>
        <v>5.58</v>
      </c>
      <c r="D61" s="180">
        <f>Acquirer!F125</f>
        <v>14.879999999999999</v>
      </c>
      <c r="E61" s="180">
        <f>Acquirer!G125</f>
        <v>26.04</v>
      </c>
      <c r="F61" s="180">
        <f>Acquirer!H125</f>
        <v>39.6</v>
      </c>
      <c r="G61" s="180">
        <f>Acquirer!I125</f>
        <v>43.20974069778233</v>
      </c>
      <c r="H61" s="180">
        <f>Acquirer!J125</f>
        <v>85.565027708338519</v>
      </c>
      <c r="I61" s="180">
        <f>Acquirer!K125</f>
        <v>100.83586806381057</v>
      </c>
      <c r="J61" s="180">
        <f>Acquirer!L125</f>
        <v>112.50209169662122</v>
      </c>
      <c r="K61" s="180">
        <f>Acquirer!M125</f>
        <v>130.84397319608354</v>
      </c>
      <c r="L61" s="180">
        <f>Acquirer!N125</f>
        <v>149.41531056639042</v>
      </c>
      <c r="M61" s="180">
        <f>Acquirer!O125</f>
        <v>167.75360181278705</v>
      </c>
      <c r="N61" s="180">
        <f>Acquirer!P125</f>
        <v>185.42822160674757</v>
      </c>
      <c r="O61" s="180">
        <f>Acquirer!Q125</f>
        <v>204.999010887564</v>
      </c>
      <c r="P61" s="180">
        <f>Acquirer!R125</f>
        <v>224.73752224631247</v>
      </c>
      <c r="Q61" s="180">
        <f>Acquirer!S125</f>
        <v>241.98425526038181</v>
      </c>
    </row>
    <row r="63" spans="2:17" x14ac:dyDescent="0.55000000000000004">
      <c r="B63" s="173" t="str">
        <f>Acquirer!B127</f>
        <v>Revenue</v>
      </c>
      <c r="C63" s="174">
        <f>Acquirer!E127</f>
        <v>392</v>
      </c>
      <c r="D63" s="174">
        <f>Acquirer!F127</f>
        <v>819</v>
      </c>
      <c r="E63" s="174">
        <f>Acquirer!G127</f>
        <v>1415</v>
      </c>
      <c r="F63" s="174">
        <f>Acquirer!H127</f>
        <v>2031</v>
      </c>
      <c r="G63" s="174">
        <f>Acquirer!I127</f>
        <v>2177.4</v>
      </c>
      <c r="H63" s="174">
        <f>Acquirer!J127</f>
        <v>3514</v>
      </c>
      <c r="I63" s="174">
        <f>Acquirer!K127</f>
        <v>6253</v>
      </c>
      <c r="J63" s="174">
        <f>Acquirer!L127</f>
        <v>6653</v>
      </c>
      <c r="K63" s="174">
        <f>Acquirer!M127</f>
        <v>7392.6844855787203</v>
      </c>
      <c r="L63" s="174">
        <f>Acquirer!N127</f>
        <v>7694.8884941691067</v>
      </c>
      <c r="M63" s="174">
        <f>Acquirer!O127</f>
        <v>7800.5424842945995</v>
      </c>
      <c r="N63" s="174">
        <f>Acquirer!P127</f>
        <v>8158.8417506968935</v>
      </c>
      <c r="O63" s="174">
        <f>Acquirer!Q127</f>
        <v>9019.9564790528184</v>
      </c>
      <c r="P63" s="174">
        <f>Acquirer!R127</f>
        <v>9888.4509788377491</v>
      </c>
      <c r="Q63" s="174">
        <f>Acquirer!S127</f>
        <v>10647.307231456802</v>
      </c>
    </row>
    <row r="64" spans="2:17" x14ac:dyDescent="0.55000000000000004">
      <c r="B64" t="str">
        <f>Acquirer!B128</f>
        <v>Implied rate</v>
      </c>
      <c r="C64" s="12">
        <f>Acquirer!E128</f>
        <v>7.0250896057347675E-2</v>
      </c>
      <c r="D64" s="12">
        <f>Acquirer!F128</f>
        <v>5.5040322580645167E-2</v>
      </c>
      <c r="E64" s="12">
        <f>Acquirer!G128</f>
        <v>5.4339477726574499E-2</v>
      </c>
      <c r="F64" s="12">
        <f>Acquirer!H128</f>
        <v>5.1287878787878785E-2</v>
      </c>
      <c r="G64" s="12">
        <f>Acquirer!I128</f>
        <v>5.0391415565975657E-2</v>
      </c>
      <c r="H64" s="12">
        <f>Acquirer!J128</f>
        <v>4.106818047179283E-2</v>
      </c>
      <c r="I64" s="12">
        <f>Acquirer!K128</f>
        <v>6.2011664302259989E-2</v>
      </c>
      <c r="J64" s="12">
        <f>Acquirer!L128</f>
        <v>5.9136678257865755E-2</v>
      </c>
      <c r="K64" s="12">
        <f>Acquirer!M128</f>
        <v>5.6500000000000002E-2</v>
      </c>
      <c r="L64" s="12">
        <f>Acquirer!N128</f>
        <v>5.1500000000000004E-2</v>
      </c>
      <c r="M64" s="12">
        <f>Acquirer!O128</f>
        <v>4.6500000000000007E-2</v>
      </c>
      <c r="N64" s="12">
        <f>Acquirer!P128</f>
        <v>4.4000000000000004E-2</v>
      </c>
      <c r="O64" s="12">
        <f>Acquirer!Q128</f>
        <v>4.4000000000000004E-2</v>
      </c>
      <c r="P64" s="12">
        <f>Acquirer!R128</f>
        <v>4.4000000000000004E-2</v>
      </c>
      <c r="Q64" s="12">
        <f>Acquirer!S128</f>
        <v>4.4000000000000004E-2</v>
      </c>
    </row>
    <row r="65" spans="2:17" x14ac:dyDescent="0.55000000000000004"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</row>
    <row r="66" spans="2:17" x14ac:dyDescent="0.55000000000000004">
      <c r="B66" s="20" t="str">
        <f>Acquirer!B130</f>
        <v>Costs</v>
      </c>
      <c r="C66" s="20">
        <f>C48</f>
        <v>2016</v>
      </c>
      <c r="D66" s="20">
        <f t="shared" ref="D66:Q66" si="1">D48</f>
        <v>2017</v>
      </c>
      <c r="E66" s="20">
        <f t="shared" si="1"/>
        <v>2018</v>
      </c>
      <c r="F66" s="20">
        <f t="shared" si="1"/>
        <v>2019</v>
      </c>
      <c r="G66" s="20">
        <f t="shared" si="1"/>
        <v>2020</v>
      </c>
      <c r="H66" s="20">
        <f t="shared" si="1"/>
        <v>2021</v>
      </c>
      <c r="I66" s="20">
        <f t="shared" si="1"/>
        <v>2022</v>
      </c>
      <c r="J66" s="20">
        <f t="shared" si="1"/>
        <v>2023</v>
      </c>
      <c r="K66" s="20">
        <f t="shared" si="1"/>
        <v>2024</v>
      </c>
      <c r="L66" s="20">
        <f t="shared" si="1"/>
        <v>2025</v>
      </c>
      <c r="M66" s="20">
        <f t="shared" si="1"/>
        <v>2026</v>
      </c>
      <c r="N66" s="20">
        <f t="shared" si="1"/>
        <v>2027</v>
      </c>
      <c r="O66" s="20">
        <f t="shared" si="1"/>
        <v>2028</v>
      </c>
      <c r="P66" s="20">
        <f t="shared" si="1"/>
        <v>2029</v>
      </c>
      <c r="Q66" s="20">
        <f t="shared" si="1"/>
        <v>2030</v>
      </c>
    </row>
    <row r="67" spans="2:17" x14ac:dyDescent="0.55000000000000004">
      <c r="B67" s="182" t="str">
        <f>Acquirer!B132</f>
        <v>Interchange fees, bps</v>
      </c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</row>
    <row r="68" spans="2:17" x14ac:dyDescent="0.55000000000000004">
      <c r="B68" t="str">
        <f>Acquirer!B133</f>
        <v>Debit</v>
      </c>
      <c r="C68">
        <f>Acquirer!E133</f>
        <v>67.849538977110768</v>
      </c>
      <c r="D68">
        <f>Acquirer!F133</f>
        <v>67.849538977110768</v>
      </c>
      <c r="E68">
        <f>Acquirer!G133</f>
        <v>67.849538977110768</v>
      </c>
      <c r="F68">
        <f>Acquirer!H133</f>
        <v>67.849538977110768</v>
      </c>
      <c r="G68">
        <f>Acquirer!I133</f>
        <v>67.849538977110768</v>
      </c>
      <c r="H68">
        <f>Acquirer!J133</f>
        <v>72.36729597534169</v>
      </c>
      <c r="I68">
        <f>Acquirer!K133</f>
        <v>85.205721189935431</v>
      </c>
      <c r="J68">
        <f>Acquirer!L133</f>
        <v>82.262677448635102</v>
      </c>
      <c r="K68">
        <f>Acquirer!M133</f>
        <v>82.262677448635102</v>
      </c>
      <c r="L68">
        <f>Acquirer!N133</f>
        <v>82.262677448635102</v>
      </c>
      <c r="M68">
        <f>Acquirer!O133</f>
        <v>82.262677448635102</v>
      </c>
      <c r="N68">
        <f>Acquirer!P133</f>
        <v>82.262677448635102</v>
      </c>
      <c r="O68">
        <f>Acquirer!Q133</f>
        <v>82.262677448635102</v>
      </c>
      <c r="P68">
        <f>Acquirer!R133</f>
        <v>82.262677448635102</v>
      </c>
      <c r="Q68">
        <f>Acquirer!S133</f>
        <v>82.262677448635102</v>
      </c>
    </row>
    <row r="69" spans="2:17" x14ac:dyDescent="0.55000000000000004">
      <c r="B69" s="173" t="str">
        <f>Acquirer!B134</f>
        <v>Credit</v>
      </c>
      <c r="C69" s="173">
        <f>Acquirer!E134</f>
        <v>130</v>
      </c>
      <c r="D69" s="173">
        <f>Acquirer!F134</f>
        <v>130</v>
      </c>
      <c r="E69" s="173">
        <f>Acquirer!G134</f>
        <v>130</v>
      </c>
      <c r="F69" s="173">
        <f>Acquirer!H134</f>
        <v>130</v>
      </c>
      <c r="G69" s="173">
        <f>Acquirer!I134</f>
        <v>130</v>
      </c>
      <c r="H69" s="173">
        <f>Acquirer!J134</f>
        <v>150</v>
      </c>
      <c r="I69" s="173">
        <f>Acquirer!K134</f>
        <v>150</v>
      </c>
      <c r="J69" s="173">
        <f>Acquirer!L134</f>
        <v>142</v>
      </c>
      <c r="K69" s="173">
        <f>Acquirer!M134</f>
        <v>138</v>
      </c>
      <c r="L69" s="173">
        <f>Acquirer!N134</f>
        <v>134</v>
      </c>
      <c r="M69" s="173">
        <f>Acquirer!O134</f>
        <v>129</v>
      </c>
      <c r="N69" s="173">
        <f>Acquirer!P134</f>
        <v>125</v>
      </c>
      <c r="O69" s="173">
        <f>Acquirer!Q134</f>
        <v>120</v>
      </c>
      <c r="P69" s="173">
        <f>Acquirer!R134</f>
        <v>119</v>
      </c>
      <c r="Q69" s="173">
        <f>Acquirer!S134</f>
        <v>118</v>
      </c>
    </row>
    <row r="70" spans="2:17" x14ac:dyDescent="0.55000000000000004">
      <c r="B70" t="str">
        <f>Acquirer!B135</f>
        <v>Network fees</v>
      </c>
      <c r="C70">
        <f>Acquirer!E135</f>
        <v>40</v>
      </c>
      <c r="D70">
        <f>Acquirer!F135</f>
        <v>40</v>
      </c>
      <c r="E70">
        <f>Acquirer!G135</f>
        <v>40</v>
      </c>
      <c r="F70">
        <f>Acquirer!H135</f>
        <v>40</v>
      </c>
      <c r="G70">
        <f>Acquirer!I135</f>
        <v>30</v>
      </c>
      <c r="H70">
        <f>Acquirer!J135</f>
        <v>30</v>
      </c>
      <c r="I70">
        <f>Acquirer!K135</f>
        <v>30</v>
      </c>
      <c r="J70">
        <f>Acquirer!L135</f>
        <v>30</v>
      </c>
      <c r="K70">
        <f>Acquirer!M135</f>
        <v>30</v>
      </c>
      <c r="L70">
        <f>Acquirer!N135</f>
        <v>30</v>
      </c>
      <c r="M70">
        <f>Acquirer!O135</f>
        <v>30</v>
      </c>
      <c r="N70">
        <f>Acquirer!P135</f>
        <v>30</v>
      </c>
      <c r="O70">
        <f>Acquirer!Q135</f>
        <v>30</v>
      </c>
      <c r="P70">
        <f>Acquirer!R135</f>
        <v>30</v>
      </c>
      <c r="Q70">
        <f>Acquirer!S135</f>
        <v>30</v>
      </c>
    </row>
    <row r="71" spans="2:17" x14ac:dyDescent="0.55000000000000004"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</row>
    <row r="72" spans="2:17" x14ac:dyDescent="0.55000000000000004">
      <c r="B72" s="9" t="str">
        <f>Acquirer!B137</f>
        <v>Interchange + Network fees</v>
      </c>
    </row>
    <row r="73" spans="2:17" x14ac:dyDescent="0.55000000000000004">
      <c r="B73" s="173" t="str">
        <f>Acquirer!B138</f>
        <v>Debit</v>
      </c>
      <c r="C73" s="174">
        <f>Acquirer!E138</f>
        <v>51.767778709013164</v>
      </c>
      <c r="D73" s="174">
        <f>Acquirer!F138</f>
        <v>141.2828960600151</v>
      </c>
      <c r="E73" s="174">
        <f>Acquirer!G138</f>
        <v>348.35401089606785</v>
      </c>
      <c r="F73" s="174">
        <f>Acquirer!H138</f>
        <v>537.09070410601169</v>
      </c>
      <c r="G73" s="174">
        <f>Acquirer!I138</f>
        <v>735.08829767096563</v>
      </c>
      <c r="H73" s="174">
        <f>Acquirer!J138</f>
        <v>1130.0491687498443</v>
      </c>
      <c r="I73" s="174">
        <f>Acquirer!K138</f>
        <v>1754.9087497028195</v>
      </c>
      <c r="J73" s="174">
        <f>Acquirer!L138</f>
        <v>1903.9280456362299</v>
      </c>
      <c r="K73" s="174">
        <f>Acquirer!M138</f>
        <v>2201.9005314556589</v>
      </c>
      <c r="L73" s="174">
        <f>Acquirer!N138</f>
        <v>2507.3280271993335</v>
      </c>
      <c r="M73" s="174">
        <f>Acquirer!O138</f>
        <v>2814.070706371745</v>
      </c>
      <c r="N73" s="174">
        <f>Acquirer!P138</f>
        <v>3108.3865585885997</v>
      </c>
      <c r="O73" s="174">
        <f>Acquirer!Q138</f>
        <v>3429.515749106617</v>
      </c>
      <c r="P73" s="174">
        <f>Acquirer!R138</f>
        <v>3751.8021407573942</v>
      </c>
      <c r="Q73" s="174">
        <f>Acquirer!S138</f>
        <v>4041.4346673050418</v>
      </c>
    </row>
    <row r="74" spans="2:17" x14ac:dyDescent="0.55000000000000004">
      <c r="B74" t="str">
        <f>Acquirer!B139</f>
        <v>Credit</v>
      </c>
      <c r="C74" s="7">
        <f>Acquirer!E139</f>
        <v>158.10000000000002</v>
      </c>
      <c r="D74" s="7">
        <f>Acquirer!F139</f>
        <v>421.6</v>
      </c>
      <c r="E74" s="7">
        <f>Acquirer!G139</f>
        <v>737.80000000000007</v>
      </c>
      <c r="F74" s="7">
        <f>Acquirer!H139</f>
        <v>1122</v>
      </c>
      <c r="G74" s="7">
        <f>Acquirer!I139</f>
        <v>1382.7117023290346</v>
      </c>
      <c r="H74" s="7">
        <f>Acquirer!J139</f>
        <v>2566.9508312501557</v>
      </c>
      <c r="I74" s="7">
        <f>Acquirer!K139</f>
        <v>3630.0912502971805</v>
      </c>
      <c r="J74" s="7">
        <f>Acquirer!L139</f>
        <v>3870.0719543637701</v>
      </c>
      <c r="K74" s="7">
        <f>Acquirer!M139</f>
        <v>4396.3574993884067</v>
      </c>
      <c r="L74" s="7">
        <f>Acquirer!N139</f>
        <v>4900.8221865776068</v>
      </c>
      <c r="M74" s="7">
        <f>Acquirer!O139</f>
        <v>5334.5645376466291</v>
      </c>
      <c r="N74" s="7">
        <f>Acquirer!P139</f>
        <v>5748.2748698091746</v>
      </c>
      <c r="O74" s="7">
        <f>Acquirer!Q139</f>
        <v>6149.9703266269189</v>
      </c>
      <c r="P74" s="7">
        <f>Acquirer!R139</f>
        <v>6697.1781629401112</v>
      </c>
      <c r="Q74" s="7">
        <f>Acquirer!S139</f>
        <v>7162.7339557073019</v>
      </c>
    </row>
    <row r="75" spans="2:17" x14ac:dyDescent="0.55000000000000004">
      <c r="B75" s="173" t="str">
        <f>Acquirer!B140</f>
        <v>Total</v>
      </c>
      <c r="C75" s="174">
        <f>Acquirer!E140</f>
        <v>209.86777870901318</v>
      </c>
      <c r="D75" s="174">
        <f>Acquirer!F140</f>
        <v>587</v>
      </c>
      <c r="E75" s="174">
        <f>Acquirer!G140</f>
        <v>1163</v>
      </c>
      <c r="F75" s="174">
        <f>Acquirer!H140</f>
        <v>1683</v>
      </c>
      <c r="G75" s="174">
        <f>Acquirer!I140</f>
        <v>2117.8000000000002</v>
      </c>
      <c r="H75" s="174">
        <f>Acquirer!J140</f>
        <v>3697</v>
      </c>
      <c r="I75" s="174">
        <f>Acquirer!K140</f>
        <v>5385</v>
      </c>
      <c r="J75" s="174">
        <f>Acquirer!L140</f>
        <v>5774</v>
      </c>
      <c r="K75" s="174">
        <f>Acquirer!M140</f>
        <v>6598.2580308440656</v>
      </c>
      <c r="L75" s="174">
        <f>Acquirer!N140</f>
        <v>7408.1502137769403</v>
      </c>
      <c r="M75" s="174">
        <f>Acquirer!O140</f>
        <v>8148.6352440183746</v>
      </c>
      <c r="N75" s="174">
        <f>Acquirer!P140</f>
        <v>8856.6614283977742</v>
      </c>
      <c r="O75" s="174">
        <f>Acquirer!Q140</f>
        <v>9579.4860757335355</v>
      </c>
      <c r="P75" s="174">
        <f>Acquirer!R140</f>
        <v>10448.980303697506</v>
      </c>
      <c r="Q75" s="174">
        <f>Acquirer!S140</f>
        <v>11204.168623012343</v>
      </c>
    </row>
    <row r="77" spans="2:17" x14ac:dyDescent="0.55000000000000004">
      <c r="B77" s="182" t="str">
        <f>Acquirer!B142</f>
        <v>Device sales</v>
      </c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</row>
    <row r="78" spans="2:17" x14ac:dyDescent="0.55000000000000004">
      <c r="B78" t="str">
        <f>Acquirer!B144</f>
        <v>Net device adds</v>
      </c>
      <c r="D78">
        <f>Acquirer!F144</f>
        <v>1380</v>
      </c>
      <c r="E78">
        <f>Acquirer!G144</f>
        <v>1344</v>
      </c>
      <c r="F78">
        <f>Acquirer!H144</f>
        <v>1134</v>
      </c>
      <c r="G78">
        <f>Acquirer!I144</f>
        <v>1764.9470000000001</v>
      </c>
      <c r="H78">
        <f>Acquirer!J144</f>
        <v>659.05299999999988</v>
      </c>
      <c r="I78">
        <f>Acquirer!K144</f>
        <v>-593</v>
      </c>
      <c r="J78">
        <f>Acquirer!L144</f>
        <v>-600</v>
      </c>
      <c r="K78">
        <f>Acquirer!M144</f>
        <v>100</v>
      </c>
      <c r="L78">
        <f>Acquirer!N144</f>
        <v>200</v>
      </c>
      <c r="M78">
        <f>Acquirer!O144</f>
        <v>200</v>
      </c>
      <c r="N78">
        <f>Acquirer!P144</f>
        <v>200</v>
      </c>
      <c r="O78">
        <f>Acquirer!Q144</f>
        <v>200</v>
      </c>
      <c r="P78">
        <f>Acquirer!R144</f>
        <v>200</v>
      </c>
      <c r="Q78">
        <f>Acquirer!S144</f>
        <v>200</v>
      </c>
    </row>
    <row r="79" spans="2:17" x14ac:dyDescent="0.55000000000000004">
      <c r="B79" s="173" t="str">
        <f>Acquirer!B145</f>
        <v>Activation rate</v>
      </c>
      <c r="C79" s="173"/>
      <c r="D79" s="173">
        <f>Acquirer!F145</f>
        <v>0.7</v>
      </c>
      <c r="E79" s="173">
        <f>Acquirer!G145</f>
        <v>0.7</v>
      </c>
      <c r="F79" s="173">
        <f>Acquirer!H145</f>
        <v>0.7</v>
      </c>
      <c r="G79" s="173">
        <f>Acquirer!I145</f>
        <v>0.7</v>
      </c>
      <c r="H79" s="173">
        <f>Acquirer!J145</f>
        <v>0.7</v>
      </c>
      <c r="I79" s="173">
        <f>Acquirer!K145</f>
        <v>0.7</v>
      </c>
      <c r="J79" s="173">
        <f>Acquirer!L145</f>
        <v>0.7</v>
      </c>
      <c r="K79" s="173">
        <f>Acquirer!M145</f>
        <v>0.7</v>
      </c>
      <c r="L79" s="173">
        <f>Acquirer!N145</f>
        <v>0.7</v>
      </c>
      <c r="M79" s="173">
        <f>Acquirer!O145</f>
        <v>0.7</v>
      </c>
      <c r="N79" s="173">
        <f>Acquirer!P145</f>
        <v>0.7</v>
      </c>
      <c r="O79" s="173">
        <f>Acquirer!Q145</f>
        <v>0.7</v>
      </c>
      <c r="P79" s="173">
        <f>Acquirer!R145</f>
        <v>0.7</v>
      </c>
      <c r="Q79" s="173">
        <f>Acquirer!S145</f>
        <v>0.7</v>
      </c>
    </row>
    <row r="80" spans="2:17" x14ac:dyDescent="0.55000000000000004">
      <c r="B80" t="str">
        <f>Acquirer!B146</f>
        <v>Gross device adds</v>
      </c>
      <c r="D80" s="7">
        <f>Acquirer!F146</f>
        <v>1971.4285714285716</v>
      </c>
      <c r="E80" s="7">
        <f>Acquirer!G146</f>
        <v>1920.0000000000002</v>
      </c>
      <c r="F80" s="7">
        <f>Acquirer!H146</f>
        <v>1620</v>
      </c>
      <c r="G80" s="7">
        <f>Acquirer!I146</f>
        <v>2521.3528571428574</v>
      </c>
      <c r="H80" s="7">
        <f>Acquirer!J146</f>
        <v>941.50428571428563</v>
      </c>
      <c r="I80" s="7">
        <f>Acquirer!K146</f>
        <v>800</v>
      </c>
      <c r="J80" s="7">
        <f>Acquirer!L146</f>
        <v>600</v>
      </c>
      <c r="K80" s="7">
        <f>Acquirer!M146</f>
        <v>500</v>
      </c>
      <c r="L80" s="7">
        <f>Acquirer!N146</f>
        <v>400</v>
      </c>
      <c r="M80" s="7">
        <f>Acquirer!O146</f>
        <v>285.71428571428572</v>
      </c>
      <c r="N80" s="7">
        <f>Acquirer!P146</f>
        <v>285.71428571428572</v>
      </c>
      <c r="O80" s="7">
        <f>Acquirer!Q146</f>
        <v>285.71428571428572</v>
      </c>
      <c r="P80" s="7">
        <f>Acquirer!R146</f>
        <v>285.71428571428572</v>
      </c>
      <c r="Q80" s="7">
        <f>Acquirer!S146</f>
        <v>285.71428571428572</v>
      </c>
    </row>
    <row r="81" spans="2:17" x14ac:dyDescent="0.55000000000000004"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</row>
    <row r="82" spans="2:17" x14ac:dyDescent="0.55000000000000004">
      <c r="B82" t="str">
        <f>Acquirer!B152</f>
        <v>Expensed / device (logistics/storage)</v>
      </c>
      <c r="G82">
        <f>Acquirer!I152</f>
        <v>150</v>
      </c>
      <c r="H82">
        <f>Acquirer!J152</f>
        <v>150</v>
      </c>
      <c r="I82">
        <f>Acquirer!K152</f>
        <v>150</v>
      </c>
      <c r="J82">
        <f>Acquirer!L152</f>
        <v>150</v>
      </c>
      <c r="K82">
        <f>Acquirer!M152</f>
        <v>150</v>
      </c>
      <c r="L82">
        <f>Acquirer!N152</f>
        <v>150</v>
      </c>
      <c r="M82">
        <f>Acquirer!O152</f>
        <v>150</v>
      </c>
      <c r="N82">
        <f>Acquirer!P152</f>
        <v>150</v>
      </c>
      <c r="O82">
        <f>Acquirer!Q152</f>
        <v>150</v>
      </c>
      <c r="P82">
        <f>Acquirer!R152</f>
        <v>150</v>
      </c>
      <c r="Q82">
        <f>Acquirer!S152</f>
        <v>150</v>
      </c>
    </row>
    <row r="83" spans="2:17" x14ac:dyDescent="0.55000000000000004"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</row>
    <row r="84" spans="2:17" x14ac:dyDescent="0.55000000000000004">
      <c r="B84" t="str">
        <f>Acquirer!B154</f>
        <v xml:space="preserve">Costs (device logistics &amp; storage) </v>
      </c>
      <c r="D84" s="7"/>
      <c r="E84" s="7"/>
      <c r="F84" s="7"/>
      <c r="G84" s="7">
        <f>Acquirer!I154</f>
        <v>378.20292857142857</v>
      </c>
      <c r="H84" s="7">
        <f>Acquirer!J154</f>
        <v>141.22564285714284</v>
      </c>
      <c r="I84" s="7">
        <f>Acquirer!K154</f>
        <v>120</v>
      </c>
      <c r="J84" s="7">
        <f>Acquirer!L154</f>
        <v>90</v>
      </c>
      <c r="K84" s="7">
        <f>Acquirer!M154</f>
        <v>75</v>
      </c>
      <c r="L84" s="7">
        <f>Acquirer!N154</f>
        <v>60</v>
      </c>
      <c r="M84" s="7">
        <f>Acquirer!O154</f>
        <v>42.857142857142854</v>
      </c>
      <c r="N84" s="7">
        <f>Acquirer!P154</f>
        <v>42.857142857142854</v>
      </c>
      <c r="O84" s="7">
        <f>Acquirer!Q154</f>
        <v>42.857142857142854</v>
      </c>
      <c r="P84" s="7">
        <f>Acquirer!R154</f>
        <v>42.857142857142854</v>
      </c>
      <c r="Q84" s="7">
        <f>Acquirer!S154</f>
        <v>42.857142857142854</v>
      </c>
    </row>
    <row r="85" spans="2:17" x14ac:dyDescent="0.55000000000000004">
      <c r="B85" s="173" t="str">
        <f>Acquirer!B155</f>
        <v>Other (inc intercompany taxes)</v>
      </c>
      <c r="C85" s="173"/>
      <c r="D85" s="174"/>
      <c r="E85" s="174"/>
      <c r="F85" s="174"/>
      <c r="G85" s="174">
        <f>Acquirer!I155</f>
        <v>277.39707142857145</v>
      </c>
      <c r="H85" s="174">
        <f>Acquirer!J155</f>
        <v>482.87435714285721</v>
      </c>
      <c r="I85" s="174">
        <f>Acquirer!K155</f>
        <v>59.5</v>
      </c>
      <c r="J85" s="174">
        <f>Acquirer!L155</f>
        <v>91.5</v>
      </c>
      <c r="K85" s="174">
        <f>Acquirer!M155</f>
        <v>100.65</v>
      </c>
      <c r="L85" s="174">
        <f>Acquirer!N155</f>
        <v>110.71500000000002</v>
      </c>
      <c r="M85" s="174">
        <f>Acquirer!O155</f>
        <v>121.78650000000003</v>
      </c>
      <c r="N85" s="174">
        <f>Acquirer!P155</f>
        <v>133.96515000000005</v>
      </c>
      <c r="O85" s="174">
        <f>Acquirer!Q155</f>
        <v>147.36166500000007</v>
      </c>
      <c r="P85" s="174">
        <f>Acquirer!R155</f>
        <v>162.0978315000001</v>
      </c>
      <c r="Q85" s="174">
        <f>Acquirer!S155</f>
        <v>178.30761465000012</v>
      </c>
    </row>
    <row r="86" spans="2:17" x14ac:dyDescent="0.55000000000000004">
      <c r="B86" t="str">
        <f>Acquirer!B156</f>
        <v>Other transaction costs</v>
      </c>
      <c r="D86" s="7">
        <f>Acquirer!F156</f>
        <v>73.8</v>
      </c>
      <c r="E86" s="7">
        <f>Acquirer!G156</f>
        <v>83.7</v>
      </c>
      <c r="F86" s="7">
        <f>Acquirer!H156</f>
        <v>174</v>
      </c>
      <c r="G86" s="7">
        <f>Acquirer!I156</f>
        <v>655.6</v>
      </c>
      <c r="H86" s="7">
        <f>Acquirer!J156</f>
        <v>624.1</v>
      </c>
      <c r="I86" s="7">
        <f>Acquirer!K156</f>
        <v>179.5</v>
      </c>
      <c r="J86" s="7">
        <f>Acquirer!L156</f>
        <v>181.5</v>
      </c>
      <c r="K86" s="7">
        <f>Acquirer!M156</f>
        <v>175.65</v>
      </c>
      <c r="L86" s="7">
        <f>Acquirer!N156</f>
        <v>170.71500000000003</v>
      </c>
      <c r="M86" s="7">
        <f>Acquirer!O156</f>
        <v>164.64364285714288</v>
      </c>
      <c r="N86" s="7">
        <f>Acquirer!P156</f>
        <v>176.82229285714291</v>
      </c>
      <c r="O86" s="7">
        <f>Acquirer!Q156</f>
        <v>190.21880785714293</v>
      </c>
      <c r="P86" s="7">
        <f>Acquirer!R156</f>
        <v>204.95497435714296</v>
      </c>
      <c r="Q86" s="7">
        <f>Acquirer!S156</f>
        <v>221.16475750714298</v>
      </c>
    </row>
    <row r="87" spans="2:17" x14ac:dyDescent="0.55000000000000004"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</row>
    <row r="88" spans="2:17" x14ac:dyDescent="0.55000000000000004">
      <c r="B88" t="str">
        <f>Acquirer!B158</f>
        <v>Implied cost per gross add</v>
      </c>
      <c r="D88" s="7"/>
      <c r="E88" s="7">
        <f>Acquirer!G158</f>
        <v>150</v>
      </c>
      <c r="F88" s="7">
        <f>Acquirer!H158</f>
        <v>438.27160493827159</v>
      </c>
      <c r="G88" s="7">
        <f>Acquirer!I158</f>
        <v>587.3989417245956</v>
      </c>
      <c r="H88" s="7">
        <f>Acquirer!J158</f>
        <v>930.31971632023533</v>
      </c>
      <c r="I88" s="7">
        <f>Acquirer!K158</f>
        <v>1335</v>
      </c>
      <c r="J88" s="7">
        <f>Acquirer!L158</f>
        <v>1657</v>
      </c>
      <c r="K88" s="7">
        <f>Acquirer!M158</f>
        <v>1690.14</v>
      </c>
      <c r="L88" s="7">
        <f>Acquirer!N158</f>
        <v>1723.9428</v>
      </c>
      <c r="M88" s="7">
        <f>Acquirer!O158</f>
        <v>1758.421656</v>
      </c>
      <c r="N88" s="7">
        <f>Acquirer!P158</f>
        <v>1793.5900891199999</v>
      </c>
      <c r="O88" s="7">
        <f>Acquirer!Q158</f>
        <v>1829.4618909024</v>
      </c>
      <c r="P88" s="7">
        <f>Acquirer!R158</f>
        <v>1866.0511287204481</v>
      </c>
      <c r="Q88" s="7">
        <f>Acquirer!S158</f>
        <v>1903.3721512948571</v>
      </c>
    </row>
    <row r="89" spans="2:17" x14ac:dyDescent="0.55000000000000004">
      <c r="B89" s="173" t="str">
        <f>Acquirer!B159</f>
        <v>Capex of device sales</v>
      </c>
      <c r="C89" s="173"/>
      <c r="D89" s="174"/>
      <c r="E89" s="174"/>
      <c r="F89" s="174">
        <f>Acquirer!H159</f>
        <v>355</v>
      </c>
      <c r="G89" s="174">
        <f>Acquirer!I159</f>
        <v>1481.04</v>
      </c>
      <c r="H89" s="174">
        <f>Acquirer!J159</f>
        <v>875.9</v>
      </c>
      <c r="I89" s="174">
        <f>Acquirer!K159</f>
        <v>1068</v>
      </c>
      <c r="J89" s="174">
        <f>Acquirer!L159</f>
        <v>994.2</v>
      </c>
      <c r="K89" s="174">
        <f>Acquirer!M159</f>
        <v>1284.5064000000002</v>
      </c>
      <c r="L89" s="174">
        <f>Acquirer!N159</f>
        <v>1517.0696640000001</v>
      </c>
      <c r="M89" s="174">
        <f>Acquirer!O159</f>
        <v>1582.5794903999999</v>
      </c>
      <c r="N89" s="174">
        <f>Acquirer!P159</f>
        <v>1650.1028819904</v>
      </c>
      <c r="O89" s="174">
        <f>Acquirer!Q159</f>
        <v>1719.6941774482559</v>
      </c>
      <c r="P89" s="174">
        <f>Acquirer!R159</f>
        <v>1791.4090835716302</v>
      </c>
      <c r="Q89" s="174">
        <f>Acquirer!S159</f>
        <v>1865.30470826896</v>
      </c>
    </row>
    <row r="91" spans="2:17" x14ac:dyDescent="0.55000000000000004">
      <c r="B91" s="20" t="s">
        <v>496</v>
      </c>
      <c r="C91" s="20">
        <f>C66</f>
        <v>2016</v>
      </c>
      <c r="D91" s="20">
        <f t="shared" ref="D91:Q91" si="2">D66</f>
        <v>2017</v>
      </c>
      <c r="E91" s="20">
        <f t="shared" si="2"/>
        <v>2018</v>
      </c>
      <c r="F91" s="20">
        <f t="shared" si="2"/>
        <v>2019</v>
      </c>
      <c r="G91" s="20">
        <f t="shared" si="2"/>
        <v>2020</v>
      </c>
      <c r="H91" s="20">
        <f t="shared" si="2"/>
        <v>2021</v>
      </c>
      <c r="I91" s="20">
        <f t="shared" si="2"/>
        <v>2022</v>
      </c>
      <c r="J91" s="20">
        <f t="shared" si="2"/>
        <v>2023</v>
      </c>
      <c r="K91" s="20">
        <f t="shared" si="2"/>
        <v>2024</v>
      </c>
      <c r="L91" s="20">
        <f t="shared" si="2"/>
        <v>2025</v>
      </c>
      <c r="M91" s="20">
        <f t="shared" si="2"/>
        <v>2026</v>
      </c>
      <c r="N91" s="20">
        <f t="shared" si="2"/>
        <v>2027</v>
      </c>
      <c r="O91" s="20">
        <f t="shared" si="2"/>
        <v>2028</v>
      </c>
      <c r="P91" s="20">
        <f t="shared" si="2"/>
        <v>2029</v>
      </c>
      <c r="Q91" s="20">
        <f t="shared" si="2"/>
        <v>2030</v>
      </c>
    </row>
    <row r="92" spans="2:17" x14ac:dyDescent="0.55000000000000004">
      <c r="B92" s="196" t="s">
        <v>294</v>
      </c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</row>
    <row r="93" spans="2:17" x14ac:dyDescent="0.55000000000000004">
      <c r="B93" t="str">
        <f>Pagbank!B92</f>
        <v>Interchange</v>
      </c>
      <c r="F93" s="7">
        <f>Pagbank!D92</f>
        <v>171.68810565542722</v>
      </c>
      <c r="G93" s="7">
        <f>Pagbank!E92</f>
        <v>310.4968917826186</v>
      </c>
      <c r="H93" s="7">
        <f>Pagbank!F92</f>
        <v>339.85543874520988</v>
      </c>
      <c r="I93" s="7">
        <f>Pagbank!G92</f>
        <v>503.06992742037039</v>
      </c>
      <c r="J93" s="7">
        <f>Pagbank!H92</f>
        <v>321.96475354903708</v>
      </c>
      <c r="K93" s="7">
        <f>Pagbank!I92</f>
        <v>313.91563471031117</v>
      </c>
      <c r="L93" s="7">
        <f>Pagbank!J92</f>
        <v>329.61141644582676</v>
      </c>
      <c r="M93" s="7">
        <f>Pagbank!K92</f>
        <v>338.87016409879942</v>
      </c>
      <c r="N93" s="7">
        <f>Pagbank!L92</f>
        <v>348.12891175177208</v>
      </c>
      <c r="O93" s="7">
        <f>Pagbank!M92</f>
        <v>357.38765940474474</v>
      </c>
      <c r="P93" s="7">
        <f>Pagbank!N92</f>
        <v>366.64640705771745</v>
      </c>
      <c r="Q93" s="7">
        <f>Pagbank!O92</f>
        <v>375.90515471069011</v>
      </c>
    </row>
    <row r="94" spans="2:17" x14ac:dyDescent="0.55000000000000004">
      <c r="B94" s="173" t="str">
        <f>Pagbank!B93</f>
        <v>Interest on credit</v>
      </c>
      <c r="C94" s="173"/>
      <c r="D94" s="173"/>
      <c r="E94" s="173"/>
      <c r="F94" s="174">
        <f>Pagbank!D93</f>
        <v>75</v>
      </c>
      <c r="G94" s="174">
        <f>Pagbank!E93</f>
        <v>179.95240000000001</v>
      </c>
      <c r="H94" s="174">
        <f>Pagbank!F93</f>
        <v>453.81864999999999</v>
      </c>
      <c r="I94" s="174">
        <f>Pagbank!G93</f>
        <v>636.24930382962975</v>
      </c>
      <c r="J94" s="174">
        <f>Pagbank!H93</f>
        <v>417.90600000000001</v>
      </c>
      <c r="K94" s="174">
        <f>Pagbank!I93</f>
        <v>478.88249999999999</v>
      </c>
      <c r="L94" s="174">
        <f>Pagbank!J93</f>
        <v>895.05150000000003</v>
      </c>
      <c r="M94" s="174">
        <f>Pagbank!K93</f>
        <v>1160.6458499999999</v>
      </c>
      <c r="N94" s="174">
        <f>Pagbank!L93</f>
        <v>1388.0827274999999</v>
      </c>
      <c r="O94" s="174">
        <f>Pagbank!M93</f>
        <v>1712.1671366249998</v>
      </c>
      <c r="P94" s="174">
        <f>Pagbank!N93</f>
        <v>2048.8642071187496</v>
      </c>
      <c r="Q94" s="174">
        <f>Pagbank!O93</f>
        <v>2400.0658381865619</v>
      </c>
    </row>
    <row r="95" spans="2:17" x14ac:dyDescent="0.55000000000000004">
      <c r="B95" s="1" t="str">
        <f>Pagbank!B94</f>
        <v xml:space="preserve">Float </v>
      </c>
      <c r="C95" s="1"/>
      <c r="D95" s="1"/>
      <c r="E95" s="1"/>
      <c r="F95" s="172">
        <f>Pagbank!D94</f>
        <v>0</v>
      </c>
      <c r="G95" s="172">
        <f>Pagbank!E94</f>
        <v>73.75070821738143</v>
      </c>
      <c r="H95" s="172">
        <f>Pagbank!F94</f>
        <v>123.22591125479011</v>
      </c>
      <c r="I95" s="172">
        <f>Pagbank!G94</f>
        <v>274.68076874999986</v>
      </c>
      <c r="J95" s="172">
        <f>Pagbank!H94</f>
        <v>319.81977213541666</v>
      </c>
      <c r="K95" s="172">
        <f>Pagbank!I94</f>
        <v>280.48262138671873</v>
      </c>
      <c r="L95" s="172">
        <f>Pagbank!J94</f>
        <v>254.06662230468754</v>
      </c>
      <c r="M95" s="172">
        <f>Pagbank!K94</f>
        <v>258.03031275000001</v>
      </c>
      <c r="N95" s="172">
        <f>Pagbank!L94</f>
        <v>278.23217339531254</v>
      </c>
      <c r="O95" s="172">
        <f>Pagbank!M94</f>
        <v>299.80914432328132</v>
      </c>
      <c r="P95" s="172">
        <f>Pagbank!N94</f>
        <v>322.8482319105587</v>
      </c>
      <c r="Q95" s="172">
        <f>Pagbank!O94</f>
        <v>347.44170539575555</v>
      </c>
    </row>
    <row r="96" spans="2:17" x14ac:dyDescent="0.55000000000000004">
      <c r="B96" s="173" t="e">
        <f>Pagbank!#REF!</f>
        <v>#REF!</v>
      </c>
      <c r="C96" s="173"/>
      <c r="D96" s="173"/>
      <c r="E96" s="173"/>
      <c r="F96" s="174" t="e">
        <f>Pagbank!#REF!</f>
        <v>#REF!</v>
      </c>
      <c r="G96" s="174" t="e">
        <f>Pagbank!#REF!</f>
        <v>#REF!</v>
      </c>
      <c r="H96" s="174" t="e">
        <f>Pagbank!#REF!</f>
        <v>#REF!</v>
      </c>
      <c r="I96" s="174" t="e">
        <f>Pagbank!#REF!</f>
        <v>#REF!</v>
      </c>
      <c r="J96" s="174" t="e">
        <f>Pagbank!#REF!</f>
        <v>#REF!</v>
      </c>
      <c r="K96" s="174" t="e">
        <f>Pagbank!#REF!</f>
        <v>#REF!</v>
      </c>
      <c r="L96" s="174" t="e">
        <f>Pagbank!#REF!</f>
        <v>#REF!</v>
      </c>
      <c r="M96" s="174" t="e">
        <f>Pagbank!#REF!</f>
        <v>#REF!</v>
      </c>
      <c r="N96" s="174" t="e">
        <f>Pagbank!#REF!</f>
        <v>#REF!</v>
      </c>
      <c r="O96" s="174" t="e">
        <f>Pagbank!#REF!</f>
        <v>#REF!</v>
      </c>
      <c r="P96" s="174" t="e">
        <f>Pagbank!#REF!</f>
        <v>#REF!</v>
      </c>
      <c r="Q96" s="174" t="e">
        <f>Pagbank!#REF!</f>
        <v>#REF!</v>
      </c>
    </row>
    <row r="97" spans="2:17" x14ac:dyDescent="0.55000000000000004">
      <c r="B97" t="e">
        <f>Pagbank!#REF!</f>
        <v>#REF!</v>
      </c>
      <c r="F97" s="2" t="e">
        <f>Pagbank!#REF!</f>
        <v>#REF!</v>
      </c>
      <c r="G97" s="2" t="e">
        <f>Pagbank!#REF!</f>
        <v>#REF!</v>
      </c>
      <c r="H97" s="2" t="e">
        <f>Pagbank!#REF!</f>
        <v>#REF!</v>
      </c>
      <c r="I97" s="2" t="e">
        <f>Pagbank!#REF!</f>
        <v>#REF!</v>
      </c>
      <c r="J97" s="2" t="e">
        <f>Pagbank!#REF!</f>
        <v>#REF!</v>
      </c>
      <c r="K97" s="2" t="e">
        <f>Pagbank!#REF!</f>
        <v>#REF!</v>
      </c>
      <c r="L97" s="2" t="e">
        <f>Pagbank!#REF!</f>
        <v>#REF!</v>
      </c>
      <c r="M97" s="2" t="e">
        <f>Pagbank!#REF!</f>
        <v>#REF!</v>
      </c>
      <c r="N97" s="2" t="e">
        <f>Pagbank!#REF!</f>
        <v>#REF!</v>
      </c>
      <c r="O97" s="2" t="e">
        <f>Pagbank!#REF!</f>
        <v>#REF!</v>
      </c>
      <c r="P97" s="2" t="e">
        <f>Pagbank!#REF!</f>
        <v>#REF!</v>
      </c>
      <c r="Q97" s="2" t="e">
        <f>Pagbank!#REF!</f>
        <v>#REF!</v>
      </c>
    </row>
    <row r="98" spans="2:17" x14ac:dyDescent="0.55000000000000004">
      <c r="B98" s="173"/>
      <c r="C98" s="173"/>
      <c r="D98" s="173"/>
      <c r="E98" s="17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</row>
    <row r="99" spans="2:17" x14ac:dyDescent="0.55000000000000004">
      <c r="B99" s="23" t="e">
        <f>Pagbank!#REF!</f>
        <v>#REF!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</row>
    <row r="100" spans="2:17" x14ac:dyDescent="0.55000000000000004">
      <c r="B100" s="173" t="e">
        <f>Pagbank!#REF!</f>
        <v>#REF!</v>
      </c>
      <c r="C100" s="173"/>
      <c r="D100" s="173"/>
      <c r="E100" s="173"/>
      <c r="F100" s="174" t="e">
        <f>Pagbank!#REF!</f>
        <v>#REF!</v>
      </c>
      <c r="G100" s="174" t="e">
        <f>Pagbank!#REF!</f>
        <v>#REF!</v>
      </c>
      <c r="H100" s="174" t="e">
        <f>Pagbank!#REF!</f>
        <v>#REF!</v>
      </c>
      <c r="I100" s="174" t="e">
        <f>Pagbank!#REF!</f>
        <v>#REF!</v>
      </c>
      <c r="J100" s="174" t="e">
        <f>Pagbank!#REF!</f>
        <v>#REF!</v>
      </c>
      <c r="K100" s="174" t="e">
        <f>Pagbank!#REF!</f>
        <v>#REF!</v>
      </c>
      <c r="L100" s="174" t="e">
        <f>Pagbank!#REF!</f>
        <v>#REF!</v>
      </c>
      <c r="M100" s="174" t="e">
        <f>Pagbank!#REF!</f>
        <v>#REF!</v>
      </c>
      <c r="N100" s="174" t="e">
        <f>Pagbank!#REF!</f>
        <v>#REF!</v>
      </c>
      <c r="O100" s="174" t="e">
        <f>Pagbank!#REF!</f>
        <v>#REF!</v>
      </c>
      <c r="P100" s="174" t="e">
        <f>Pagbank!#REF!</f>
        <v>#REF!</v>
      </c>
      <c r="Q100" s="174" t="e">
        <f>Pagbank!#REF!</f>
        <v>#REF!</v>
      </c>
    </row>
    <row r="101" spans="2:17" x14ac:dyDescent="0.55000000000000004">
      <c r="B101" t="e">
        <f>Pagbank!#REF!</f>
        <v>#REF!</v>
      </c>
      <c r="F101" s="7" t="e">
        <f>Pagbank!#REF!</f>
        <v>#REF!</v>
      </c>
      <c r="G101" s="7" t="e">
        <f>Pagbank!#REF!</f>
        <v>#REF!</v>
      </c>
      <c r="H101" s="7" t="e">
        <f>Pagbank!#REF!</f>
        <v>#REF!</v>
      </c>
      <c r="I101" s="7" t="e">
        <f>Pagbank!#REF!</f>
        <v>#REF!</v>
      </c>
      <c r="J101" s="7" t="e">
        <f>Pagbank!#REF!</f>
        <v>#REF!</v>
      </c>
      <c r="K101" s="7" t="e">
        <f>Pagbank!#REF!</f>
        <v>#REF!</v>
      </c>
      <c r="L101" s="7" t="e">
        <f>Pagbank!#REF!</f>
        <v>#REF!</v>
      </c>
      <c r="M101" s="7" t="e">
        <f>Pagbank!#REF!</f>
        <v>#REF!</v>
      </c>
      <c r="N101" s="7" t="e">
        <f>Pagbank!#REF!</f>
        <v>#REF!</v>
      </c>
      <c r="O101" s="7" t="e">
        <f>Pagbank!#REF!</f>
        <v>#REF!</v>
      </c>
      <c r="P101" s="7" t="e">
        <f>Pagbank!#REF!</f>
        <v>#REF!</v>
      </c>
      <c r="Q101" s="7" t="e">
        <f>Pagbank!#REF!</f>
        <v>#REF!</v>
      </c>
    </row>
    <row r="102" spans="2:17" x14ac:dyDescent="0.55000000000000004">
      <c r="B102" s="194" t="e">
        <f>Pagbank!#REF!</f>
        <v>#REF!</v>
      </c>
      <c r="C102" s="194"/>
      <c r="D102" s="194"/>
      <c r="E102" s="194"/>
      <c r="F102" s="195" t="e">
        <f>Pagbank!#REF!</f>
        <v>#REF!</v>
      </c>
      <c r="G102" s="195" t="e">
        <f>Pagbank!#REF!</f>
        <v>#REF!</v>
      </c>
      <c r="H102" s="195" t="e">
        <f>Pagbank!#REF!</f>
        <v>#REF!</v>
      </c>
      <c r="I102" s="195" t="e">
        <f>Pagbank!#REF!</f>
        <v>#REF!</v>
      </c>
      <c r="J102" s="195" t="e">
        <f>Pagbank!#REF!</f>
        <v>#REF!</v>
      </c>
      <c r="K102" s="195" t="e">
        <f>Pagbank!#REF!</f>
        <v>#REF!</v>
      </c>
      <c r="L102" s="195" t="e">
        <f>Pagbank!#REF!</f>
        <v>#REF!</v>
      </c>
      <c r="M102" s="195" t="e">
        <f>Pagbank!#REF!</f>
        <v>#REF!</v>
      </c>
      <c r="N102" s="195" t="e">
        <f>Pagbank!#REF!</f>
        <v>#REF!</v>
      </c>
      <c r="O102" s="195" t="e">
        <f>Pagbank!#REF!</f>
        <v>#REF!</v>
      </c>
      <c r="P102" s="195" t="e">
        <f>Pagbank!#REF!</f>
        <v>#REF!</v>
      </c>
      <c r="Q102" s="195" t="e">
        <f>Pagbank!#REF!</f>
        <v>#REF!</v>
      </c>
    </row>
    <row r="103" spans="2:17" x14ac:dyDescent="0.55000000000000004">
      <c r="B103" t="e">
        <f>Pagbank!#REF!</f>
        <v>#REF!</v>
      </c>
      <c r="F103" s="7" t="e">
        <f>Pagbank!#REF!</f>
        <v>#REF!</v>
      </c>
      <c r="G103" s="7" t="e">
        <f>Pagbank!#REF!</f>
        <v>#REF!</v>
      </c>
      <c r="H103" s="7" t="e">
        <f>Pagbank!#REF!</f>
        <v>#REF!</v>
      </c>
      <c r="I103" s="7" t="e">
        <f>Pagbank!#REF!</f>
        <v>#REF!</v>
      </c>
      <c r="J103" s="7" t="e">
        <f>Pagbank!#REF!</f>
        <v>#REF!</v>
      </c>
      <c r="K103" s="7" t="e">
        <f>Pagbank!#REF!</f>
        <v>#REF!</v>
      </c>
      <c r="L103" s="7" t="e">
        <f>Pagbank!#REF!</f>
        <v>#REF!</v>
      </c>
      <c r="M103" s="7" t="e">
        <f>Pagbank!#REF!</f>
        <v>#REF!</v>
      </c>
      <c r="N103" s="7" t="e">
        <f>Pagbank!#REF!</f>
        <v>#REF!</v>
      </c>
      <c r="O103" s="7" t="e">
        <f>Pagbank!#REF!</f>
        <v>#REF!</v>
      </c>
      <c r="P103" s="7" t="e">
        <f>Pagbank!#REF!</f>
        <v>#REF!</v>
      </c>
      <c r="Q103" s="7" t="e">
        <f>Pagbank!#REF!</f>
        <v>#REF!</v>
      </c>
    </row>
    <row r="104" spans="2:17" x14ac:dyDescent="0.55000000000000004">
      <c r="B104" s="173"/>
      <c r="C104" s="173"/>
      <c r="D104" s="173"/>
      <c r="E104" s="17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</row>
    <row r="105" spans="2:17" x14ac:dyDescent="0.55000000000000004">
      <c r="B105" t="e">
        <f>Pagbank!#REF!</f>
        <v>#REF!</v>
      </c>
      <c r="F105" s="7"/>
      <c r="G105" s="7" t="e">
        <f>Pagbank!#REF!</f>
        <v>#REF!</v>
      </c>
      <c r="H105" s="7" t="e">
        <f>Pagbank!#REF!</f>
        <v>#REF!</v>
      </c>
      <c r="I105" s="7" t="e">
        <f>Pagbank!#REF!</f>
        <v>#REF!</v>
      </c>
      <c r="J105" s="7" t="e">
        <f>Pagbank!#REF!</f>
        <v>#REF!</v>
      </c>
      <c r="K105" s="7" t="e">
        <f>Pagbank!#REF!</f>
        <v>#REF!</v>
      </c>
      <c r="L105" s="7" t="e">
        <f>Pagbank!#REF!</f>
        <v>#REF!</v>
      </c>
      <c r="M105" s="7" t="e">
        <f>Pagbank!#REF!</f>
        <v>#REF!</v>
      </c>
      <c r="N105" s="7" t="e">
        <f>Pagbank!#REF!</f>
        <v>#REF!</v>
      </c>
      <c r="O105" s="7" t="e">
        <f>Pagbank!#REF!</f>
        <v>#REF!</v>
      </c>
      <c r="P105" s="7" t="e">
        <f>Pagbank!#REF!</f>
        <v>#REF!</v>
      </c>
      <c r="Q105" s="7" t="e">
        <f>Pagbank!#REF!</f>
        <v>#REF!</v>
      </c>
    </row>
    <row r="106" spans="2:17" x14ac:dyDescent="0.55000000000000004">
      <c r="B106" s="173" t="e">
        <f>Pagbank!#REF!</f>
        <v>#REF!</v>
      </c>
      <c r="C106" s="173"/>
      <c r="D106" s="173"/>
      <c r="E106" s="173"/>
      <c r="F106" s="179"/>
      <c r="G106" s="179" t="e">
        <f>Pagbank!#REF!</f>
        <v>#REF!</v>
      </c>
      <c r="H106" s="179" t="e">
        <f>Pagbank!#REF!</f>
        <v>#REF!</v>
      </c>
      <c r="I106" s="179" t="e">
        <f>Pagbank!#REF!</f>
        <v>#REF!</v>
      </c>
      <c r="J106" s="179" t="e">
        <f>Pagbank!#REF!</f>
        <v>#REF!</v>
      </c>
      <c r="K106" s="179" t="e">
        <f>Pagbank!#REF!</f>
        <v>#REF!</v>
      </c>
      <c r="L106" s="179" t="e">
        <f>Pagbank!#REF!</f>
        <v>#REF!</v>
      </c>
      <c r="M106" s="179" t="e">
        <f>Pagbank!#REF!</f>
        <v>#REF!</v>
      </c>
      <c r="N106" s="179" t="e">
        <f>Pagbank!#REF!</f>
        <v>#REF!</v>
      </c>
      <c r="O106" s="179" t="e">
        <f>Pagbank!#REF!</f>
        <v>#REF!</v>
      </c>
      <c r="P106" s="179" t="e">
        <f>Pagbank!#REF!</f>
        <v>#REF!</v>
      </c>
      <c r="Q106" s="179" t="e">
        <f>Pagbank!#REF!</f>
        <v>#REF!</v>
      </c>
    </row>
    <row r="107" spans="2:17" x14ac:dyDescent="0.55000000000000004"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</row>
    <row r="108" spans="2:17" x14ac:dyDescent="0.55000000000000004">
      <c r="B108" s="173" t="str">
        <f>Pagbank!B193</f>
        <v>PBT</v>
      </c>
      <c r="C108" s="173"/>
      <c r="D108" s="173"/>
      <c r="E108" s="173"/>
      <c r="F108" s="174"/>
      <c r="G108" s="174">
        <f>Pagbank!E193</f>
        <v>-163.00851435960377</v>
      </c>
      <c r="H108" s="174">
        <f>Pagbank!F193</f>
        <v>-343.33800000000002</v>
      </c>
      <c r="I108" s="174">
        <f>Pagbank!G193</f>
        <v>-348.28</v>
      </c>
      <c r="J108" s="174">
        <f>Pagbank!H193</f>
        <v>19.253973718081792</v>
      </c>
      <c r="K108" s="174">
        <f>Pagbank!I193</f>
        <v>203.76456534192667</v>
      </c>
      <c r="L108" s="174">
        <f>Pagbank!J193</f>
        <v>568.06912595350548</v>
      </c>
      <c r="M108" s="174">
        <f>Pagbank!K193</f>
        <v>714.2935955255241</v>
      </c>
      <c r="N108" s="174">
        <f>Pagbank!L193</f>
        <v>822.38830941854258</v>
      </c>
      <c r="O108" s="174">
        <f>Pagbank!M193</f>
        <v>997.16509340415018</v>
      </c>
      <c r="P108" s="174">
        <f>Pagbank!N193</f>
        <v>1176.610838075241</v>
      </c>
      <c r="Q108" s="174">
        <f>Pagbank!O193</f>
        <v>1361.3331423046282</v>
      </c>
    </row>
    <row r="109" spans="2:17" x14ac:dyDescent="0.55000000000000004"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</row>
    <row r="110" spans="2:17" x14ac:dyDescent="0.55000000000000004">
      <c r="B110" s="173" t="str">
        <f>Pagbank!B195</f>
        <v>Effective tax</v>
      </c>
      <c r="C110" s="173"/>
      <c r="D110" s="173"/>
      <c r="E110" s="173"/>
      <c r="F110" s="179"/>
      <c r="G110" s="179">
        <f>Pagbank!E195</f>
        <v>0.34</v>
      </c>
      <c r="H110" s="179">
        <f>Pagbank!F195</f>
        <v>0.34</v>
      </c>
      <c r="I110" s="179">
        <f>Pagbank!G195</f>
        <v>0.34</v>
      </c>
      <c r="J110" s="179">
        <f>Pagbank!H195</f>
        <v>0.34</v>
      </c>
      <c r="K110" s="179">
        <f>Pagbank!I195</f>
        <v>0.34</v>
      </c>
      <c r="L110" s="179">
        <f>Pagbank!J195</f>
        <v>0.34</v>
      </c>
      <c r="M110" s="179">
        <f>Pagbank!K195</f>
        <v>0.34</v>
      </c>
      <c r="N110" s="179">
        <f>Pagbank!L195</f>
        <v>0.34</v>
      </c>
      <c r="O110" s="179">
        <f>Pagbank!M195</f>
        <v>0.34</v>
      </c>
      <c r="P110" s="179">
        <f>Pagbank!N195</f>
        <v>0.34</v>
      </c>
      <c r="Q110" s="179">
        <f>Pagbank!O195</f>
        <v>0.34</v>
      </c>
    </row>
    <row r="111" spans="2:17" x14ac:dyDescent="0.55000000000000004"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</row>
    <row r="112" spans="2:17" x14ac:dyDescent="0.55000000000000004">
      <c r="B112" s="173" t="str">
        <f>Pagbank!B197</f>
        <v>Tax</v>
      </c>
      <c r="C112" s="173"/>
      <c r="D112" s="173"/>
      <c r="E112" s="173"/>
      <c r="F112" s="174"/>
      <c r="G112" s="174">
        <f>Pagbank!E197</f>
        <v>23.991485640396235</v>
      </c>
      <c r="H112" s="174">
        <f>Pagbank!F197</f>
        <v>0</v>
      </c>
      <c r="I112" s="174">
        <f>Pagbank!G197</f>
        <v>0</v>
      </c>
      <c r="J112" s="174">
        <f>Pagbank!H197</f>
        <v>6.5463510641478093</v>
      </c>
      <c r="K112" s="174">
        <f>Pagbank!I197</f>
        <v>69.279952216255069</v>
      </c>
      <c r="L112" s="174">
        <f>Pagbank!J197</f>
        <v>193.14350282419187</v>
      </c>
      <c r="M112" s="174">
        <f>Pagbank!K197</f>
        <v>242.85982247867821</v>
      </c>
      <c r="N112" s="174">
        <f>Pagbank!L197</f>
        <v>279.61202520230449</v>
      </c>
      <c r="O112" s="174">
        <f>Pagbank!M197</f>
        <v>339.03613175741111</v>
      </c>
      <c r="P112" s="174">
        <f>Pagbank!N197</f>
        <v>400.04768494558198</v>
      </c>
      <c r="Q112" s="174">
        <f>Pagbank!O197</f>
        <v>462.85326838357361</v>
      </c>
    </row>
    <row r="113" spans="2:17" x14ac:dyDescent="0.55000000000000004"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</row>
    <row r="114" spans="2:17" x14ac:dyDescent="0.55000000000000004">
      <c r="B114" s="173" t="str">
        <f>Pagbank!B199</f>
        <v>Net income</v>
      </c>
      <c r="C114" s="173"/>
      <c r="D114" s="173"/>
      <c r="E114" s="173"/>
      <c r="F114" s="174"/>
      <c r="G114" s="174">
        <f>Pagbank!E199</f>
        <v>-187</v>
      </c>
      <c r="H114" s="174">
        <f>Pagbank!F199</f>
        <v>-343.33800000000002</v>
      </c>
      <c r="I114" s="174">
        <f>Pagbank!G199</f>
        <v>-348.28</v>
      </c>
      <c r="J114" s="174">
        <f>Pagbank!H199</f>
        <v>12.707622653933981</v>
      </c>
      <c r="K114" s="174">
        <f>Pagbank!I199</f>
        <v>134.48461312567161</v>
      </c>
      <c r="L114" s="174">
        <f>Pagbank!J199</f>
        <v>374.92562312931364</v>
      </c>
      <c r="M114" s="174">
        <f>Pagbank!K199</f>
        <v>471.43377304684589</v>
      </c>
      <c r="N114" s="174">
        <f>Pagbank!L199</f>
        <v>542.77628421623808</v>
      </c>
      <c r="O114" s="174">
        <f>Pagbank!M199</f>
        <v>658.12896164673907</v>
      </c>
      <c r="P114" s="174">
        <f>Pagbank!N199</f>
        <v>776.56315312965899</v>
      </c>
      <c r="Q114" s="174">
        <f>Pagbank!O199</f>
        <v>898.4798739210546</v>
      </c>
    </row>
    <row r="115" spans="2:17" x14ac:dyDescent="0.55000000000000004">
      <c r="B115" t="str">
        <f>Pagbank!B200</f>
        <v>Net margin</v>
      </c>
      <c r="F115" s="2"/>
      <c r="G115" s="2" t="e">
        <f>Pagbank!E200</f>
        <v>#REF!</v>
      </c>
      <c r="H115" s="2" t="e">
        <f>Pagbank!F200</f>
        <v>#REF!</v>
      </c>
      <c r="I115" s="2" t="e">
        <f>Pagbank!G200</f>
        <v>#REF!</v>
      </c>
      <c r="J115" s="2" t="e">
        <f>Pagbank!H200</f>
        <v>#REF!</v>
      </c>
      <c r="K115" s="2" t="e">
        <f>Pagbank!I200</f>
        <v>#REF!</v>
      </c>
      <c r="L115" s="2" t="e">
        <f>Pagbank!J200</f>
        <v>#REF!</v>
      </c>
      <c r="M115" s="2" t="e">
        <f>Pagbank!K200</f>
        <v>#REF!</v>
      </c>
      <c r="N115" s="2" t="e">
        <f>Pagbank!L200</f>
        <v>#REF!</v>
      </c>
      <c r="O115" s="2" t="e">
        <f>Pagbank!M200</f>
        <v>#REF!</v>
      </c>
      <c r="P115" s="2" t="e">
        <f>Pagbank!N200</f>
        <v>#REF!</v>
      </c>
      <c r="Q115" s="2" t="e">
        <f>Pagbank!O200</f>
        <v>#REF!</v>
      </c>
    </row>
    <row r="116" spans="2:17" x14ac:dyDescent="0.55000000000000004">
      <c r="B116" s="173" t="str">
        <f>Pagbank!B201</f>
        <v>as % Group net income</v>
      </c>
      <c r="C116" s="173"/>
      <c r="D116" s="173"/>
      <c r="E116" s="173"/>
      <c r="F116" s="179"/>
      <c r="G116" s="179">
        <f>Pagbank!E201</f>
        <v>-0.14468085106382983</v>
      </c>
      <c r="H116" s="179">
        <f>Pagbank!F201</f>
        <v>-0.29503995875225586</v>
      </c>
      <c r="I116" s="179">
        <f>Pagbank!G201</f>
        <v>-0.23113883727103807</v>
      </c>
      <c r="J116" s="179">
        <f>Pagbank!H201</f>
        <v>7.7584850442236914E-3</v>
      </c>
      <c r="K116" s="179">
        <f>Pagbank!I201</f>
        <v>6.5298028900934557E-2</v>
      </c>
      <c r="L116" s="179">
        <f>Pagbank!J201</f>
        <v>0.14395089965338242</v>
      </c>
      <c r="M116" s="179">
        <f>Pagbank!K201</f>
        <v>0.17169764659181372</v>
      </c>
      <c r="N116" s="179">
        <f>Pagbank!L201</f>
        <v>0.1880892770615715</v>
      </c>
      <c r="O116" s="179">
        <f>Pagbank!M201</f>
        <v>0.2056573229325358</v>
      </c>
      <c r="P116" s="179">
        <f>Pagbank!N201</f>
        <v>0.23361875444143912</v>
      </c>
      <c r="Q116" s="179">
        <f>Pagbank!O201</f>
        <v>0.26245451922809876</v>
      </c>
    </row>
    <row r="117" spans="2:17" x14ac:dyDescent="0.55000000000000004"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</row>
    <row r="118" spans="2:17" x14ac:dyDescent="0.55000000000000004"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</row>
    <row r="119" spans="2:17" ht="15.6" x14ac:dyDescent="0.6">
      <c r="B119" s="385" t="s">
        <v>1747</v>
      </c>
      <c r="C119" s="386">
        <v>2019</v>
      </c>
      <c r="D119" s="386">
        <v>2020</v>
      </c>
      <c r="E119" s="386">
        <v>2021</v>
      </c>
      <c r="F119" s="386">
        <v>2022</v>
      </c>
      <c r="G119" s="386">
        <v>2023</v>
      </c>
      <c r="H119" s="386">
        <v>2024</v>
      </c>
      <c r="I119" s="386">
        <v>2025</v>
      </c>
      <c r="J119" s="386">
        <v>2026</v>
      </c>
      <c r="K119" s="386">
        <v>2027</v>
      </c>
      <c r="L119" s="386">
        <v>2028</v>
      </c>
      <c r="M119" s="386">
        <v>2029</v>
      </c>
      <c r="N119" s="386">
        <v>2030</v>
      </c>
      <c r="O119" s="4"/>
      <c r="P119" s="4"/>
      <c r="Q119" s="4"/>
    </row>
    <row r="120" spans="2:17" x14ac:dyDescent="0.55000000000000004">
      <c r="B120" s="387" t="s">
        <v>1748</v>
      </c>
      <c r="C120" s="174">
        <f>Master!G12</f>
        <v>5707.2</v>
      </c>
      <c r="D120" s="174">
        <f>Master!H12</f>
        <v>6814.7000000000007</v>
      </c>
      <c r="E120" s="174">
        <f>Master!I12</f>
        <v>10446</v>
      </c>
      <c r="F120" s="174">
        <f>Master!J12</f>
        <v>15334.8</v>
      </c>
      <c r="G120" s="174">
        <f>Master!K12</f>
        <v>15949</v>
      </c>
      <c r="H120" s="174">
        <f>Master!L12</f>
        <v>17433.882583367609</v>
      </c>
      <c r="I120" s="174">
        <f>Master!M12</f>
        <v>19159.259496036688</v>
      </c>
      <c r="J120" s="174">
        <f>Master!N12</f>
        <v>20618.750366735352</v>
      </c>
      <c r="K120" s="174">
        <f>Master!O12</f>
        <v>22003.062052455065</v>
      </c>
      <c r="L120" s="174">
        <f>Master!P12</f>
        <v>23869.427370232261</v>
      </c>
      <c r="M120" s="174">
        <f>Master!Q12</f>
        <v>25686.689080588058</v>
      </c>
      <c r="N120" s="174">
        <f>Master!R12</f>
        <v>27210.265657006024</v>
      </c>
      <c r="O120" s="4"/>
      <c r="P120" s="4"/>
      <c r="Q120" s="4"/>
    </row>
    <row r="121" spans="2:17" x14ac:dyDescent="0.55000000000000004">
      <c r="B121" s="388" t="s">
        <v>1749</v>
      </c>
      <c r="C121" s="7">
        <f>Master!G7</f>
        <v>3376</v>
      </c>
      <c r="D121" s="7">
        <f>Master!H7</f>
        <v>4508.7</v>
      </c>
      <c r="E121" s="7">
        <f>Master!I7</f>
        <v>6782</v>
      </c>
      <c r="F121" s="7">
        <f>Master!J7</f>
        <v>8906</v>
      </c>
      <c r="G121" s="7">
        <f>Master!K7</f>
        <v>9027</v>
      </c>
      <c r="H121" s="7">
        <f>Master!L7</f>
        <v>9799.0980977888885</v>
      </c>
      <c r="I121" s="7">
        <f>Master!M7</f>
        <v>11234.37600186758</v>
      </c>
      <c r="J121" s="7">
        <f>Master!N7</f>
        <v>12599.712632440755</v>
      </c>
      <c r="K121" s="7">
        <f>Master!O7</f>
        <v>13636.649814258169</v>
      </c>
      <c r="L121" s="7">
        <f>Master!P7</f>
        <v>14652.278928054442</v>
      </c>
      <c r="M121" s="7">
        <f>Master!Q7</f>
        <v>15610.905736781559</v>
      </c>
      <c r="N121" s="7">
        <f>Master!R7</f>
        <v>16384.992678828909</v>
      </c>
    </row>
    <row r="122" spans="2:17" x14ac:dyDescent="0.55000000000000004">
      <c r="B122" s="387" t="s">
        <v>717</v>
      </c>
      <c r="C122" s="174">
        <f>Master!G42</f>
        <v>3740.75</v>
      </c>
      <c r="D122" s="174">
        <f>Master!H42</f>
        <v>3815.8200000000006</v>
      </c>
      <c r="E122" s="174">
        <f>Master!I42</f>
        <v>5052.2999999999993</v>
      </c>
      <c r="F122" s="174">
        <f>Master!J42</f>
        <v>6070.6999999999989</v>
      </c>
      <c r="G122" s="174">
        <f>Master!K42</f>
        <v>6647.5</v>
      </c>
      <c r="H122" s="174">
        <f>Master!L42</f>
        <v>7797.4753507536007</v>
      </c>
      <c r="I122" s="174">
        <f>Master!M42</f>
        <v>8790.1922693499237</v>
      </c>
      <c r="J122" s="174">
        <f>Master!N42</f>
        <v>9272.7057462211196</v>
      </c>
      <c r="K122" s="174">
        <f>Master!O42</f>
        <v>9590.9652794784997</v>
      </c>
      <c r="L122" s="174">
        <f>Master!P42</f>
        <v>10462.846224214036</v>
      </c>
      <c r="M122" s="174">
        <f>Master!Q42</f>
        <v>11149.45176912098</v>
      </c>
      <c r="N122" s="174">
        <f>Master!R42</f>
        <v>11699.287191442661</v>
      </c>
    </row>
    <row r="123" spans="2:17" x14ac:dyDescent="0.55000000000000004">
      <c r="B123" s="388" t="s">
        <v>714</v>
      </c>
      <c r="C123" s="7">
        <f>Master!G122</f>
        <v>2047.2000000000003</v>
      </c>
      <c r="D123" s="7">
        <f>Master!H122</f>
        <v>2593.9</v>
      </c>
      <c r="E123" s="7">
        <f>Master!I122</f>
        <v>2911.1553736800001</v>
      </c>
      <c r="F123" s="7">
        <f>Master!J122</f>
        <v>3096.4</v>
      </c>
      <c r="G123" s="7">
        <f>Master!K122</f>
        <v>3543.9999999999995</v>
      </c>
      <c r="H123" s="7">
        <f>Master!L122</f>
        <v>4481.5356691878224</v>
      </c>
      <c r="I123" s="7">
        <f>Master!M122</f>
        <v>5188.0742900031628</v>
      </c>
      <c r="J123" s="7">
        <f>Master!N122</f>
        <v>5437.7379590165765</v>
      </c>
      <c r="K123" s="7">
        <f>Master!O122</f>
        <v>5756.1526624175604</v>
      </c>
      <c r="L123" s="7">
        <f>Master!P122</f>
        <v>6318.0175976969413</v>
      </c>
      <c r="M123" s="7">
        <f>Master!Q122</f>
        <v>6702.2343741349332</v>
      </c>
      <c r="N123" s="7">
        <f>Master!R122</f>
        <v>7001.4848507258648</v>
      </c>
    </row>
    <row r="124" spans="2:17" x14ac:dyDescent="0.55000000000000004">
      <c r="B124" s="387" t="s">
        <v>323</v>
      </c>
      <c r="C124" s="174">
        <f>Master!G103</f>
        <v>1428.2999999999995</v>
      </c>
      <c r="D124" s="174">
        <f>Master!H103</f>
        <v>1433.3999999999996</v>
      </c>
      <c r="E124" s="174">
        <f>Master!I103</f>
        <v>1423.0999999999995</v>
      </c>
      <c r="F124" s="174">
        <f>Master!J103</f>
        <v>1597.8999999999994</v>
      </c>
      <c r="G124" s="174">
        <f>Master!K103</f>
        <v>1740.6199999999994</v>
      </c>
      <c r="H124" s="174">
        <f>Master!L103</f>
        <v>2167.4068836829047</v>
      </c>
      <c r="I124" s="174">
        <f>Master!M103</f>
        <v>2717.7870420817958</v>
      </c>
      <c r="J124" s="174">
        <f>Master!N103</f>
        <v>2864.6318855928389</v>
      </c>
      <c r="K124" s="174">
        <f>Master!O103</f>
        <v>3010.5943235417462</v>
      </c>
      <c r="L124" s="174">
        <f>Master!P103</f>
        <v>3331.2237721930137</v>
      </c>
      <c r="M124" s="174">
        <f>Master!Q103</f>
        <v>3461.7163203061959</v>
      </c>
      <c r="N124" s="174">
        <f>Master!R103</f>
        <v>3567.9109614920708</v>
      </c>
    </row>
    <row r="125" spans="2:17" x14ac:dyDescent="0.55000000000000004">
      <c r="B125" s="388" t="s">
        <v>1750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</row>
    <row r="126" spans="2:17" x14ac:dyDescent="0.55000000000000004">
      <c r="B126" s="387" t="s">
        <v>1751</v>
      </c>
      <c r="C126" s="174">
        <f>Acquirer!H90</f>
        <v>5269</v>
      </c>
      <c r="D126" s="174">
        <f>Acquirer!I90</f>
        <v>7033.9470000000001</v>
      </c>
      <c r="E126" s="174">
        <f>Acquirer!J90</f>
        <v>7693</v>
      </c>
      <c r="F126" s="174">
        <f>Acquirer!K90</f>
        <v>7100</v>
      </c>
      <c r="G126" s="174">
        <f>Acquirer!L90</f>
        <v>6500</v>
      </c>
      <c r="H126" s="174">
        <f>Acquirer!M90</f>
        <v>6600</v>
      </c>
      <c r="I126" s="174">
        <f>Acquirer!N90</f>
        <v>6800</v>
      </c>
      <c r="J126" s="174">
        <f>Acquirer!O90</f>
        <v>7000</v>
      </c>
      <c r="K126" s="174">
        <f>Acquirer!P90</f>
        <v>7200</v>
      </c>
      <c r="L126" s="174">
        <f>Acquirer!Q90</f>
        <v>7400</v>
      </c>
      <c r="M126" s="174">
        <f>Acquirer!R90</f>
        <v>7600</v>
      </c>
      <c r="N126" s="174">
        <f>Acquirer!S90</f>
        <v>7800</v>
      </c>
    </row>
    <row r="127" spans="2:17" x14ac:dyDescent="0.55000000000000004">
      <c r="B127" s="388" t="s">
        <v>1752</v>
      </c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</row>
    <row r="128" spans="2:17" x14ac:dyDescent="0.55000000000000004">
      <c r="B128" s="387" t="s">
        <v>1753</v>
      </c>
      <c r="C128" s="174">
        <f>Acquirer!H7</f>
        <v>115.8</v>
      </c>
      <c r="D128" s="174">
        <f>Acquirer!I7</f>
        <v>161.54383102003447</v>
      </c>
      <c r="E128" s="174">
        <f>Acquirer!J7</f>
        <v>253</v>
      </c>
      <c r="F128" s="174">
        <f>Acquirer!K7</f>
        <v>354</v>
      </c>
      <c r="G128" s="174">
        <f>Acquirer!L7</f>
        <v>394.6</v>
      </c>
      <c r="H128" s="174">
        <f>Acquirer!M7</f>
        <v>457.82619834710738</v>
      </c>
      <c r="I128" s="174">
        <f>Acquirer!N7</f>
        <v>522.17537685950413</v>
      </c>
      <c r="J128" s="174">
        <f>Acquirer!O7</f>
        <v>586.17561545454555</v>
      </c>
      <c r="K128" s="174">
        <f>Acquirer!P7</f>
        <v>647.7415691727274</v>
      </c>
      <c r="L128" s="174">
        <f>Acquirer!Q7</f>
        <v>715.48830822190939</v>
      </c>
      <c r="M128" s="174">
        <f>Acquirer!R7</f>
        <v>783.67357120013207</v>
      </c>
      <c r="N128" s="174">
        <f>Acquirer!S7</f>
        <v>843.96657569733736</v>
      </c>
    </row>
    <row r="129" spans="2:14" x14ac:dyDescent="0.55000000000000004">
      <c r="B129" s="388" t="s">
        <v>1166</v>
      </c>
      <c r="C129" s="7">
        <f>Pagbank!D62</f>
        <v>20469.7</v>
      </c>
      <c r="D129" s="7">
        <f>Pagbank!E62</f>
        <v>70329</v>
      </c>
      <c r="E129" s="7">
        <f>Pagbank!F62</f>
        <v>202765</v>
      </c>
      <c r="F129" s="7">
        <f>Pagbank!G62</f>
        <v>377050</v>
      </c>
      <c r="G129" s="7">
        <f>Pagbank!H62</f>
        <v>500738.2463784084</v>
      </c>
      <c r="H129" s="7">
        <f>Pagbank!I62</f>
        <v>603991.26500924956</v>
      </c>
      <c r="I129" s="7">
        <f>Pagbank!J62</f>
        <v>651080.93721136183</v>
      </c>
      <c r="J129" s="7">
        <f>Pagbank!K62</f>
        <v>701331.90283883235</v>
      </c>
      <c r="K129" s="7">
        <f>Pagbank!L62</f>
        <v>754945.84493476455</v>
      </c>
      <c r="L129" s="7">
        <f>Pagbank!M62</f>
        <v>812136.71161300759</v>
      </c>
      <c r="M129" s="7">
        <f>Pagbank!N62</f>
        <v>873131.43835762481</v>
      </c>
      <c r="N129" s="7">
        <f>Pagbank!O62</f>
        <v>938170.71188963042</v>
      </c>
    </row>
    <row r="130" spans="2:14" x14ac:dyDescent="0.55000000000000004">
      <c r="B130" s="387" t="s">
        <v>1754</v>
      </c>
      <c r="C130" s="174">
        <f>Master!G206</f>
        <v>8014.9195741828053</v>
      </c>
      <c r="D130" s="174">
        <f>Master!H206</f>
        <v>9327.4563340283421</v>
      </c>
      <c r="E130" s="174">
        <f>Master!I206</f>
        <v>10502.199065064489</v>
      </c>
      <c r="F130" s="174">
        <f>Master!J206</f>
        <v>11842.150063744242</v>
      </c>
      <c r="G130" s="174">
        <f>Master!K206</f>
        <v>13241</v>
      </c>
      <c r="H130" s="174">
        <f>Master!L206</f>
        <v>15368.022575321162</v>
      </c>
      <c r="I130" s="174">
        <f>Master!M206</f>
        <v>18045.397562370792</v>
      </c>
      <c r="J130" s="174">
        <f>Master!N206</f>
        <v>19908.501196336994</v>
      </c>
      <c r="K130" s="174">
        <f>Master!O206</f>
        <v>21867.878464295914</v>
      </c>
      <c r="L130" s="174">
        <f>Master!P206</f>
        <v>24038.70229027337</v>
      </c>
      <c r="M130" s="174">
        <f>Master!Q206</f>
        <v>26296.994122025335</v>
      </c>
      <c r="N130" s="174">
        <f>Master!R206</f>
        <v>28625.630795867357</v>
      </c>
    </row>
    <row r="131" spans="2:14" x14ac:dyDescent="0.55000000000000004">
      <c r="B131" s="388" t="s">
        <v>1755</v>
      </c>
      <c r="C131" s="7">
        <f>AVERAGE(Master!F183:G183)</f>
        <v>12999.762246361712</v>
      </c>
      <c r="D131" s="7">
        <f>AVERAGE(Master!G183:H183)</f>
        <v>18453.123246361713</v>
      </c>
      <c r="E131" s="7">
        <f>AVERAGE(Master!H183:I183)</f>
        <v>26699.899909009997</v>
      </c>
      <c r="F131" s="7">
        <f>AVERAGE(Master!I183:J183)</f>
        <v>38202.393824117709</v>
      </c>
      <c r="G131" s="7">
        <f>AVERAGE(Master!J183:K183)</f>
        <v>50217.493915107712</v>
      </c>
      <c r="H131" s="7">
        <f ca="1">AVERAGE(Master!K183:L183)</f>
        <v>57859.403037687734</v>
      </c>
      <c r="I131" s="7">
        <f ca="1">AVERAGE(Master!L183:M183)</f>
        <v>64848.87843014198</v>
      </c>
      <c r="J131" s="7">
        <f ca="1">AVERAGE(Master!M183:N183)</f>
        <v>73063.844332570879</v>
      </c>
      <c r="K131" s="7">
        <f ca="1">AVERAGE(Master!N183:O183)</f>
        <v>80883.376010200969</v>
      </c>
      <c r="L131" s="7">
        <f ca="1">AVERAGE(Master!O183:P183)</f>
        <v>88938.251850145782</v>
      </c>
      <c r="M131" s="7">
        <f ca="1">AVERAGE(Master!P183:Q183)</f>
        <v>97389.055149542895</v>
      </c>
      <c r="N131" s="7">
        <f ca="1">AVERAGE(Master!Q183:R183)</f>
        <v>105453.82287145524</v>
      </c>
    </row>
    <row r="132" spans="2:14" x14ac:dyDescent="0.55000000000000004">
      <c r="B132" s="387" t="s">
        <v>1756</v>
      </c>
      <c r="C132" s="174">
        <f>Valuation!D30</f>
        <v>328.855412</v>
      </c>
      <c r="D132" s="174">
        <f>Valuation!E30</f>
        <v>329.5</v>
      </c>
      <c r="E132" s="174">
        <f>Valuation!F30</f>
        <v>329.5</v>
      </c>
      <c r="F132" s="174">
        <f>Valuation!G30</f>
        <v>323.66999999999996</v>
      </c>
      <c r="G132" s="174">
        <f>Valuation!H30</f>
        <v>319.73099999999999</v>
      </c>
      <c r="H132" s="174">
        <f>Valuation!I30</f>
        <v>314.73099999999999</v>
      </c>
      <c r="I132" s="174">
        <f>Valuation!J30</f>
        <v>311.73099999999999</v>
      </c>
      <c r="J132" s="174">
        <f>Valuation!K30</f>
        <v>311.73099999999999</v>
      </c>
      <c r="K132" s="174">
        <f>Valuation!L30</f>
        <v>311.73099999999999</v>
      </c>
      <c r="L132" s="174">
        <f>Valuation!M30</f>
        <v>311.73099999999999</v>
      </c>
      <c r="M132" s="174">
        <f>Valuation!N30</f>
        <v>311.73099999999999</v>
      </c>
      <c r="N132" s="174">
        <f>Valuation!O30</f>
        <v>311.73099999999999</v>
      </c>
    </row>
    <row r="133" spans="2:14" x14ac:dyDescent="0.55000000000000004">
      <c r="B133" s="388" t="s">
        <v>1757</v>
      </c>
      <c r="C133" s="7">
        <f>Valuation!D32</f>
        <v>-7904.5098601512218</v>
      </c>
      <c r="D133" s="7">
        <f>Valuation!E32</f>
        <v>-7989.5898397200017</v>
      </c>
      <c r="E133" s="7">
        <f>Valuation!F32</f>
        <v>-8900</v>
      </c>
      <c r="F133" s="7">
        <f>Valuation!G32</f>
        <v>-9800</v>
      </c>
      <c r="G133" s="7">
        <f>Valuation!H32</f>
        <v>-11200</v>
      </c>
      <c r="H133" s="7">
        <f>Valuation!I32</f>
        <v>-12634.971695067386</v>
      </c>
      <c r="I133" s="7">
        <f>Valuation!J32</f>
        <v>-14546.765801912547</v>
      </c>
      <c r="J133" s="7">
        <f>Valuation!K32</f>
        <v>-16959.064139517966</v>
      </c>
      <c r="K133" s="7">
        <f>Valuation!L32</f>
        <v>-19529.165498747851</v>
      </c>
      <c r="L133" s="7">
        <f>Valuation!M32</f>
        <v>-22336.153494854756</v>
      </c>
      <c r="M133" s="7">
        <f>Valuation!N32</f>
        <v>-25243.692882729676</v>
      </c>
      <c r="N133" s="7">
        <f>Valuation!O32</f>
        <v>-28246.220419104167</v>
      </c>
    </row>
    <row r="134" spans="2:14" x14ac:dyDescent="0.55000000000000004">
      <c r="B134" s="387" t="s">
        <v>1758</v>
      </c>
      <c r="C134" s="174">
        <f>Valuation!D33</f>
        <v>0</v>
      </c>
      <c r="D134" s="174">
        <f>Valuation!E33</f>
        <v>0</v>
      </c>
      <c r="E134" s="174">
        <f>Valuation!F33</f>
        <v>0</v>
      </c>
      <c r="F134" s="174">
        <f>Valuation!G33</f>
        <v>0</v>
      </c>
      <c r="G134" s="174">
        <f>Valuation!H33</f>
        <v>0</v>
      </c>
      <c r="H134" s="174">
        <f>Valuation!I33</f>
        <v>0</v>
      </c>
      <c r="I134" s="174">
        <f>Valuation!J33</f>
        <v>0</v>
      </c>
      <c r="J134" s="174">
        <f>Valuation!K33</f>
        <v>-961.00222595749358</v>
      </c>
      <c r="K134" s="174">
        <f>Valuation!L33</f>
        <v>-1971.0103584971046</v>
      </c>
      <c r="L134" s="174">
        <f>Valuation!M33</f>
        <v>-3091.0538040296592</v>
      </c>
      <c r="M134" s="174">
        <f>Valuation!N33</f>
        <v>-4254.4753976650773</v>
      </c>
      <c r="N134" s="174">
        <f>Valuation!O33</f>
        <v>-5452.6561597919645</v>
      </c>
    </row>
  </sheetData>
  <pageMargins left="0.7" right="0.7" top="0.75" bottom="0.75" header="0.3" footer="0.3"/>
  <pageSetup paperSize="9" orientation="portrait" horizontalDpi="300" verticalDpi="30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1E3C2-4DE3-455B-9835-290D8F9DF61B}">
  <dimension ref="B3:N28"/>
  <sheetViews>
    <sheetView showGridLines="0" zoomScale="80" zoomScaleNormal="80" workbookViewId="0">
      <selection activeCell="B3" sqref="B3"/>
    </sheetView>
  </sheetViews>
  <sheetFormatPr defaultRowHeight="14.4" x14ac:dyDescent="0.55000000000000004"/>
  <cols>
    <col min="2" max="2" width="23.68359375" customWidth="1"/>
    <col min="3" max="6" width="9.47265625" customWidth="1"/>
    <col min="7" max="7" width="12" customWidth="1"/>
    <col min="8" max="8" width="2" customWidth="1"/>
    <col min="9" max="9" width="23.68359375" customWidth="1"/>
    <col min="10" max="13" width="9.47265625" customWidth="1"/>
    <col min="14" max="14" width="12" customWidth="1"/>
  </cols>
  <sheetData>
    <row r="3" spans="2:14" x14ac:dyDescent="0.55000000000000004">
      <c r="B3" s="446" t="s">
        <v>723</v>
      </c>
      <c r="C3" s="447">
        <v>2023</v>
      </c>
      <c r="D3" s="447" t="s">
        <v>3361</v>
      </c>
      <c r="E3" s="447" t="s">
        <v>3362</v>
      </c>
      <c r="F3" s="447" t="s">
        <v>3363</v>
      </c>
      <c r="G3" s="447" t="s">
        <v>2572</v>
      </c>
      <c r="H3" s="448"/>
      <c r="I3" s="446" t="str">
        <f>B3</f>
        <v>BRL m</v>
      </c>
      <c r="J3" s="447">
        <f>C3</f>
        <v>2023</v>
      </c>
      <c r="K3" s="447" t="str">
        <f>D3</f>
        <v>2024E</v>
      </c>
      <c r="L3" s="447" t="str">
        <f>E3</f>
        <v>2025E</v>
      </c>
      <c r="M3" s="447" t="str">
        <f>F3</f>
        <v>2026E</v>
      </c>
      <c r="N3" s="447" t="s">
        <v>2572</v>
      </c>
    </row>
    <row r="4" spans="2:14" x14ac:dyDescent="0.55000000000000004">
      <c r="B4" s="449" t="s">
        <v>708</v>
      </c>
      <c r="C4" s="517">
        <f>Valuation!C25</f>
        <v>13.9</v>
      </c>
      <c r="D4" s="449"/>
      <c r="E4" s="449"/>
      <c r="F4" s="449"/>
      <c r="G4" s="449"/>
      <c r="H4" s="451"/>
      <c r="I4" s="449" t="s">
        <v>1446</v>
      </c>
      <c r="J4" s="452">
        <f>Valuation!H39</f>
        <v>0.69103420277133376</v>
      </c>
      <c r="K4" s="452">
        <f>Valuation!I39</f>
        <v>0.52993547253477025</v>
      </c>
      <c r="L4" s="452">
        <f>Valuation!J39</f>
        <v>0.371545606945822</v>
      </c>
      <c r="M4" s="452">
        <f>Valuation!K39</f>
        <v>0.27485868375333777</v>
      </c>
      <c r="N4" s="449"/>
    </row>
    <row r="5" spans="2:14" x14ac:dyDescent="0.55000000000000004">
      <c r="B5" s="451" t="s">
        <v>560</v>
      </c>
      <c r="C5" s="453">
        <f>Valuation!H30</f>
        <v>319.73099999999999</v>
      </c>
      <c r="D5" s="453">
        <f>Valuation!I30</f>
        <v>314.73099999999999</v>
      </c>
      <c r="E5" s="453">
        <f>Valuation!J30</f>
        <v>311.73099999999999</v>
      </c>
      <c r="F5" s="453">
        <f>Valuation!K30</f>
        <v>311.73099999999999</v>
      </c>
      <c r="G5" s="451"/>
      <c r="H5" s="451"/>
      <c r="I5" s="451" t="s">
        <v>1445</v>
      </c>
      <c r="J5" s="454">
        <f>Valuation!H40</f>
        <v>1.0831748894348896</v>
      </c>
      <c r="K5" s="454">
        <f>Valuation!I40</f>
        <v>0.85263500596105046</v>
      </c>
      <c r="L5" s="454">
        <f>Valuation!J40</f>
        <v>0.60577589120323072</v>
      </c>
      <c r="M5" s="454">
        <f>Valuation!K40</f>
        <v>0.45446593962195558</v>
      </c>
      <c r="N5" s="451"/>
    </row>
    <row r="6" spans="2:14" x14ac:dyDescent="0.55000000000000004">
      <c r="B6" s="449" t="s">
        <v>709</v>
      </c>
      <c r="C6" s="450">
        <f>Valuation!H31</f>
        <v>22221.304500000002</v>
      </c>
      <c r="D6" s="450">
        <f>Valuation!I31</f>
        <v>21873.804500000002</v>
      </c>
      <c r="E6" s="450">
        <f>Valuation!J31</f>
        <v>21665.304500000002</v>
      </c>
      <c r="F6" s="450">
        <f>Valuation!K31</f>
        <v>21665.304500000002</v>
      </c>
      <c r="G6" s="449"/>
      <c r="H6" s="451"/>
      <c r="I6" s="449" t="s">
        <v>1535</v>
      </c>
      <c r="J6" s="452">
        <f>Valuation!H41</f>
        <v>1.6579623166603989</v>
      </c>
      <c r="K6" s="452">
        <f>Valuation!I41</f>
        <v>1.1848492479094164</v>
      </c>
      <c r="L6" s="452">
        <f>Valuation!J41</f>
        <v>0.80982741673452674</v>
      </c>
      <c r="M6" s="452">
        <f>Valuation!K41</f>
        <v>0.6111746389395657</v>
      </c>
      <c r="N6" s="449"/>
    </row>
    <row r="7" spans="2:14" x14ac:dyDescent="0.55000000000000004">
      <c r="B7" s="451" t="s">
        <v>533</v>
      </c>
      <c r="C7" s="453">
        <f>Valuation!H32</f>
        <v>-11200</v>
      </c>
      <c r="D7" s="453">
        <f>Valuation!I32</f>
        <v>-12634.971695067386</v>
      </c>
      <c r="E7" s="453">
        <f>Valuation!J32</f>
        <v>-14546.765801912547</v>
      </c>
      <c r="F7" s="453">
        <f>Valuation!K32</f>
        <v>-16959.064139517966</v>
      </c>
      <c r="G7" s="451"/>
      <c r="H7" s="451"/>
      <c r="I7" s="451" t="s">
        <v>547</v>
      </c>
      <c r="J7" s="455">
        <f>Valuation!H42</f>
        <v>3.1098488995485338</v>
      </c>
      <c r="K7" s="455">
        <f>Valuation!I42</f>
        <v>2.0615328063665612</v>
      </c>
      <c r="L7" s="455">
        <f>Valuation!J42</f>
        <v>1.3720965237147975</v>
      </c>
      <c r="M7" s="455">
        <f>Valuation!K42</f>
        <v>1.0422059005330333</v>
      </c>
      <c r="N7" s="451"/>
    </row>
    <row r="8" spans="2:14" x14ac:dyDescent="0.55000000000000004">
      <c r="B8" s="456" t="s">
        <v>711</v>
      </c>
      <c r="C8" s="457">
        <f>Valuation!H33</f>
        <v>0</v>
      </c>
      <c r="D8" s="457">
        <f>Valuation!I33</f>
        <v>0</v>
      </c>
      <c r="E8" s="457">
        <f>Valuation!J33</f>
        <v>0</v>
      </c>
      <c r="F8" s="457">
        <f>Valuation!K33</f>
        <v>-961.00222595749358</v>
      </c>
      <c r="G8" s="449"/>
      <c r="H8" s="451"/>
      <c r="I8" s="449" t="s">
        <v>3364</v>
      </c>
      <c r="J8" s="452">
        <f>Valuation!H43</f>
        <v>12.766315738070348</v>
      </c>
      <c r="K8" s="452">
        <f>Valuation!I43</f>
        <v>10.092154207257828</v>
      </c>
      <c r="L8" s="452">
        <f>Valuation!J43</f>
        <v>7.9716711296866771</v>
      </c>
      <c r="M8" s="452">
        <f>Valuation!K43</f>
        <v>7.5630326566431911</v>
      </c>
      <c r="N8" s="449"/>
    </row>
    <row r="9" spans="2:14" x14ac:dyDescent="0.55000000000000004">
      <c r="B9" s="451" t="s">
        <v>545</v>
      </c>
      <c r="C9" s="453">
        <f>Valuation!H34</f>
        <v>11021.304500000002</v>
      </c>
      <c r="D9" s="453">
        <f>Valuation!I34</f>
        <v>9238.8328049326155</v>
      </c>
      <c r="E9" s="453">
        <f>Valuation!J34</f>
        <v>7118.5386980874555</v>
      </c>
      <c r="F9" s="453">
        <f>Valuation!K34</f>
        <v>5667.2425864395291</v>
      </c>
      <c r="G9" s="451"/>
      <c r="H9" s="451"/>
      <c r="I9" s="451" t="s">
        <v>2727</v>
      </c>
      <c r="J9" s="454">
        <f>C6/C24</f>
        <v>13.566948226387451</v>
      </c>
      <c r="K9" s="454">
        <f t="shared" ref="K9:M9" si="0">D6/D24</f>
        <v>10.620667191715652</v>
      </c>
      <c r="L9" s="454">
        <f t="shared" si="0"/>
        <v>8.3182900331242671</v>
      </c>
      <c r="M9" s="454">
        <f t="shared" si="0"/>
        <v>7.8905712912837727</v>
      </c>
      <c r="N9" s="451"/>
    </row>
    <row r="10" spans="2:14" x14ac:dyDescent="0.55000000000000004">
      <c r="B10" s="459"/>
      <c r="C10" s="449"/>
      <c r="D10" s="449"/>
      <c r="E10" s="449"/>
      <c r="F10" s="449"/>
      <c r="G10" s="449"/>
      <c r="H10" s="451"/>
      <c r="I10" s="449" t="s">
        <v>712</v>
      </c>
      <c r="J10" s="458">
        <f>C27/Valuation!$C$27/'Summary II'!$C$4</f>
        <v>0</v>
      </c>
      <c r="K10" s="458">
        <f>D27/Valuation!$C$27/'Summary II'!$C$4</f>
        <v>0</v>
      </c>
      <c r="L10" s="458">
        <f>E27/Valuation!$C$27/'Summary II'!$C$4</f>
        <v>0</v>
      </c>
      <c r="M10" s="458">
        <f>F27/Valuation!$C$27/'Summary II'!$C$4</f>
        <v>4.1950954338674358E-2</v>
      </c>
      <c r="N10" s="449"/>
    </row>
    <row r="11" spans="2:14" x14ac:dyDescent="0.55000000000000004">
      <c r="B11" s="451"/>
      <c r="C11" s="453"/>
      <c r="D11" s="453"/>
      <c r="E11" s="453"/>
      <c r="F11" s="453"/>
      <c r="G11" s="451"/>
      <c r="H11" s="451"/>
      <c r="I11" s="460" t="s">
        <v>713</v>
      </c>
      <c r="J11" s="451"/>
      <c r="K11" s="451"/>
      <c r="L11" s="451"/>
      <c r="M11" s="451"/>
      <c r="N11" s="451"/>
    </row>
    <row r="12" spans="2:14" x14ac:dyDescent="0.55000000000000004">
      <c r="B12" s="449"/>
      <c r="C12" s="450"/>
      <c r="D12" s="450"/>
      <c r="E12" s="450"/>
      <c r="F12" s="450"/>
      <c r="G12" s="449"/>
      <c r="H12" s="451"/>
      <c r="I12" s="449" t="s">
        <v>559</v>
      </c>
      <c r="J12" s="458">
        <f>Valuation!H61</f>
        <v>0.12369911638093797</v>
      </c>
      <c r="K12" s="458">
        <f>Valuation!I61</f>
        <v>0.13401534736097068</v>
      </c>
      <c r="L12" s="458">
        <f>Valuation!J61</f>
        <v>0.14433254978615243</v>
      </c>
      <c r="M12" s="458">
        <f>Valuation!K61</f>
        <v>0.13791699427870691</v>
      </c>
      <c r="N12" s="449"/>
    </row>
    <row r="13" spans="2:14" x14ac:dyDescent="0.55000000000000004">
      <c r="B13" s="451"/>
      <c r="C13" s="453"/>
      <c r="D13" s="453"/>
      <c r="E13" s="453"/>
      <c r="F13" s="453"/>
      <c r="G13" s="451"/>
      <c r="H13" s="451"/>
      <c r="I13" s="451"/>
      <c r="J13" s="451"/>
      <c r="K13" s="451"/>
      <c r="L13" s="451"/>
      <c r="M13" s="451"/>
      <c r="N13" s="451"/>
    </row>
    <row r="14" spans="2:14" x14ac:dyDescent="0.55000000000000004">
      <c r="B14" s="449"/>
      <c r="C14" s="450"/>
      <c r="D14" s="450"/>
      <c r="E14" s="450"/>
      <c r="F14" s="450"/>
      <c r="G14" s="449"/>
      <c r="H14" s="451"/>
      <c r="I14" s="488" t="s">
        <v>716</v>
      </c>
      <c r="J14" s="449"/>
      <c r="K14" s="449"/>
      <c r="L14" s="449"/>
      <c r="M14" s="449"/>
      <c r="N14" s="449"/>
    </row>
    <row r="15" spans="2:14" x14ac:dyDescent="0.55000000000000004">
      <c r="B15" s="451"/>
      <c r="C15" s="453"/>
      <c r="D15" s="453"/>
      <c r="E15" s="453"/>
      <c r="F15" s="453"/>
      <c r="G15" s="451"/>
      <c r="H15" s="451"/>
      <c r="I15" s="451"/>
      <c r="J15" s="451"/>
      <c r="K15" s="451"/>
      <c r="L15" s="451"/>
      <c r="M15" s="451"/>
      <c r="N15" s="451"/>
    </row>
    <row r="16" spans="2:14" x14ac:dyDescent="0.55000000000000004">
      <c r="B16" s="488" t="s">
        <v>715</v>
      </c>
      <c r="C16" s="449"/>
      <c r="D16" s="449"/>
      <c r="E16" s="449"/>
      <c r="F16" s="449"/>
      <c r="G16" s="449"/>
      <c r="H16" s="451"/>
      <c r="I16" s="488" t="s">
        <v>726</v>
      </c>
      <c r="J16" s="449"/>
      <c r="K16" s="449"/>
      <c r="L16" s="449"/>
      <c r="M16" s="449"/>
      <c r="N16" s="458"/>
    </row>
    <row r="17" spans="2:14" x14ac:dyDescent="0.55000000000000004">
      <c r="B17" s="451" t="s">
        <v>722</v>
      </c>
      <c r="C17" s="453">
        <f>Master!K12</f>
        <v>15949</v>
      </c>
      <c r="D17" s="453">
        <f>Master!L12</f>
        <v>17433.882583367609</v>
      </c>
      <c r="E17" s="453">
        <f>Master!M12</f>
        <v>19159.259496036688</v>
      </c>
      <c r="F17" s="453">
        <f>Master!N12</f>
        <v>20618.750366735352</v>
      </c>
      <c r="G17" s="461">
        <f>(F17/D17)^(1/2)-1</f>
        <v>8.7512135575515071E-2</v>
      </c>
      <c r="H17" s="451"/>
      <c r="I17" s="451" t="s">
        <v>2212</v>
      </c>
      <c r="J17" s="453">
        <f>Acquirer!L83</f>
        <v>394.6</v>
      </c>
      <c r="K17" s="453">
        <f>Acquirer!M83</f>
        <v>457.82619834710738</v>
      </c>
      <c r="L17" s="453">
        <f>Acquirer!N83</f>
        <v>522.17537685950413</v>
      </c>
      <c r="M17" s="453">
        <f>Acquirer!O83</f>
        <v>586.17561545454555</v>
      </c>
      <c r="N17" s="461">
        <f>(M17/K17)^(1/2)-1</f>
        <v>0.13152343647685849</v>
      </c>
    </row>
    <row r="18" spans="2:14" x14ac:dyDescent="0.55000000000000004">
      <c r="B18" s="449" t="s">
        <v>1083</v>
      </c>
      <c r="C18" s="450">
        <f>Master!K26</f>
        <v>10175</v>
      </c>
      <c r="D18" s="450">
        <f>Master!L26</f>
        <v>10835.624552523543</v>
      </c>
      <c r="E18" s="450">
        <f>Master!M26</f>
        <v>11751.109282259747</v>
      </c>
      <c r="F18" s="450">
        <f>Master!N26</f>
        <v>12470.115122716978</v>
      </c>
      <c r="G18" s="458">
        <f>(F18/D18)^(1/2)-1</f>
        <v>7.2774044020740503E-2</v>
      </c>
      <c r="H18" s="461"/>
      <c r="I18" s="489" t="s">
        <v>1929</v>
      </c>
      <c r="J18" s="450">
        <f>Acquirer!L90</f>
        <v>6500</v>
      </c>
      <c r="K18" s="450">
        <f>Acquirer!M90</f>
        <v>6600</v>
      </c>
      <c r="L18" s="450">
        <f>Acquirer!N90</f>
        <v>6800</v>
      </c>
      <c r="M18" s="450">
        <f>Acquirer!O90</f>
        <v>7000</v>
      </c>
      <c r="N18" s="458">
        <f>(M18/K18)^(1/2)-1</f>
        <v>2.9857301088874522E-2</v>
      </c>
    </row>
    <row r="19" spans="2:14" x14ac:dyDescent="0.55000000000000004">
      <c r="B19" s="451" t="s">
        <v>717</v>
      </c>
      <c r="C19" s="453">
        <f>Master!K12-Master!K22-Master!K29-Master!K46</f>
        <v>9993.5</v>
      </c>
      <c r="D19" s="453">
        <f>Master!L12-Master!L22-Master!L29-Master!L46</f>
        <v>10659.974552523543</v>
      </c>
      <c r="E19" s="453">
        <f>Master!M12-Master!M22-Master!M29-Master!M46</f>
        <v>11580.394282259747</v>
      </c>
      <c r="F19" s="453">
        <f>Master!N12-Master!N22-Master!N29-Master!N46</f>
        <v>12305.471479859834</v>
      </c>
      <c r="G19" s="461">
        <f>(F19/D19)^(1/2)-1</f>
        <v>7.4412482039953209E-2</v>
      </c>
      <c r="H19" s="461"/>
      <c r="I19" s="451" t="s">
        <v>679</v>
      </c>
      <c r="J19" s="490">
        <f>Acquirer!L71</f>
        <v>2.510390268626457E-2</v>
      </c>
      <c r="K19" s="490">
        <f>Acquirer!M71</f>
        <v>2.313874695412671E-2</v>
      </c>
      <c r="L19" s="490">
        <f>Acquirer!N71</f>
        <v>2.2063687398572229E-2</v>
      </c>
      <c r="M19" s="490">
        <f>Acquirer!O71</f>
        <v>2.0900937448952987E-2</v>
      </c>
      <c r="N19" s="461"/>
    </row>
    <row r="20" spans="2:14" x14ac:dyDescent="0.55000000000000004">
      <c r="B20" s="449" t="s">
        <v>477</v>
      </c>
      <c r="C20" s="458">
        <f>C19/C17</f>
        <v>0.62659100884067964</v>
      </c>
      <c r="D20" s="458">
        <f t="shared" ref="D20:F20" si="1">D19/D17</f>
        <v>0.61145155139988405</v>
      </c>
      <c r="E20" s="458">
        <f t="shared" si="1"/>
        <v>0.60442807221517536</v>
      </c>
      <c r="F20" s="458">
        <f t="shared" si="1"/>
        <v>0.59680976106643691</v>
      </c>
      <c r="G20" s="449"/>
      <c r="H20" s="461"/>
      <c r="I20" s="449" t="s">
        <v>2208</v>
      </c>
      <c r="J20" s="491">
        <f>Acquirer!L72</f>
        <v>2.2418422388027232E-2</v>
      </c>
      <c r="K20" s="491">
        <f>Acquirer!M72</f>
        <v>2.079444957671165E-2</v>
      </c>
      <c r="L20" s="491">
        <f>Acquirer!N72</f>
        <v>1.9231823614331827E-2</v>
      </c>
      <c r="M20" s="491">
        <f>Acquirer!O72</f>
        <v>1.7902610189150611E-2</v>
      </c>
      <c r="N20" s="458"/>
    </row>
    <row r="21" spans="2:14" x14ac:dyDescent="0.55000000000000004">
      <c r="B21" s="451" t="s">
        <v>815</v>
      </c>
      <c r="C21" s="453">
        <f>Master!K122</f>
        <v>3543.9999999999995</v>
      </c>
      <c r="D21" s="453">
        <f>Master!L122</f>
        <v>4481.5356691878224</v>
      </c>
      <c r="E21" s="453">
        <f>Master!M122</f>
        <v>5188.0742900031628</v>
      </c>
      <c r="F21" s="453">
        <f>Master!N122</f>
        <v>5437.7379590165765</v>
      </c>
      <c r="G21" s="461">
        <f>(F21/D21)^(1/2)-1</f>
        <v>0.10152842596410827</v>
      </c>
      <c r="H21" s="451"/>
      <c r="I21" s="451"/>
      <c r="J21" s="451"/>
      <c r="K21" s="451"/>
      <c r="L21" s="451"/>
      <c r="M21" s="451"/>
      <c r="N21" s="451"/>
    </row>
    <row r="22" spans="2:14" x14ac:dyDescent="0.55000000000000004">
      <c r="B22" s="449" t="s">
        <v>477</v>
      </c>
      <c r="C22" s="458">
        <f>C21/C17</f>
        <v>0.22220828892093544</v>
      </c>
      <c r="D22" s="458">
        <f t="shared" ref="D22:F22" si="2">D21/D17</f>
        <v>0.25705895676177876</v>
      </c>
      <c r="E22" s="458">
        <f t="shared" si="2"/>
        <v>0.27078678542228501</v>
      </c>
      <c r="F22" s="458">
        <f t="shared" si="2"/>
        <v>0.26372781387321076</v>
      </c>
      <c r="G22" s="449"/>
      <c r="H22" s="461"/>
      <c r="I22" s="488" t="s">
        <v>392</v>
      </c>
      <c r="J22" s="450"/>
      <c r="K22" s="450"/>
      <c r="L22" s="450"/>
      <c r="M22" s="450"/>
      <c r="N22" s="458"/>
    </row>
    <row r="23" spans="2:14" x14ac:dyDescent="0.55000000000000004">
      <c r="B23" s="451" t="s">
        <v>718</v>
      </c>
      <c r="C23" s="453">
        <f>C21-Master!K72</f>
        <v>2188.9999999999995</v>
      </c>
      <c r="D23" s="453">
        <f>D21-Master!L72</f>
        <v>2707.9886046036318</v>
      </c>
      <c r="E23" s="453">
        <f>E21-Master!M72</f>
        <v>3346.3928026022454</v>
      </c>
      <c r="F23" s="453">
        <f>F21-Master!N72</f>
        <v>3528.2991998481925</v>
      </c>
      <c r="G23" s="461">
        <f>(F23/D23)^(1/2)-1</f>
        <v>0.14145629325499609</v>
      </c>
      <c r="H23" s="451"/>
      <c r="I23" s="462" t="s">
        <v>2210</v>
      </c>
      <c r="J23" s="455">
        <f>Pagbank!H67</f>
        <v>16.8</v>
      </c>
      <c r="K23" s="455">
        <f>Pagbank!I67</f>
        <v>17.3</v>
      </c>
      <c r="L23" s="455">
        <f>Pagbank!J67</f>
        <v>17.8</v>
      </c>
      <c r="M23" s="455">
        <f>Pagbank!K67</f>
        <v>18.3</v>
      </c>
      <c r="N23" s="461">
        <f>(M23/K23)^(1/2)-1</f>
        <v>2.8495730768043792E-2</v>
      </c>
    </row>
    <row r="24" spans="2:14" x14ac:dyDescent="0.55000000000000004">
      <c r="B24" s="449" t="s">
        <v>807</v>
      </c>
      <c r="C24" s="450">
        <f>Master!K94</f>
        <v>1637.8999999999996</v>
      </c>
      <c r="D24" s="450">
        <f>Master!L94</f>
        <v>2059.5508836829044</v>
      </c>
      <c r="E24" s="450">
        <f>Master!M94</f>
        <v>2604.5382420817959</v>
      </c>
      <c r="F24" s="450">
        <f>Master!N94</f>
        <v>2745.720645592839</v>
      </c>
      <c r="G24" s="458">
        <f>(F24/D24)^(1/2)-1</f>
        <v>0.15462753874216517</v>
      </c>
      <c r="H24" s="461"/>
      <c r="I24" s="489" t="s">
        <v>2209</v>
      </c>
      <c r="J24" s="450">
        <f>Pagbank!H105</f>
        <v>2529</v>
      </c>
      <c r="K24" s="450">
        <f>Pagbank!I105</f>
        <v>2723.25</v>
      </c>
      <c r="L24" s="450">
        <f>Pagbank!J105</f>
        <v>3493.1</v>
      </c>
      <c r="M24" s="450">
        <f>Pagbank!K105</f>
        <v>4370.9650000000001</v>
      </c>
      <c r="N24" s="449"/>
    </row>
    <row r="25" spans="2:14" x14ac:dyDescent="0.55000000000000004">
      <c r="B25" s="451" t="s">
        <v>1744</v>
      </c>
      <c r="C25" s="453">
        <f>Master!K103</f>
        <v>1740.6199999999994</v>
      </c>
      <c r="D25" s="453">
        <f>Master!L103</f>
        <v>2167.4068836829047</v>
      </c>
      <c r="E25" s="453">
        <f>Master!M103</f>
        <v>2717.7870420817958</v>
      </c>
      <c r="F25" s="453">
        <f>Master!N103</f>
        <v>2864.6318855928389</v>
      </c>
      <c r="G25" s="461">
        <f>(F25/D25)^(1/2)-1</f>
        <v>0.14964614307131519</v>
      </c>
      <c r="H25" s="461"/>
      <c r="I25" s="451" t="s">
        <v>2213</v>
      </c>
      <c r="J25" s="453">
        <f>Pagbank!H62/1000</f>
        <v>500.73824637840841</v>
      </c>
      <c r="K25" s="453">
        <f>Pagbank!I62/1000</f>
        <v>603.99126500924956</v>
      </c>
      <c r="L25" s="453">
        <f>Pagbank!J62/1000</f>
        <v>651.08093721136186</v>
      </c>
      <c r="M25" s="453">
        <f>Pagbank!K62/1000</f>
        <v>701.33190283883232</v>
      </c>
      <c r="N25" s="461">
        <f>(M25/K25)^(1/2)-1</f>
        <v>7.7572423144214087E-2</v>
      </c>
    </row>
    <row r="26" spans="2:14" x14ac:dyDescent="0.55000000000000004">
      <c r="B26" s="449" t="s">
        <v>719</v>
      </c>
      <c r="C26" s="452">
        <f>C25/C5</f>
        <v>5.4440138741629669</v>
      </c>
      <c r="D26" s="452">
        <f t="shared" ref="D26:F26" si="3">D25/D5</f>
        <v>6.8865376581363282</v>
      </c>
      <c r="E26" s="452">
        <f t="shared" si="3"/>
        <v>8.7183727062172061</v>
      </c>
      <c r="F26" s="452">
        <f t="shared" si="3"/>
        <v>9.1894353965208424</v>
      </c>
      <c r="G26" s="458">
        <f>(F26/D26)^(1/2)-1</f>
        <v>0.15516481180664643</v>
      </c>
      <c r="H26" s="451"/>
      <c r="I26" s="489" t="s">
        <v>2211</v>
      </c>
      <c r="J26" s="450">
        <f>Pagbank!H95</f>
        <v>1059.6905256844539</v>
      </c>
      <c r="K26" s="450">
        <f>Pagbank!I95</f>
        <v>1073.28075609703</v>
      </c>
      <c r="L26" s="450">
        <f>Pagbank!J95</f>
        <v>1478.7295387505144</v>
      </c>
      <c r="M26" s="450">
        <f>Pagbank!K95</f>
        <v>1757.5463268487993</v>
      </c>
      <c r="N26" s="458">
        <f>(M26/K26)^(1/2)-1</f>
        <v>0.27966626004254791</v>
      </c>
    </row>
    <row r="27" spans="2:14" x14ac:dyDescent="0.55000000000000004">
      <c r="B27" s="451" t="s">
        <v>720</v>
      </c>
      <c r="C27" s="454">
        <f>Master!K133</f>
        <v>0</v>
      </c>
      <c r="D27" s="454">
        <f>Master!L133</f>
        <v>0</v>
      </c>
      <c r="E27" s="454">
        <f>Master!M133</f>
        <v>0</v>
      </c>
      <c r="F27" s="454">
        <f>Master!N133</f>
        <v>2.9155913265378679</v>
      </c>
      <c r="G27" s="451"/>
      <c r="H27" s="451"/>
      <c r="I27" s="451"/>
      <c r="J27" s="451"/>
      <c r="K27" s="451"/>
      <c r="L27" s="451"/>
      <c r="M27" s="451"/>
      <c r="N27" s="451"/>
    </row>
    <row r="28" spans="2:14" x14ac:dyDescent="0.55000000000000004">
      <c r="B28" s="456" t="s">
        <v>721</v>
      </c>
      <c r="C28" s="463">
        <f>C7/C21</f>
        <v>-3.1602708803611743</v>
      </c>
      <c r="D28" s="463">
        <f t="shared" ref="D28:F28" si="4">D7/D21</f>
        <v>-2.8193397593457492</v>
      </c>
      <c r="E28" s="463">
        <f t="shared" si="4"/>
        <v>-2.8038854088775351</v>
      </c>
      <c r="F28" s="463">
        <f t="shared" si="4"/>
        <v>-3.1187718620014269</v>
      </c>
      <c r="G28" s="456"/>
      <c r="H28" s="451"/>
      <c r="I28" s="464"/>
      <c r="J28" s="457"/>
      <c r="K28" s="457"/>
      <c r="L28" s="457"/>
      <c r="M28" s="457"/>
      <c r="N28" s="465"/>
    </row>
  </sheetData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B7D26-7A90-4401-A57C-86427FD65600}">
  <dimension ref="B2:AL94"/>
  <sheetViews>
    <sheetView zoomScale="80" zoomScaleNormal="80" workbookViewId="0">
      <pane xSplit="2" ySplit="2" topLeftCell="AJ3" activePane="bottomRight" state="frozen"/>
      <selection pane="topRight" activeCell="C1" sqref="C1"/>
      <selection pane="bottomLeft" activeCell="A3" sqref="A3"/>
      <selection pane="bottomRight" activeCell="AL22" sqref="AL22"/>
    </sheetView>
  </sheetViews>
  <sheetFormatPr defaultRowHeight="14.4" x14ac:dyDescent="0.55000000000000004"/>
  <cols>
    <col min="2" max="2" width="49" bestFit="1" customWidth="1"/>
    <col min="3" max="22" width="11.1015625" bestFit="1" customWidth="1"/>
    <col min="23" max="23" width="11.1015625" customWidth="1"/>
    <col min="24" max="26" width="11.1015625" bestFit="1" customWidth="1"/>
    <col min="27" max="33" width="11.1015625" customWidth="1"/>
    <col min="34" max="38" width="12.3125" bestFit="1" customWidth="1"/>
    <col min="39" max="40" width="8.89453125" customWidth="1"/>
  </cols>
  <sheetData>
    <row r="2" spans="2:38" x14ac:dyDescent="0.55000000000000004">
      <c r="B2" s="23" t="s">
        <v>127</v>
      </c>
    </row>
    <row r="3" spans="2:38" x14ac:dyDescent="0.55000000000000004">
      <c r="B3" s="23"/>
    </row>
    <row r="4" spans="2:38" x14ac:dyDescent="0.55000000000000004">
      <c r="B4" s="20" t="s">
        <v>123</v>
      </c>
      <c r="C4" s="21">
        <v>43466</v>
      </c>
      <c r="D4" s="21">
        <v>43497</v>
      </c>
      <c r="E4" s="21">
        <v>43525</v>
      </c>
      <c r="F4" s="21">
        <v>43556</v>
      </c>
      <c r="G4" s="21">
        <v>43586</v>
      </c>
      <c r="H4" s="21">
        <v>43617</v>
      </c>
      <c r="I4" s="21">
        <v>43647</v>
      </c>
      <c r="J4" s="21">
        <v>43678</v>
      </c>
      <c r="K4" s="21">
        <v>43709</v>
      </c>
      <c r="L4" s="21">
        <v>43739</v>
      </c>
      <c r="M4" s="21">
        <v>43770</v>
      </c>
      <c r="N4" s="21">
        <v>43800</v>
      </c>
      <c r="O4" s="21">
        <v>43831</v>
      </c>
      <c r="P4" s="21">
        <v>43862</v>
      </c>
      <c r="Q4" s="21">
        <v>43891</v>
      </c>
      <c r="R4" s="21">
        <v>43922</v>
      </c>
      <c r="S4" s="21">
        <v>43952</v>
      </c>
      <c r="T4" s="21">
        <v>43983</v>
      </c>
      <c r="U4" s="21">
        <v>44013</v>
      </c>
      <c r="V4" s="21">
        <v>44044</v>
      </c>
      <c r="W4" s="21">
        <v>44075</v>
      </c>
      <c r="X4" s="21">
        <v>44105</v>
      </c>
      <c r="Y4" s="21">
        <v>44136</v>
      </c>
      <c r="Z4" s="21">
        <v>44166</v>
      </c>
      <c r="AA4" s="21">
        <v>44197</v>
      </c>
      <c r="AB4" s="21">
        <v>44228</v>
      </c>
      <c r="AC4" s="21">
        <v>44256</v>
      </c>
      <c r="AD4" s="21">
        <v>44287</v>
      </c>
      <c r="AE4" s="21">
        <v>44317</v>
      </c>
      <c r="AF4" s="21">
        <v>44348</v>
      </c>
      <c r="AG4" s="21">
        <v>44378</v>
      </c>
      <c r="AH4" s="21">
        <v>44409</v>
      </c>
      <c r="AI4" s="21">
        <v>44440</v>
      </c>
      <c r="AJ4" s="21">
        <v>44470</v>
      </c>
      <c r="AK4" s="21">
        <v>44501</v>
      </c>
      <c r="AL4" s="21">
        <v>44531</v>
      </c>
    </row>
    <row r="5" spans="2:38" x14ac:dyDescent="0.55000000000000004">
      <c r="B5" t="str">
        <f>B32</f>
        <v xml:space="preserve"> - Revolving credit</v>
      </c>
      <c r="C5">
        <v>35824</v>
      </c>
      <c r="D5">
        <v>37436</v>
      </c>
      <c r="E5">
        <v>36801</v>
      </c>
      <c r="F5">
        <v>37873</v>
      </c>
      <c r="G5">
        <v>38097</v>
      </c>
      <c r="H5">
        <v>39096</v>
      </c>
      <c r="I5">
        <v>38936</v>
      </c>
      <c r="J5">
        <v>40624</v>
      </c>
      <c r="K5">
        <v>41863</v>
      </c>
      <c r="L5">
        <v>41486</v>
      </c>
      <c r="M5">
        <v>42480</v>
      </c>
      <c r="N5">
        <v>42218</v>
      </c>
      <c r="O5">
        <v>43071</v>
      </c>
      <c r="P5">
        <v>44624</v>
      </c>
      <c r="Q5">
        <v>45778</v>
      </c>
      <c r="R5">
        <v>46359</v>
      </c>
      <c r="S5">
        <v>44613</v>
      </c>
      <c r="T5">
        <v>42912</v>
      </c>
      <c r="U5">
        <v>41767</v>
      </c>
      <c r="V5">
        <v>40228</v>
      </c>
      <c r="W5">
        <v>39176</v>
      </c>
      <c r="X5">
        <v>38194</v>
      </c>
      <c r="Y5">
        <v>37283</v>
      </c>
      <c r="Z5">
        <v>35260</v>
      </c>
      <c r="AA5">
        <v>35978</v>
      </c>
      <c r="AB5">
        <v>37671</v>
      </c>
      <c r="AC5">
        <v>36423</v>
      </c>
      <c r="AD5">
        <v>36637</v>
      </c>
      <c r="AE5">
        <v>37417</v>
      </c>
      <c r="AF5">
        <v>38489</v>
      </c>
      <c r="AG5">
        <v>38783</v>
      </c>
      <c r="AH5">
        <v>40427</v>
      </c>
      <c r="AI5">
        <v>42394</v>
      </c>
      <c r="AJ5">
        <v>44947</v>
      </c>
      <c r="AK5">
        <v>48428</v>
      </c>
      <c r="AL5">
        <v>49134</v>
      </c>
    </row>
    <row r="6" spans="2:38" x14ac:dyDescent="0.55000000000000004">
      <c r="B6" t="str">
        <f>B33</f>
        <v xml:space="preserve"> - Instalments</v>
      </c>
      <c r="C6">
        <v>20797</v>
      </c>
      <c r="D6">
        <v>21538</v>
      </c>
      <c r="E6">
        <v>22274</v>
      </c>
      <c r="F6">
        <v>22843</v>
      </c>
      <c r="G6">
        <v>23718</v>
      </c>
      <c r="H6">
        <v>24253</v>
      </c>
      <c r="I6">
        <v>24625</v>
      </c>
      <c r="J6">
        <v>25042</v>
      </c>
      <c r="K6">
        <v>25133</v>
      </c>
      <c r="L6">
        <v>25237</v>
      </c>
      <c r="M6">
        <v>25167</v>
      </c>
      <c r="N6">
        <v>24717</v>
      </c>
      <c r="O6">
        <v>25388</v>
      </c>
      <c r="P6">
        <v>25884</v>
      </c>
      <c r="Q6">
        <v>26218</v>
      </c>
      <c r="R6">
        <v>26998</v>
      </c>
      <c r="S6">
        <v>26797</v>
      </c>
      <c r="T6">
        <v>25653</v>
      </c>
      <c r="U6">
        <v>24511</v>
      </c>
      <c r="V6">
        <v>23356</v>
      </c>
      <c r="W6">
        <v>22491</v>
      </c>
      <c r="X6">
        <v>22344</v>
      </c>
      <c r="Y6">
        <v>22380</v>
      </c>
      <c r="Z6">
        <v>22479</v>
      </c>
      <c r="AA6">
        <v>23048</v>
      </c>
      <c r="AB6">
        <v>23878</v>
      </c>
      <c r="AC6">
        <v>24787</v>
      </c>
      <c r="AD6">
        <v>25544</v>
      </c>
      <c r="AE6">
        <v>26216</v>
      </c>
      <c r="AF6">
        <v>26587</v>
      </c>
      <c r="AG6">
        <v>27037</v>
      </c>
      <c r="AH6">
        <v>27952</v>
      </c>
      <c r="AI6">
        <v>29047</v>
      </c>
      <c r="AJ6">
        <v>30396</v>
      </c>
      <c r="AK6">
        <v>31790</v>
      </c>
      <c r="AL6">
        <v>32705</v>
      </c>
    </row>
    <row r="7" spans="2:38" x14ac:dyDescent="0.55000000000000004">
      <c r="B7" s="1" t="str">
        <f>B34</f>
        <v xml:space="preserve"> - Paid off</v>
      </c>
      <c r="C7" s="1">
        <v>181556</v>
      </c>
      <c r="D7" s="1">
        <v>173356</v>
      </c>
      <c r="E7" s="1">
        <v>174677</v>
      </c>
      <c r="F7" s="1">
        <v>176901</v>
      </c>
      <c r="G7" s="1">
        <v>181915</v>
      </c>
      <c r="H7" s="1">
        <v>179132</v>
      </c>
      <c r="I7" s="1">
        <v>187188</v>
      </c>
      <c r="J7" s="1">
        <v>188714</v>
      </c>
      <c r="K7" s="1">
        <v>189737</v>
      </c>
      <c r="L7" s="1">
        <v>194865</v>
      </c>
      <c r="M7" s="1">
        <v>200784</v>
      </c>
      <c r="N7" s="1">
        <v>215575</v>
      </c>
      <c r="O7" s="1">
        <v>211690</v>
      </c>
      <c r="P7" s="1">
        <v>202555</v>
      </c>
      <c r="Q7" s="1">
        <v>192101</v>
      </c>
      <c r="R7" s="1">
        <v>164806</v>
      </c>
      <c r="S7" s="1">
        <v>161524</v>
      </c>
      <c r="T7" s="1">
        <v>167613</v>
      </c>
      <c r="U7" s="1">
        <v>176202</v>
      </c>
      <c r="V7" s="1">
        <v>186749</v>
      </c>
      <c r="W7" s="1">
        <v>195003</v>
      </c>
      <c r="X7" s="1">
        <v>201596</v>
      </c>
      <c r="Y7" s="1">
        <v>219066</v>
      </c>
      <c r="Z7" s="1">
        <v>228891</v>
      </c>
      <c r="AA7" s="1">
        <v>219855</v>
      </c>
      <c r="AB7" s="1">
        <v>213999</v>
      </c>
      <c r="AC7" s="1">
        <v>215990</v>
      </c>
      <c r="AD7" s="1">
        <v>217100</v>
      </c>
      <c r="AE7" s="1">
        <v>229858</v>
      </c>
      <c r="AF7" s="1">
        <v>236230</v>
      </c>
      <c r="AG7" s="1">
        <v>242991</v>
      </c>
      <c r="AH7" s="1">
        <v>245760</v>
      </c>
      <c r="AI7" s="1">
        <v>262198</v>
      </c>
      <c r="AJ7" s="1">
        <v>273695</v>
      </c>
      <c r="AK7" s="1">
        <v>298821</v>
      </c>
      <c r="AL7" s="1">
        <v>310010</v>
      </c>
    </row>
    <row r="8" spans="2:38" x14ac:dyDescent="0.55000000000000004">
      <c r="B8" t="s">
        <v>116</v>
      </c>
      <c r="C8">
        <v>238177</v>
      </c>
      <c r="D8">
        <v>232330</v>
      </c>
      <c r="E8">
        <v>233752</v>
      </c>
      <c r="F8">
        <v>237617</v>
      </c>
      <c r="G8">
        <v>243730</v>
      </c>
      <c r="H8">
        <v>242481</v>
      </c>
      <c r="I8">
        <v>250749</v>
      </c>
      <c r="J8">
        <v>254380</v>
      </c>
      <c r="K8">
        <v>256733</v>
      </c>
      <c r="L8">
        <v>261588</v>
      </c>
      <c r="M8">
        <v>268431</v>
      </c>
      <c r="N8">
        <v>282510</v>
      </c>
      <c r="O8">
        <v>280149</v>
      </c>
      <c r="P8">
        <v>273063</v>
      </c>
      <c r="Q8">
        <v>264097</v>
      </c>
      <c r="R8">
        <v>238163</v>
      </c>
      <c r="S8">
        <v>232934</v>
      </c>
      <c r="T8">
        <v>236178</v>
      </c>
      <c r="U8">
        <v>242480</v>
      </c>
      <c r="V8">
        <v>250333</v>
      </c>
      <c r="W8">
        <v>256670</v>
      </c>
      <c r="X8">
        <v>262134</v>
      </c>
      <c r="Y8">
        <v>278729</v>
      </c>
      <c r="Z8">
        <v>286630</v>
      </c>
      <c r="AA8">
        <v>278881</v>
      </c>
      <c r="AB8">
        <v>275548</v>
      </c>
      <c r="AC8">
        <v>277200</v>
      </c>
      <c r="AD8">
        <v>279281</v>
      </c>
      <c r="AE8">
        <v>293491</v>
      </c>
      <c r="AF8">
        <v>301306</v>
      </c>
      <c r="AG8">
        <v>308811</v>
      </c>
      <c r="AH8">
        <v>314139</v>
      </c>
      <c r="AI8">
        <v>333639</v>
      </c>
      <c r="AJ8">
        <v>349038</v>
      </c>
      <c r="AK8">
        <v>379039</v>
      </c>
      <c r="AL8">
        <v>391849</v>
      </c>
    </row>
    <row r="10" spans="2:38" x14ac:dyDescent="0.55000000000000004">
      <c r="B10" t="str">
        <f>B37</f>
        <v>Pay roll</v>
      </c>
      <c r="C10">
        <v>340035</v>
      </c>
      <c r="D10">
        <v>344289</v>
      </c>
      <c r="E10">
        <v>347817</v>
      </c>
      <c r="F10">
        <v>351606</v>
      </c>
      <c r="G10">
        <v>355849</v>
      </c>
      <c r="H10">
        <v>359217</v>
      </c>
      <c r="I10">
        <v>363814</v>
      </c>
      <c r="J10">
        <v>367995</v>
      </c>
      <c r="K10">
        <v>372244</v>
      </c>
      <c r="L10">
        <v>377084</v>
      </c>
      <c r="M10">
        <v>379374</v>
      </c>
      <c r="N10">
        <v>383879</v>
      </c>
      <c r="O10">
        <v>388636</v>
      </c>
      <c r="P10">
        <v>393366</v>
      </c>
      <c r="Q10">
        <v>397042</v>
      </c>
      <c r="R10">
        <v>397551</v>
      </c>
      <c r="S10">
        <v>397957</v>
      </c>
      <c r="T10">
        <v>400064</v>
      </c>
      <c r="U10">
        <v>404377</v>
      </c>
      <c r="V10">
        <v>407866</v>
      </c>
      <c r="W10">
        <v>413085</v>
      </c>
      <c r="X10">
        <v>423628</v>
      </c>
      <c r="Y10">
        <v>433266</v>
      </c>
      <c r="Z10">
        <v>439059</v>
      </c>
      <c r="AA10">
        <v>443037</v>
      </c>
      <c r="AB10">
        <v>446796</v>
      </c>
      <c r="AC10">
        <v>451417</v>
      </c>
      <c r="AD10">
        <v>461169</v>
      </c>
      <c r="AE10">
        <v>469745</v>
      </c>
      <c r="AF10">
        <v>477965</v>
      </c>
      <c r="AG10">
        <v>484000</v>
      </c>
      <c r="AH10">
        <v>491808</v>
      </c>
      <c r="AI10">
        <v>498659</v>
      </c>
      <c r="AJ10">
        <v>504044</v>
      </c>
      <c r="AK10">
        <v>506284</v>
      </c>
      <c r="AL10">
        <v>513529</v>
      </c>
    </row>
    <row r="11" spans="2:38" x14ac:dyDescent="0.55000000000000004">
      <c r="B11" t="str">
        <f>B38</f>
        <v>Non-pay roll regular loans</v>
      </c>
      <c r="C11">
        <v>115264</v>
      </c>
      <c r="D11">
        <v>117052</v>
      </c>
      <c r="E11">
        <v>118912</v>
      </c>
      <c r="F11">
        <v>120807</v>
      </c>
      <c r="G11">
        <v>123624</v>
      </c>
      <c r="H11">
        <v>125377</v>
      </c>
      <c r="I11">
        <v>126104</v>
      </c>
      <c r="J11">
        <v>127072</v>
      </c>
      <c r="K11">
        <v>128008</v>
      </c>
      <c r="L11">
        <v>130048</v>
      </c>
      <c r="M11">
        <v>131829</v>
      </c>
      <c r="N11">
        <v>131578</v>
      </c>
      <c r="O11">
        <v>134340</v>
      </c>
      <c r="P11">
        <v>136140</v>
      </c>
      <c r="Q11">
        <v>136998</v>
      </c>
      <c r="R11">
        <v>138119</v>
      </c>
      <c r="S11">
        <v>137379</v>
      </c>
      <c r="T11">
        <v>136713</v>
      </c>
      <c r="U11">
        <v>137099</v>
      </c>
      <c r="V11">
        <v>138011</v>
      </c>
      <c r="W11">
        <v>140883</v>
      </c>
      <c r="X11">
        <v>144303</v>
      </c>
      <c r="Y11">
        <v>145058</v>
      </c>
      <c r="Z11">
        <v>149324</v>
      </c>
      <c r="AA11">
        <v>152256</v>
      </c>
      <c r="AB11">
        <v>156065</v>
      </c>
      <c r="AC11">
        <v>161311</v>
      </c>
      <c r="AD11">
        <v>164963</v>
      </c>
      <c r="AE11">
        <v>168165</v>
      </c>
      <c r="AF11">
        <v>172774</v>
      </c>
      <c r="AG11">
        <v>177901</v>
      </c>
      <c r="AH11">
        <v>185546</v>
      </c>
      <c r="AI11">
        <v>193060</v>
      </c>
      <c r="AJ11">
        <v>201717</v>
      </c>
      <c r="AK11">
        <v>205612</v>
      </c>
      <c r="AL11">
        <v>209758</v>
      </c>
    </row>
    <row r="12" spans="2:38" x14ac:dyDescent="0.55000000000000004">
      <c r="B12" t="str">
        <f>B39</f>
        <v>Overdraft</v>
      </c>
      <c r="C12">
        <v>24164</v>
      </c>
      <c r="D12">
        <v>24870</v>
      </c>
      <c r="E12">
        <v>24479</v>
      </c>
      <c r="F12">
        <v>25691</v>
      </c>
      <c r="G12">
        <v>25433</v>
      </c>
      <c r="H12">
        <v>25806</v>
      </c>
      <c r="I12">
        <v>26126</v>
      </c>
      <c r="J12">
        <v>26146</v>
      </c>
      <c r="K12">
        <v>26370</v>
      </c>
      <c r="L12">
        <v>26380</v>
      </c>
      <c r="M12">
        <v>25501</v>
      </c>
      <c r="N12">
        <v>24151</v>
      </c>
      <c r="O12">
        <v>25672</v>
      </c>
      <c r="P12">
        <v>26632</v>
      </c>
      <c r="Q12">
        <v>25899</v>
      </c>
      <c r="R12">
        <v>24650</v>
      </c>
      <c r="S12">
        <v>22237</v>
      </c>
      <c r="T12">
        <v>21565</v>
      </c>
      <c r="U12">
        <v>19955</v>
      </c>
      <c r="V12">
        <v>19825</v>
      </c>
      <c r="W12">
        <v>19445</v>
      </c>
      <c r="X12">
        <v>19505</v>
      </c>
      <c r="Y12">
        <v>19383</v>
      </c>
      <c r="Z12">
        <v>17815</v>
      </c>
      <c r="AA12">
        <v>19496</v>
      </c>
      <c r="AB12">
        <v>20270</v>
      </c>
      <c r="AC12">
        <v>20487</v>
      </c>
      <c r="AD12">
        <v>20859</v>
      </c>
      <c r="AE12">
        <v>21842</v>
      </c>
      <c r="AF12">
        <v>21898</v>
      </c>
      <c r="AG12">
        <v>21315</v>
      </c>
      <c r="AH12">
        <v>22397</v>
      </c>
      <c r="AI12">
        <v>23434</v>
      </c>
      <c r="AJ12">
        <v>23458</v>
      </c>
      <c r="AK12">
        <v>24727</v>
      </c>
      <c r="AL12">
        <v>22708</v>
      </c>
    </row>
    <row r="13" spans="2:38" x14ac:dyDescent="0.55000000000000004">
      <c r="B13" t="s">
        <v>125</v>
      </c>
      <c r="C13">
        <v>172914</v>
      </c>
      <c r="D13">
        <v>175044</v>
      </c>
      <c r="E13">
        <v>176740</v>
      </c>
      <c r="F13">
        <v>179073</v>
      </c>
      <c r="G13">
        <v>181727</v>
      </c>
      <c r="H13">
        <v>184080</v>
      </c>
      <c r="I13">
        <v>185810</v>
      </c>
      <c r="J13">
        <v>189657</v>
      </c>
      <c r="K13">
        <v>192489</v>
      </c>
      <c r="L13">
        <v>196121</v>
      </c>
      <c r="M13">
        <v>199841</v>
      </c>
      <c r="N13">
        <v>203579</v>
      </c>
      <c r="O13">
        <v>206974</v>
      </c>
      <c r="P13">
        <v>209000</v>
      </c>
      <c r="Q13">
        <v>209308</v>
      </c>
      <c r="R13">
        <v>205932</v>
      </c>
      <c r="S13">
        <v>204540</v>
      </c>
      <c r="T13">
        <v>204651</v>
      </c>
      <c r="U13">
        <v>205765</v>
      </c>
      <c r="V13">
        <v>206742</v>
      </c>
      <c r="W13">
        <v>209218</v>
      </c>
      <c r="X13">
        <v>212138</v>
      </c>
      <c r="Y13">
        <v>216055</v>
      </c>
      <c r="Z13">
        <v>220259</v>
      </c>
      <c r="AA13">
        <v>221998</v>
      </c>
      <c r="AB13">
        <v>223973</v>
      </c>
      <c r="AC13">
        <v>224295</v>
      </c>
      <c r="AD13">
        <v>225422</v>
      </c>
      <c r="AE13">
        <v>226867</v>
      </c>
      <c r="AF13">
        <v>229116</v>
      </c>
      <c r="AG13">
        <v>229685</v>
      </c>
      <c r="AH13">
        <v>232817</v>
      </c>
      <c r="AI13">
        <v>235406</v>
      </c>
      <c r="AJ13">
        <v>238160</v>
      </c>
      <c r="AK13">
        <v>238809</v>
      </c>
      <c r="AL13">
        <v>241343</v>
      </c>
    </row>
    <row r="14" spans="2:38" x14ac:dyDescent="0.55000000000000004">
      <c r="B14" t="s">
        <v>5</v>
      </c>
      <c r="C14">
        <f t="shared" ref="C14:X14" si="0">C16-C8-C10-C11-C12-C13</f>
        <v>74458</v>
      </c>
      <c r="D14">
        <f t="shared" si="0"/>
        <v>75655</v>
      </c>
      <c r="E14">
        <f t="shared" si="0"/>
        <v>77063</v>
      </c>
      <c r="F14">
        <f t="shared" si="0"/>
        <v>78213</v>
      </c>
      <c r="G14">
        <f t="shared" si="0"/>
        <v>79251</v>
      </c>
      <c r="H14">
        <f t="shared" si="0"/>
        <v>79912</v>
      </c>
      <c r="I14">
        <f t="shared" si="0"/>
        <v>80595</v>
      </c>
      <c r="J14">
        <f t="shared" si="0"/>
        <v>83444</v>
      </c>
      <c r="K14">
        <f t="shared" si="0"/>
        <v>84497</v>
      </c>
      <c r="L14">
        <f t="shared" si="0"/>
        <v>84865</v>
      </c>
      <c r="M14">
        <f t="shared" si="0"/>
        <v>86711</v>
      </c>
      <c r="N14">
        <f t="shared" si="0"/>
        <v>87500</v>
      </c>
      <c r="O14">
        <f t="shared" si="0"/>
        <v>89908</v>
      </c>
      <c r="P14">
        <f t="shared" si="0"/>
        <v>92114</v>
      </c>
      <c r="Q14">
        <f t="shared" si="0"/>
        <v>97586</v>
      </c>
      <c r="R14">
        <f t="shared" si="0"/>
        <v>101174</v>
      </c>
      <c r="S14">
        <f t="shared" si="0"/>
        <v>103957</v>
      </c>
      <c r="T14">
        <f t="shared" si="0"/>
        <v>106532</v>
      </c>
      <c r="U14">
        <f t="shared" si="0"/>
        <v>106911</v>
      </c>
      <c r="V14">
        <f t="shared" si="0"/>
        <v>112486</v>
      </c>
      <c r="W14">
        <f t="shared" si="0"/>
        <v>114194</v>
      </c>
      <c r="X14">
        <f t="shared" si="0"/>
        <v>114239</v>
      </c>
      <c r="Y14">
        <v>14532</v>
      </c>
      <c r="Z14">
        <v>15263</v>
      </c>
      <c r="AA14">
        <v>15581</v>
      </c>
      <c r="AB14">
        <v>16010</v>
      </c>
      <c r="AC14">
        <v>16494</v>
      </c>
      <c r="AD14">
        <v>16861</v>
      </c>
      <c r="AE14">
        <v>17336</v>
      </c>
      <c r="AF14">
        <v>17887</v>
      </c>
      <c r="AG14">
        <v>18642</v>
      </c>
      <c r="AH14">
        <v>19355</v>
      </c>
      <c r="AI14">
        <v>20051</v>
      </c>
      <c r="AJ14">
        <v>20658</v>
      </c>
      <c r="AK14">
        <v>21283</v>
      </c>
      <c r="AL14">
        <v>22089</v>
      </c>
    </row>
    <row r="16" spans="2:38" x14ac:dyDescent="0.55000000000000004">
      <c r="B16" s="18" t="s">
        <v>128</v>
      </c>
      <c r="C16" s="18">
        <v>965012</v>
      </c>
      <c r="D16" s="18">
        <v>969240</v>
      </c>
      <c r="E16" s="18">
        <v>978763</v>
      </c>
      <c r="F16" s="18">
        <v>993007</v>
      </c>
      <c r="G16" s="18">
        <v>1009614</v>
      </c>
      <c r="H16" s="18">
        <v>1016873</v>
      </c>
      <c r="I16" s="18">
        <v>1033198</v>
      </c>
      <c r="J16" s="18">
        <v>1048694</v>
      </c>
      <c r="K16" s="18">
        <v>1060341</v>
      </c>
      <c r="L16" s="18">
        <v>1076086</v>
      </c>
      <c r="M16" s="18">
        <v>1091687</v>
      </c>
      <c r="N16" s="18">
        <v>1113197</v>
      </c>
      <c r="O16" s="18">
        <v>1125679</v>
      </c>
      <c r="P16" s="18">
        <v>1130315</v>
      </c>
      <c r="Q16" s="18">
        <v>1130930</v>
      </c>
      <c r="R16" s="18">
        <v>1105589</v>
      </c>
      <c r="S16" s="18">
        <v>1099004</v>
      </c>
      <c r="T16" s="18">
        <v>1105703</v>
      </c>
      <c r="U16" s="18">
        <v>1116587</v>
      </c>
      <c r="V16" s="18">
        <v>1135263</v>
      </c>
      <c r="W16" s="18">
        <v>1153495</v>
      </c>
      <c r="X16" s="18">
        <v>1175947</v>
      </c>
      <c r="Y16" s="18">
        <v>1211123</v>
      </c>
      <c r="Z16" s="18">
        <v>1232043</v>
      </c>
      <c r="AA16" s="18">
        <v>1235761</v>
      </c>
      <c r="AB16" s="18">
        <v>1243453</v>
      </c>
      <c r="AC16" s="18">
        <v>1256665</v>
      </c>
      <c r="AD16" s="18">
        <v>1271451</v>
      </c>
      <c r="AE16" s="18">
        <v>1298807</v>
      </c>
      <c r="AF16" s="18">
        <v>1320915</v>
      </c>
      <c r="AG16" s="18">
        <v>1342608</v>
      </c>
      <c r="AH16" s="18">
        <v>1369076</v>
      </c>
      <c r="AI16" s="18">
        <v>1409414</v>
      </c>
      <c r="AJ16" s="18">
        <v>1444146</v>
      </c>
      <c r="AK16" s="18">
        <v>1484832</v>
      </c>
      <c r="AL16" s="18">
        <v>1512552</v>
      </c>
    </row>
    <row r="18" spans="2:38" x14ac:dyDescent="0.55000000000000004">
      <c r="B18" s="18" t="s">
        <v>122</v>
      </c>
    </row>
    <row r="19" spans="2:38" x14ac:dyDescent="0.55000000000000004">
      <c r="B19" t="s">
        <v>129</v>
      </c>
      <c r="C19">
        <v>190867</v>
      </c>
      <c r="D19">
        <v>191285</v>
      </c>
      <c r="E19">
        <v>192012</v>
      </c>
      <c r="F19">
        <v>191739</v>
      </c>
      <c r="G19">
        <v>192031</v>
      </c>
      <c r="H19">
        <v>192668</v>
      </c>
      <c r="I19">
        <v>189718</v>
      </c>
      <c r="J19">
        <v>194066</v>
      </c>
      <c r="K19">
        <v>197143</v>
      </c>
      <c r="L19">
        <v>199110</v>
      </c>
      <c r="M19">
        <v>201240</v>
      </c>
      <c r="N19">
        <v>204413</v>
      </c>
      <c r="O19">
        <v>206197</v>
      </c>
      <c r="P19">
        <v>207333</v>
      </c>
      <c r="Q19">
        <v>208328</v>
      </c>
      <c r="R19">
        <v>207536</v>
      </c>
      <c r="S19">
        <v>207858</v>
      </c>
      <c r="T19">
        <v>208087</v>
      </c>
      <c r="U19">
        <v>208842</v>
      </c>
      <c r="V19">
        <v>214697</v>
      </c>
      <c r="W19">
        <v>219199</v>
      </c>
      <c r="X19">
        <v>222487</v>
      </c>
      <c r="Y19">
        <v>227103</v>
      </c>
      <c r="Z19">
        <v>232374</v>
      </c>
      <c r="AA19">
        <v>235439</v>
      </c>
      <c r="AB19">
        <v>238681</v>
      </c>
      <c r="AC19">
        <v>243619</v>
      </c>
      <c r="AD19">
        <v>245944</v>
      </c>
      <c r="AE19">
        <v>250653</v>
      </c>
      <c r="AF19">
        <v>257042</v>
      </c>
      <c r="AG19">
        <v>263833</v>
      </c>
      <c r="AH19">
        <v>275777</v>
      </c>
      <c r="AI19">
        <v>285820</v>
      </c>
      <c r="AJ19">
        <v>295008</v>
      </c>
      <c r="AK19">
        <v>304190</v>
      </c>
      <c r="AL19">
        <v>312465</v>
      </c>
    </row>
    <row r="20" spans="2:38" x14ac:dyDescent="0.55000000000000004">
      <c r="B20" t="s">
        <v>130</v>
      </c>
      <c r="C20">
        <v>598960</v>
      </c>
      <c r="D20">
        <v>602502</v>
      </c>
      <c r="E20">
        <v>605514</v>
      </c>
      <c r="F20">
        <v>607821</v>
      </c>
      <c r="G20">
        <v>610790</v>
      </c>
      <c r="H20">
        <v>615119</v>
      </c>
      <c r="I20">
        <v>618308</v>
      </c>
      <c r="J20">
        <v>620421</v>
      </c>
      <c r="K20">
        <v>625097</v>
      </c>
      <c r="L20">
        <v>630602</v>
      </c>
      <c r="M20">
        <v>633737</v>
      </c>
      <c r="N20">
        <v>638250</v>
      </c>
      <c r="O20">
        <v>640444</v>
      </c>
      <c r="P20">
        <v>643266</v>
      </c>
      <c r="Q20">
        <v>647815</v>
      </c>
      <c r="R20">
        <v>653805</v>
      </c>
      <c r="S20">
        <v>660081</v>
      </c>
      <c r="T20">
        <v>666946</v>
      </c>
      <c r="U20">
        <v>674080</v>
      </c>
      <c r="V20">
        <v>682213</v>
      </c>
      <c r="W20">
        <v>689700</v>
      </c>
      <c r="X20">
        <v>697272</v>
      </c>
      <c r="Y20">
        <v>705005</v>
      </c>
      <c r="Z20">
        <v>712810</v>
      </c>
      <c r="AA20">
        <v>717720</v>
      </c>
      <c r="AB20">
        <v>723945</v>
      </c>
      <c r="AC20">
        <v>732338</v>
      </c>
      <c r="AD20">
        <v>740510</v>
      </c>
      <c r="AE20">
        <v>749806</v>
      </c>
      <c r="AF20">
        <v>759055</v>
      </c>
      <c r="AG20">
        <v>768742</v>
      </c>
      <c r="AH20">
        <v>779526</v>
      </c>
      <c r="AI20">
        <v>789230</v>
      </c>
      <c r="AJ20">
        <v>798469</v>
      </c>
      <c r="AK20">
        <v>807536</v>
      </c>
      <c r="AL20">
        <v>815055</v>
      </c>
    </row>
    <row r="21" spans="2:38" x14ac:dyDescent="0.55000000000000004">
      <c r="B21" t="s">
        <v>131</v>
      </c>
      <c r="C21">
        <v>53556</v>
      </c>
      <c r="D21">
        <v>54461</v>
      </c>
      <c r="E21">
        <v>54339</v>
      </c>
      <c r="F21">
        <v>54208</v>
      </c>
      <c r="G21">
        <v>52293</v>
      </c>
      <c r="H21">
        <v>51569</v>
      </c>
      <c r="I21">
        <v>51273</v>
      </c>
      <c r="J21">
        <v>51621</v>
      </c>
      <c r="K21">
        <v>52139</v>
      </c>
      <c r="L21">
        <v>53046</v>
      </c>
      <c r="M21">
        <v>54039</v>
      </c>
      <c r="N21">
        <v>54685</v>
      </c>
      <c r="O21">
        <v>55227</v>
      </c>
      <c r="P21">
        <v>55493</v>
      </c>
      <c r="Q21">
        <v>55619</v>
      </c>
      <c r="R21">
        <v>54977</v>
      </c>
      <c r="S21">
        <v>52741</v>
      </c>
      <c r="T21">
        <v>52050</v>
      </c>
      <c r="U21">
        <v>51819</v>
      </c>
      <c r="V21">
        <v>52682</v>
      </c>
      <c r="W21">
        <v>53706</v>
      </c>
      <c r="X21">
        <v>55096</v>
      </c>
      <c r="Y21">
        <v>55671</v>
      </c>
      <c r="Z21">
        <v>56555</v>
      </c>
      <c r="AA21">
        <v>57081</v>
      </c>
      <c r="AB21">
        <v>57146</v>
      </c>
      <c r="AC21">
        <v>56933</v>
      </c>
      <c r="AD21">
        <v>56129</v>
      </c>
      <c r="AE21">
        <v>53475</v>
      </c>
      <c r="AF21">
        <v>52604</v>
      </c>
      <c r="AG21">
        <v>52840</v>
      </c>
      <c r="AH21">
        <v>54120</v>
      </c>
      <c r="AI21">
        <v>54872</v>
      </c>
      <c r="AJ21">
        <v>55812</v>
      </c>
      <c r="AK21">
        <v>56494</v>
      </c>
      <c r="AL21">
        <v>57131</v>
      </c>
    </row>
    <row r="22" spans="2:38" x14ac:dyDescent="0.55000000000000004">
      <c r="B22" t="s">
        <v>5</v>
      </c>
      <c r="C22">
        <f t="shared" ref="C22:X22" si="1">C24-C19-C20-C21</f>
        <v>5671</v>
      </c>
      <c r="D22">
        <f t="shared" si="1"/>
        <v>5680</v>
      </c>
      <c r="E22">
        <f t="shared" si="1"/>
        <v>5653</v>
      </c>
      <c r="F22">
        <f t="shared" si="1"/>
        <v>5761</v>
      </c>
      <c r="G22">
        <f t="shared" si="1"/>
        <v>5923</v>
      </c>
      <c r="H22">
        <f t="shared" si="1"/>
        <v>6097</v>
      </c>
      <c r="I22">
        <f t="shared" si="1"/>
        <v>6306</v>
      </c>
      <c r="J22">
        <f t="shared" si="1"/>
        <v>6495</v>
      </c>
      <c r="K22">
        <f t="shared" si="1"/>
        <v>6584</v>
      </c>
      <c r="L22">
        <f t="shared" si="1"/>
        <v>6817</v>
      </c>
      <c r="M22">
        <f t="shared" si="1"/>
        <v>6967</v>
      </c>
      <c r="N22">
        <f t="shared" si="1"/>
        <v>7309</v>
      </c>
      <c r="O22">
        <f t="shared" si="1"/>
        <v>7309</v>
      </c>
      <c r="P22">
        <f t="shared" si="1"/>
        <v>7326</v>
      </c>
      <c r="Q22">
        <f t="shared" si="1"/>
        <v>7280</v>
      </c>
      <c r="R22">
        <f t="shared" si="1"/>
        <v>7447</v>
      </c>
      <c r="S22">
        <f t="shared" si="1"/>
        <v>7337</v>
      </c>
      <c r="T22">
        <f t="shared" si="1"/>
        <v>7467</v>
      </c>
      <c r="U22">
        <f t="shared" si="1"/>
        <v>7363</v>
      </c>
      <c r="V22">
        <f t="shared" si="1"/>
        <v>7279</v>
      </c>
      <c r="W22">
        <f t="shared" si="1"/>
        <v>7040</v>
      </c>
      <c r="X22">
        <f t="shared" si="1"/>
        <v>7391</v>
      </c>
      <c r="Y22">
        <v>639</v>
      </c>
      <c r="Z22">
        <v>635</v>
      </c>
      <c r="AA22">
        <v>672</v>
      </c>
      <c r="AB22">
        <v>695</v>
      </c>
      <c r="AC22">
        <v>715</v>
      </c>
      <c r="AD22">
        <v>745</v>
      </c>
      <c r="AE22">
        <v>761</v>
      </c>
      <c r="AF22">
        <v>772</v>
      </c>
      <c r="AG22">
        <v>850</v>
      </c>
      <c r="AH22">
        <v>949</v>
      </c>
      <c r="AI22">
        <v>1012</v>
      </c>
      <c r="AJ22">
        <v>1058</v>
      </c>
      <c r="AK22">
        <v>1037</v>
      </c>
      <c r="AL22">
        <v>1045</v>
      </c>
    </row>
    <row r="24" spans="2:38" x14ac:dyDescent="0.55000000000000004">
      <c r="B24" s="18" t="s">
        <v>132</v>
      </c>
      <c r="C24" s="18">
        <v>849054</v>
      </c>
      <c r="D24" s="18">
        <v>853928</v>
      </c>
      <c r="E24" s="18">
        <v>857518</v>
      </c>
      <c r="F24" s="18">
        <v>859529</v>
      </c>
      <c r="G24" s="18">
        <v>861037</v>
      </c>
      <c r="H24" s="18">
        <v>865453</v>
      </c>
      <c r="I24" s="18">
        <v>865605</v>
      </c>
      <c r="J24" s="18">
        <v>872603</v>
      </c>
      <c r="K24" s="18">
        <v>880963</v>
      </c>
      <c r="L24" s="18">
        <v>889575</v>
      </c>
      <c r="M24" s="18">
        <v>895983</v>
      </c>
      <c r="N24" s="18">
        <v>904657</v>
      </c>
      <c r="O24" s="18">
        <v>909177</v>
      </c>
      <c r="P24" s="18">
        <v>913418</v>
      </c>
      <c r="Q24" s="18">
        <v>919042</v>
      </c>
      <c r="R24" s="18">
        <v>923765</v>
      </c>
      <c r="S24" s="18">
        <v>928017</v>
      </c>
      <c r="T24" s="18">
        <v>934550</v>
      </c>
      <c r="U24" s="18">
        <v>942104</v>
      </c>
      <c r="V24" s="18">
        <v>956871</v>
      </c>
      <c r="W24" s="18">
        <v>969645</v>
      </c>
      <c r="X24" s="18">
        <v>982246</v>
      </c>
      <c r="Y24" s="18">
        <v>995680</v>
      </c>
      <c r="Z24" s="18">
        <v>1010140</v>
      </c>
      <c r="AA24" s="18">
        <v>1018708</v>
      </c>
      <c r="AB24" s="18">
        <v>1028387</v>
      </c>
      <c r="AC24" s="18">
        <v>1041738</v>
      </c>
      <c r="AD24" s="18">
        <v>1051559</v>
      </c>
      <c r="AE24" s="18">
        <v>1063208</v>
      </c>
      <c r="AF24" s="18">
        <v>1078351</v>
      </c>
      <c r="AG24" s="18">
        <v>1095425</v>
      </c>
      <c r="AH24" s="18">
        <v>1119728</v>
      </c>
      <c r="AI24" s="18">
        <v>1140334</v>
      </c>
      <c r="AJ24" s="18">
        <v>1159785</v>
      </c>
      <c r="AK24" s="18">
        <v>1178832</v>
      </c>
      <c r="AL24" s="18">
        <v>1195585</v>
      </c>
    </row>
    <row r="26" spans="2:38" ht="14.7" thickBot="1" x14ac:dyDescent="0.6">
      <c r="B26" s="24" t="s">
        <v>124</v>
      </c>
      <c r="C26" s="24">
        <f t="shared" ref="C26:Z26" si="2">C16+C24</f>
        <v>1814066</v>
      </c>
      <c r="D26" s="24">
        <f t="shared" si="2"/>
        <v>1823168</v>
      </c>
      <c r="E26" s="24">
        <f t="shared" si="2"/>
        <v>1836281</v>
      </c>
      <c r="F26" s="24">
        <f t="shared" si="2"/>
        <v>1852536</v>
      </c>
      <c r="G26" s="24">
        <f t="shared" si="2"/>
        <v>1870651</v>
      </c>
      <c r="H26" s="24">
        <f t="shared" si="2"/>
        <v>1882326</v>
      </c>
      <c r="I26" s="24">
        <f t="shared" si="2"/>
        <v>1898803</v>
      </c>
      <c r="J26" s="24">
        <f t="shared" si="2"/>
        <v>1921297</v>
      </c>
      <c r="K26" s="24">
        <f t="shared" si="2"/>
        <v>1941304</v>
      </c>
      <c r="L26" s="24">
        <f t="shared" si="2"/>
        <v>1965661</v>
      </c>
      <c r="M26" s="24">
        <f t="shared" si="2"/>
        <v>1987670</v>
      </c>
      <c r="N26" s="24">
        <f t="shared" si="2"/>
        <v>2017854</v>
      </c>
      <c r="O26" s="24">
        <f t="shared" si="2"/>
        <v>2034856</v>
      </c>
      <c r="P26" s="24">
        <f t="shared" si="2"/>
        <v>2043733</v>
      </c>
      <c r="Q26" s="24">
        <f t="shared" si="2"/>
        <v>2049972</v>
      </c>
      <c r="R26" s="24">
        <f t="shared" si="2"/>
        <v>2029354</v>
      </c>
      <c r="S26" s="24">
        <f t="shared" si="2"/>
        <v>2027021</v>
      </c>
      <c r="T26" s="24">
        <f t="shared" si="2"/>
        <v>2040253</v>
      </c>
      <c r="U26" s="24">
        <f t="shared" si="2"/>
        <v>2058691</v>
      </c>
      <c r="V26" s="24">
        <f t="shared" si="2"/>
        <v>2092134</v>
      </c>
      <c r="W26" s="24">
        <f t="shared" si="2"/>
        <v>2123140</v>
      </c>
      <c r="X26" s="24">
        <f t="shared" si="2"/>
        <v>2158193</v>
      </c>
      <c r="Y26" s="24">
        <f t="shared" si="2"/>
        <v>2206803</v>
      </c>
      <c r="Z26" s="24">
        <f t="shared" si="2"/>
        <v>2242183</v>
      </c>
      <c r="AA26" s="24">
        <f t="shared" ref="AA26:AF26" si="3">AA16+AA24</f>
        <v>2254469</v>
      </c>
      <c r="AB26" s="24">
        <f t="shared" si="3"/>
        <v>2271840</v>
      </c>
      <c r="AC26" s="24">
        <f t="shared" si="3"/>
        <v>2298403</v>
      </c>
      <c r="AD26" s="24">
        <f t="shared" si="3"/>
        <v>2323010</v>
      </c>
      <c r="AE26" s="24">
        <f t="shared" si="3"/>
        <v>2362015</v>
      </c>
      <c r="AF26" s="24">
        <f t="shared" si="3"/>
        <v>2399266</v>
      </c>
      <c r="AG26" s="24">
        <f t="shared" ref="AG26:AL26" si="4">AG16+AG24</f>
        <v>2438033</v>
      </c>
      <c r="AH26" s="24">
        <f t="shared" si="4"/>
        <v>2488804</v>
      </c>
      <c r="AI26" s="24">
        <f t="shared" si="4"/>
        <v>2549748</v>
      </c>
      <c r="AJ26" s="24">
        <f t="shared" si="4"/>
        <v>2603931</v>
      </c>
      <c r="AK26" s="24">
        <f t="shared" si="4"/>
        <v>2663664</v>
      </c>
      <c r="AL26" s="24">
        <f t="shared" si="4"/>
        <v>2708137</v>
      </c>
    </row>
    <row r="27" spans="2:38" ht="14.7" thickTop="1" x14ac:dyDescent="0.55000000000000004"/>
    <row r="28" spans="2:38" x14ac:dyDescent="0.55000000000000004">
      <c r="B28" s="23" t="s">
        <v>141</v>
      </c>
    </row>
    <row r="30" spans="2:38" x14ac:dyDescent="0.55000000000000004">
      <c r="B30" s="20" t="s">
        <v>142</v>
      </c>
      <c r="C30" s="21">
        <v>43466</v>
      </c>
      <c r="D30" s="21">
        <v>43497</v>
      </c>
      <c r="E30" s="21">
        <v>43525</v>
      </c>
      <c r="F30" s="21">
        <v>43556</v>
      </c>
      <c r="G30" s="21">
        <v>43586</v>
      </c>
      <c r="H30" s="21">
        <v>43617</v>
      </c>
      <c r="I30" s="21">
        <v>43647</v>
      </c>
      <c r="J30" s="21">
        <v>43678</v>
      </c>
      <c r="K30" s="21">
        <v>43709</v>
      </c>
      <c r="L30" s="21">
        <v>43739</v>
      </c>
      <c r="M30" s="21">
        <v>43770</v>
      </c>
      <c r="N30" s="21">
        <v>43800</v>
      </c>
      <c r="O30" s="21">
        <v>43831</v>
      </c>
      <c r="P30" s="21">
        <v>43862</v>
      </c>
      <c r="Q30" s="21">
        <v>43891</v>
      </c>
      <c r="R30" s="21">
        <v>43922</v>
      </c>
      <c r="S30" s="21">
        <v>43952</v>
      </c>
      <c r="T30" s="21">
        <v>43983</v>
      </c>
      <c r="U30" s="21">
        <v>44013</v>
      </c>
      <c r="V30" s="21">
        <v>44044</v>
      </c>
      <c r="W30" s="21">
        <v>44075</v>
      </c>
      <c r="X30" s="21">
        <v>44105</v>
      </c>
      <c r="Y30" s="21">
        <v>44136</v>
      </c>
      <c r="Z30" s="21">
        <v>44166</v>
      </c>
      <c r="AA30" s="21">
        <v>44197</v>
      </c>
      <c r="AB30" s="21">
        <v>44228</v>
      </c>
      <c r="AC30" s="21">
        <v>44256</v>
      </c>
      <c r="AD30" s="21">
        <v>44287</v>
      </c>
      <c r="AE30" s="21">
        <v>44317</v>
      </c>
      <c r="AF30" s="21">
        <v>44348</v>
      </c>
      <c r="AG30" s="21">
        <v>44378</v>
      </c>
      <c r="AH30" s="21">
        <v>44409</v>
      </c>
      <c r="AI30" s="21">
        <v>44440</v>
      </c>
      <c r="AJ30" s="21">
        <v>44470</v>
      </c>
      <c r="AK30" s="21">
        <v>44501</v>
      </c>
      <c r="AL30" s="21">
        <v>44531</v>
      </c>
    </row>
    <row r="31" spans="2:38" ht="14.7" thickBot="1" x14ac:dyDescent="0.6">
      <c r="B31" t="s">
        <v>116</v>
      </c>
      <c r="P31" s="26"/>
    </row>
    <row r="32" spans="2:38" ht="14.7" thickTop="1" x14ac:dyDescent="0.55000000000000004">
      <c r="B32" s="10" t="s">
        <v>117</v>
      </c>
      <c r="C32" s="4">
        <v>287.10000000000002</v>
      </c>
      <c r="D32" s="4">
        <v>295.60000000000002</v>
      </c>
      <c r="E32" s="4">
        <v>299.5</v>
      </c>
      <c r="F32" s="4">
        <v>298.7</v>
      </c>
      <c r="G32" s="4">
        <v>299.89999999999998</v>
      </c>
      <c r="H32" s="4">
        <v>300.2</v>
      </c>
      <c r="I32" s="4">
        <v>300.39999999999998</v>
      </c>
      <c r="J32" s="4">
        <v>307.3</v>
      </c>
      <c r="K32" s="4">
        <v>307.89999999999998</v>
      </c>
      <c r="L32" s="4">
        <v>317.2</v>
      </c>
      <c r="M32" s="4">
        <v>317.10000000000002</v>
      </c>
      <c r="N32" s="4">
        <v>318.7</v>
      </c>
      <c r="O32" s="4">
        <v>316.7</v>
      </c>
      <c r="P32" s="4">
        <v>322.8</v>
      </c>
      <c r="Q32" s="4">
        <v>328.9</v>
      </c>
      <c r="R32" s="4">
        <v>315.3</v>
      </c>
      <c r="S32" s="4">
        <v>298.60000000000002</v>
      </c>
      <c r="T32" s="4">
        <v>264.39999999999998</v>
      </c>
      <c r="U32" s="4">
        <v>312</v>
      </c>
      <c r="V32" s="4">
        <v>310.2</v>
      </c>
      <c r="W32" s="4">
        <v>309.7</v>
      </c>
      <c r="X32" s="4">
        <v>317.5</v>
      </c>
      <c r="Y32" s="4">
        <v>320.89999999999998</v>
      </c>
      <c r="Z32" s="4">
        <v>327.8</v>
      </c>
      <c r="AA32" s="4">
        <v>329</v>
      </c>
      <c r="AB32" s="4">
        <v>326.60000000000002</v>
      </c>
      <c r="AC32" s="4">
        <v>334.6</v>
      </c>
      <c r="AD32" s="4">
        <v>336.1</v>
      </c>
      <c r="AE32" s="4">
        <v>329.6</v>
      </c>
      <c r="AF32" s="4">
        <v>327.5</v>
      </c>
      <c r="AG32" s="4">
        <v>331.5</v>
      </c>
      <c r="AH32" s="4">
        <v>335.8</v>
      </c>
      <c r="AI32" s="4">
        <v>339.6</v>
      </c>
      <c r="AJ32" s="4">
        <v>343.7</v>
      </c>
      <c r="AK32" s="4">
        <v>345.9</v>
      </c>
      <c r="AL32" s="4">
        <v>349.6</v>
      </c>
    </row>
    <row r="33" spans="2:38" x14ac:dyDescent="0.55000000000000004">
      <c r="B33" s="10" t="s">
        <v>118</v>
      </c>
      <c r="C33" s="4">
        <v>152.1</v>
      </c>
      <c r="D33" s="4">
        <v>152.69999999999999</v>
      </c>
      <c r="E33" s="4">
        <v>153.9</v>
      </c>
      <c r="F33" s="4">
        <v>154.19999999999999</v>
      </c>
      <c r="G33" s="4">
        <v>155.1</v>
      </c>
      <c r="H33" s="4">
        <v>155.9</v>
      </c>
      <c r="I33" s="4">
        <v>156.69999999999999</v>
      </c>
      <c r="J33" s="4">
        <v>157.5</v>
      </c>
      <c r="K33" s="4">
        <v>158.4</v>
      </c>
      <c r="L33" s="4">
        <v>158.69999999999999</v>
      </c>
      <c r="M33" s="4">
        <v>159.5</v>
      </c>
      <c r="N33" s="4">
        <v>159.69999999999999</v>
      </c>
      <c r="O33" s="4">
        <v>161.80000000000001</v>
      </c>
      <c r="P33" s="4">
        <v>163</v>
      </c>
      <c r="Q33" s="4">
        <v>167.9</v>
      </c>
      <c r="R33" s="4">
        <v>159.30000000000001</v>
      </c>
      <c r="S33" s="4">
        <v>155.1</v>
      </c>
      <c r="T33" s="4">
        <v>147.19999999999999</v>
      </c>
      <c r="U33" s="4">
        <v>147.30000000000001</v>
      </c>
      <c r="V33" s="4">
        <v>147.69999999999999</v>
      </c>
      <c r="W33" s="4">
        <v>147.69999999999999</v>
      </c>
      <c r="X33" s="4">
        <v>149</v>
      </c>
      <c r="Y33" s="4">
        <v>148.4</v>
      </c>
      <c r="Z33" s="4">
        <v>149.6</v>
      </c>
      <c r="AA33" s="4">
        <v>151.4</v>
      </c>
      <c r="AB33" s="4">
        <v>153.30000000000001</v>
      </c>
      <c r="AC33" s="4">
        <v>154.6</v>
      </c>
      <c r="AD33" s="4">
        <v>154.80000000000001</v>
      </c>
      <c r="AE33" s="4">
        <v>155.19999999999999</v>
      </c>
      <c r="AF33" s="4">
        <v>155.69999999999999</v>
      </c>
      <c r="AG33" s="4">
        <v>156.1</v>
      </c>
      <c r="AH33" s="4">
        <v>156.5</v>
      </c>
      <c r="AI33" s="4">
        <v>157.9</v>
      </c>
      <c r="AJ33" s="4">
        <v>159.4</v>
      </c>
      <c r="AK33" s="4">
        <v>158.9</v>
      </c>
      <c r="AL33" s="4">
        <v>159.4</v>
      </c>
    </row>
    <row r="34" spans="2:38" x14ac:dyDescent="0.55000000000000004">
      <c r="B34" s="22" t="s">
        <v>119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</row>
    <row r="35" spans="2:38" x14ac:dyDescent="0.55000000000000004">
      <c r="B35" s="10" t="s">
        <v>601</v>
      </c>
      <c r="C35" s="4">
        <v>34.4</v>
      </c>
      <c r="D35" s="4">
        <v>37.700000000000003</v>
      </c>
      <c r="E35" s="4">
        <v>37.6</v>
      </c>
      <c r="F35" s="4">
        <v>38.1</v>
      </c>
      <c r="G35" s="4">
        <v>37.700000000000003</v>
      </c>
      <c r="H35" s="4">
        <v>39.1</v>
      </c>
      <c r="I35" s="4">
        <v>37.799999999999997</v>
      </c>
      <c r="J35" s="4">
        <v>39.1</v>
      </c>
      <c r="K35" s="4">
        <v>39.799999999999997</v>
      </c>
      <c r="L35" s="4">
        <v>39.299999999999997</v>
      </c>
      <c r="M35" s="4">
        <v>38.9</v>
      </c>
      <c r="N35" s="4">
        <v>36.4</v>
      </c>
      <c r="O35" s="4">
        <v>37.6</v>
      </c>
      <c r="P35" s="4">
        <v>40.6</v>
      </c>
      <c r="Q35" s="4">
        <v>44</v>
      </c>
      <c r="R35" s="4">
        <v>49.2</v>
      </c>
      <c r="S35" s="4">
        <v>47.2</v>
      </c>
      <c r="T35" s="4">
        <v>41.2</v>
      </c>
      <c r="U35" s="4">
        <v>41.7</v>
      </c>
      <c r="V35" s="4">
        <v>38.299999999999997</v>
      </c>
      <c r="W35" s="4">
        <v>35.9</v>
      </c>
      <c r="X35" s="4">
        <v>35.9</v>
      </c>
      <c r="Y35" s="4">
        <v>34.299999999999997</v>
      </c>
      <c r="Z35" s="4">
        <v>33.5</v>
      </c>
      <c r="AA35" s="4">
        <v>34.1</v>
      </c>
      <c r="AB35" s="4">
        <v>34.6</v>
      </c>
      <c r="AC35" s="4">
        <v>34.700000000000003</v>
      </c>
      <c r="AD35" s="4">
        <v>34.799999999999997</v>
      </c>
      <c r="AE35" s="4">
        <v>34.299999999999997</v>
      </c>
      <c r="AF35" s="4">
        <v>34.299999999999997</v>
      </c>
      <c r="AG35" s="4">
        <v>34.1</v>
      </c>
      <c r="AH35" s="4">
        <v>34.5</v>
      </c>
      <c r="AI35" s="4">
        <v>34.6</v>
      </c>
      <c r="AJ35" s="4">
        <v>34.9</v>
      </c>
      <c r="AK35" s="4">
        <v>35</v>
      </c>
      <c r="AL35" s="4">
        <v>35</v>
      </c>
    </row>
    <row r="36" spans="2:38" x14ac:dyDescent="0.55000000000000004">
      <c r="B36" s="10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</row>
    <row r="37" spans="2:38" x14ac:dyDescent="0.55000000000000004">
      <c r="B37" s="10" t="s">
        <v>120</v>
      </c>
      <c r="C37" s="4">
        <v>26.1</v>
      </c>
      <c r="D37" s="4">
        <v>26</v>
      </c>
      <c r="E37" s="4">
        <v>25.9</v>
      </c>
      <c r="F37" s="4">
        <v>25.7</v>
      </c>
      <c r="G37" s="4">
        <v>25.5</v>
      </c>
      <c r="H37" s="4">
        <v>25.3</v>
      </c>
      <c r="I37" s="4">
        <v>25.1</v>
      </c>
      <c r="J37" s="4">
        <v>24.9</v>
      </c>
      <c r="K37" s="4">
        <v>24.6</v>
      </c>
      <c r="L37" s="4">
        <v>24.3</v>
      </c>
      <c r="M37" s="4">
        <v>24</v>
      </c>
      <c r="N37" s="4">
        <v>23.7</v>
      </c>
      <c r="O37" s="4">
        <v>23.5</v>
      </c>
      <c r="P37" s="4">
        <v>23.3</v>
      </c>
      <c r="Q37" s="4">
        <v>23.1</v>
      </c>
      <c r="R37" s="4">
        <v>22.9</v>
      </c>
      <c r="S37" s="4">
        <v>22.7</v>
      </c>
      <c r="T37" s="4">
        <v>22.5</v>
      </c>
      <c r="U37" s="4">
        <v>22.1</v>
      </c>
      <c r="V37" s="4">
        <v>21.9</v>
      </c>
      <c r="W37" s="4">
        <v>21.5</v>
      </c>
      <c r="X37" s="4">
        <v>21.3</v>
      </c>
      <c r="Y37" s="4">
        <v>21.1</v>
      </c>
      <c r="Z37" s="4">
        <v>20.9</v>
      </c>
      <c r="AA37" s="4">
        <v>20.8</v>
      </c>
      <c r="AB37" s="4">
        <v>20.6</v>
      </c>
      <c r="AC37" s="4">
        <v>20.5</v>
      </c>
      <c r="AD37" s="4">
        <v>20.5</v>
      </c>
      <c r="AE37" s="4">
        <v>20.3</v>
      </c>
      <c r="AF37" s="4">
        <v>20.100000000000001</v>
      </c>
      <c r="AG37" s="4">
        <v>20.100000000000001</v>
      </c>
      <c r="AH37" s="4">
        <v>20</v>
      </c>
      <c r="AI37" s="4">
        <v>19.899999999999999</v>
      </c>
      <c r="AJ37" s="4">
        <v>19.8</v>
      </c>
      <c r="AK37" s="4">
        <v>19.899999999999999</v>
      </c>
      <c r="AL37" s="4">
        <v>19.899999999999999</v>
      </c>
    </row>
    <row r="38" spans="2:38" x14ac:dyDescent="0.55000000000000004">
      <c r="B38" s="10" t="s">
        <v>121</v>
      </c>
      <c r="C38" s="4">
        <v>119.1</v>
      </c>
      <c r="D38" s="4">
        <v>119.3</v>
      </c>
      <c r="E38" s="4">
        <v>119.7</v>
      </c>
      <c r="F38" s="4">
        <v>120.3</v>
      </c>
      <c r="G38" s="4">
        <v>120.2</v>
      </c>
      <c r="H38" s="4">
        <v>120.1</v>
      </c>
      <c r="I38" s="4">
        <v>119.9</v>
      </c>
      <c r="J38" s="4">
        <v>119.5</v>
      </c>
      <c r="K38" s="4">
        <v>118.9</v>
      </c>
      <c r="L38" s="4">
        <v>116.6</v>
      </c>
      <c r="M38" s="4">
        <v>115.2</v>
      </c>
      <c r="N38" s="4">
        <v>112.9</v>
      </c>
      <c r="O38" s="4">
        <v>111.9</v>
      </c>
      <c r="P38" s="4">
        <v>111.5</v>
      </c>
      <c r="Q38" s="4">
        <v>109.7</v>
      </c>
      <c r="R38" s="4">
        <v>106.7</v>
      </c>
      <c r="S38" s="4">
        <v>104.6</v>
      </c>
      <c r="T38" s="4">
        <v>102.5</v>
      </c>
      <c r="U38" s="4">
        <v>100.4</v>
      </c>
      <c r="V38" s="4">
        <v>97.1</v>
      </c>
      <c r="W38" s="4">
        <v>93.8</v>
      </c>
      <c r="X38" s="4">
        <v>92.1</v>
      </c>
      <c r="Y38" s="4">
        <v>90.8</v>
      </c>
      <c r="Z38" s="4">
        <v>88.9</v>
      </c>
      <c r="AA38" s="4">
        <v>88.7</v>
      </c>
      <c r="AB38" s="4">
        <v>88.5</v>
      </c>
      <c r="AC38" s="4">
        <v>88.4</v>
      </c>
      <c r="AD38" s="4">
        <v>88.4</v>
      </c>
      <c r="AE38" s="4">
        <v>87.8</v>
      </c>
      <c r="AF38" s="4">
        <v>87.2</v>
      </c>
      <c r="AG38" s="4">
        <v>86</v>
      </c>
      <c r="AH38" s="4">
        <v>85.3</v>
      </c>
      <c r="AI38" s="4">
        <v>84.5</v>
      </c>
      <c r="AJ38" s="4">
        <v>84.4</v>
      </c>
      <c r="AK38" s="4">
        <v>84.5</v>
      </c>
      <c r="AL38" s="4">
        <v>84.6</v>
      </c>
    </row>
    <row r="39" spans="2:38" x14ac:dyDescent="0.55000000000000004">
      <c r="B39" t="s">
        <v>94</v>
      </c>
      <c r="C39" s="4">
        <v>267.2</v>
      </c>
      <c r="D39" s="4">
        <v>265.60000000000002</v>
      </c>
      <c r="E39" s="4">
        <v>271.7</v>
      </c>
      <c r="F39" s="4">
        <v>275.2</v>
      </c>
      <c r="G39" s="4">
        <v>272.60000000000002</v>
      </c>
      <c r="H39" s="4">
        <v>272.5</v>
      </c>
      <c r="I39" s="4">
        <v>269.60000000000002</v>
      </c>
      <c r="J39" s="4">
        <v>255.4</v>
      </c>
      <c r="K39" s="4">
        <v>245.7</v>
      </c>
      <c r="L39" s="4">
        <v>260.39999999999998</v>
      </c>
      <c r="M39" s="4">
        <v>264</v>
      </c>
      <c r="N39" s="4">
        <v>247.6</v>
      </c>
      <c r="O39" s="4">
        <v>140.80000000000001</v>
      </c>
      <c r="P39" s="4">
        <v>130.6</v>
      </c>
      <c r="Q39" s="4">
        <v>130.6</v>
      </c>
      <c r="R39" s="4">
        <v>119.6</v>
      </c>
      <c r="S39" s="4">
        <v>116.2</v>
      </c>
      <c r="T39" s="4">
        <v>112.6</v>
      </c>
      <c r="U39" s="4">
        <v>111.7</v>
      </c>
      <c r="V39" s="4">
        <v>112.2</v>
      </c>
      <c r="W39" s="4">
        <v>114</v>
      </c>
      <c r="X39" s="4">
        <v>112.9</v>
      </c>
      <c r="Y39" s="4">
        <v>113.5</v>
      </c>
      <c r="Z39" s="4">
        <v>115.6</v>
      </c>
      <c r="AA39" s="4">
        <v>120.3</v>
      </c>
      <c r="AB39" s="4">
        <v>125.5</v>
      </c>
      <c r="AC39" s="4">
        <v>122.3</v>
      </c>
      <c r="AD39" s="4">
        <v>124.3</v>
      </c>
      <c r="AE39" s="4">
        <v>123</v>
      </c>
      <c r="AF39" s="4">
        <v>125.6</v>
      </c>
      <c r="AG39" s="4">
        <v>124</v>
      </c>
      <c r="AH39" s="4">
        <v>125.1</v>
      </c>
      <c r="AI39" s="4">
        <v>129.6</v>
      </c>
      <c r="AJ39" s="4">
        <v>128.19999999999999</v>
      </c>
      <c r="AK39" s="4">
        <v>129.5</v>
      </c>
      <c r="AL39" s="4">
        <v>127.6</v>
      </c>
    </row>
    <row r="40" spans="2:38" x14ac:dyDescent="0.55000000000000004">
      <c r="B40" t="s">
        <v>126</v>
      </c>
      <c r="C40" s="4">
        <v>22.9</v>
      </c>
      <c r="D40" s="4">
        <v>22.8</v>
      </c>
      <c r="E40" s="4">
        <v>22.7</v>
      </c>
      <c r="F40" s="4">
        <v>22.6</v>
      </c>
      <c r="G40" s="4">
        <v>22.5</v>
      </c>
      <c r="H40" s="4">
        <v>22.3</v>
      </c>
      <c r="I40" s="4">
        <v>22.2</v>
      </c>
      <c r="J40" s="4">
        <v>22</v>
      </c>
      <c r="K40" s="4">
        <v>21.9</v>
      </c>
      <c r="L40" s="4">
        <v>21.7</v>
      </c>
      <c r="M40" s="4">
        <v>21.5</v>
      </c>
      <c r="N40" s="4">
        <v>21.3</v>
      </c>
      <c r="O40" s="4">
        <v>21.2</v>
      </c>
      <c r="P40" s="4">
        <v>21</v>
      </c>
      <c r="Q40" s="4">
        <v>21</v>
      </c>
      <c r="R40" s="4">
        <v>20.9</v>
      </c>
      <c r="S40" s="4">
        <v>20.7</v>
      </c>
      <c r="T40" s="4">
        <v>20.6</v>
      </c>
      <c r="U40" s="4">
        <v>20.399999999999999</v>
      </c>
      <c r="V40" s="4">
        <v>20.3</v>
      </c>
      <c r="W40" s="4">
        <v>20.2</v>
      </c>
      <c r="X40" s="4">
        <v>20</v>
      </c>
      <c r="Y40" s="4">
        <v>20</v>
      </c>
      <c r="Z40" s="4">
        <v>19.899999999999999</v>
      </c>
      <c r="AA40" s="4">
        <v>19.899999999999999</v>
      </c>
      <c r="AB40" s="4">
        <v>19.899999999999999</v>
      </c>
      <c r="AC40" s="4">
        <v>19.899999999999999</v>
      </c>
      <c r="AD40" s="4">
        <v>19.899999999999999</v>
      </c>
      <c r="AE40" s="4">
        <v>20</v>
      </c>
      <c r="AF40" s="4">
        <v>20.100000000000001</v>
      </c>
      <c r="AG40" s="4">
        <v>20.2</v>
      </c>
      <c r="AH40" s="4">
        <v>20.399999999999999</v>
      </c>
      <c r="AI40" s="4">
        <v>20.6</v>
      </c>
      <c r="AJ40" s="4">
        <v>20.8</v>
      </c>
      <c r="AK40" s="4">
        <v>21.2</v>
      </c>
      <c r="AL40" s="4">
        <v>21.6</v>
      </c>
    </row>
    <row r="42" spans="2:38" x14ac:dyDescent="0.55000000000000004">
      <c r="B42" s="18" t="s">
        <v>143</v>
      </c>
      <c r="C42" s="27">
        <v>42.9</v>
      </c>
      <c r="D42" s="27">
        <v>43.8</v>
      </c>
      <c r="E42" s="27">
        <v>43.7</v>
      </c>
      <c r="F42" s="27">
        <v>44</v>
      </c>
      <c r="G42" s="27">
        <v>43.8</v>
      </c>
      <c r="H42" s="27">
        <v>44</v>
      </c>
      <c r="I42" s="27">
        <v>43.4</v>
      </c>
      <c r="J42" s="27">
        <v>43.4</v>
      </c>
      <c r="K42" s="27">
        <v>43.1</v>
      </c>
      <c r="L42" s="27">
        <v>42.7</v>
      </c>
      <c r="M42" s="27">
        <v>42.2</v>
      </c>
      <c r="N42" s="27">
        <v>40.6</v>
      </c>
      <c r="O42" s="27">
        <v>39.700000000000003</v>
      </c>
      <c r="P42" s="27">
        <v>40.299999999999997</v>
      </c>
      <c r="Q42" s="27">
        <v>40.700000000000003</v>
      </c>
      <c r="R42" s="27">
        <v>41.1</v>
      </c>
      <c r="S42" s="27">
        <v>40</v>
      </c>
      <c r="T42" s="27">
        <v>38.299999999999997</v>
      </c>
      <c r="U42" s="27">
        <v>37.799999999999997</v>
      </c>
      <c r="V42" s="27">
        <v>36.700000000000003</v>
      </c>
      <c r="W42" s="27">
        <v>35.799999999999997</v>
      </c>
      <c r="X42" s="27">
        <v>35.200000000000003</v>
      </c>
      <c r="Y42" s="27">
        <v>34.299999999999997</v>
      </c>
      <c r="Z42" s="27">
        <v>33.5</v>
      </c>
      <c r="AA42" s="27">
        <v>34.1</v>
      </c>
      <c r="AB42" s="27">
        <v>34.6</v>
      </c>
      <c r="AC42" s="27">
        <v>34.700000000000003</v>
      </c>
      <c r="AD42" s="27">
        <v>34.799999999999997</v>
      </c>
      <c r="AE42" s="27">
        <v>34.299999999999997</v>
      </c>
      <c r="AF42" s="27">
        <v>34.299999999999997</v>
      </c>
      <c r="AG42" s="27">
        <v>34.1</v>
      </c>
      <c r="AH42" s="27">
        <v>34.5</v>
      </c>
      <c r="AI42" s="27">
        <v>34.6</v>
      </c>
      <c r="AJ42" s="27">
        <v>34.9</v>
      </c>
      <c r="AK42" s="27">
        <v>35</v>
      </c>
      <c r="AL42" s="27">
        <v>35</v>
      </c>
    </row>
    <row r="43" spans="2:38" x14ac:dyDescent="0.55000000000000004"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</row>
    <row r="44" spans="2:38" x14ac:dyDescent="0.55000000000000004">
      <c r="B44" t="s">
        <v>129</v>
      </c>
      <c r="C44" s="13">
        <v>7.3</v>
      </c>
      <c r="D44" s="13">
        <v>7.3</v>
      </c>
      <c r="E44" s="13">
        <v>7.3</v>
      </c>
      <c r="F44" s="13">
        <v>7.4</v>
      </c>
      <c r="G44" s="13">
        <v>7.4</v>
      </c>
      <c r="H44" s="13">
        <v>7.5</v>
      </c>
      <c r="I44" s="13">
        <v>7.5</v>
      </c>
      <c r="J44" s="13">
        <v>7.5</v>
      </c>
      <c r="K44" s="13">
        <v>7.5</v>
      </c>
      <c r="L44" s="13">
        <v>7.5</v>
      </c>
      <c r="M44" s="13">
        <v>7.5</v>
      </c>
      <c r="N44" s="13">
        <v>7.4</v>
      </c>
      <c r="O44" s="13">
        <v>7.4</v>
      </c>
      <c r="P44" s="13">
        <v>7.4</v>
      </c>
      <c r="Q44" s="13">
        <v>7.4</v>
      </c>
      <c r="R44" s="13">
        <v>7.4</v>
      </c>
      <c r="S44" s="13">
        <v>7.4</v>
      </c>
      <c r="T44" s="13">
        <v>7.4</v>
      </c>
      <c r="U44" s="13">
        <v>7.3</v>
      </c>
      <c r="V44" s="13">
        <v>7.2</v>
      </c>
      <c r="W44" s="13">
        <v>7.1</v>
      </c>
      <c r="X44" s="13">
        <v>7</v>
      </c>
      <c r="Y44" s="13">
        <v>7</v>
      </c>
      <c r="Z44" s="13">
        <v>6.9</v>
      </c>
      <c r="AA44" s="13">
        <v>6.9</v>
      </c>
      <c r="AB44" s="13">
        <v>6.9</v>
      </c>
      <c r="AC44" s="13">
        <v>6.8</v>
      </c>
      <c r="AD44" s="13">
        <v>6.8</v>
      </c>
      <c r="AE44" s="13">
        <v>6.7</v>
      </c>
      <c r="AF44" s="13">
        <v>6.6</v>
      </c>
      <c r="AG44" s="13">
        <v>6.6</v>
      </c>
      <c r="AH44" s="13">
        <v>6.6</v>
      </c>
      <c r="AI44" s="13">
        <v>6.6</v>
      </c>
      <c r="AJ44" s="13">
        <v>6.7</v>
      </c>
      <c r="AK44" s="13">
        <v>6.7</v>
      </c>
      <c r="AL44" s="13">
        <v>6.7</v>
      </c>
    </row>
    <row r="45" spans="2:38" x14ac:dyDescent="0.55000000000000004">
      <c r="B45" t="s">
        <v>130</v>
      </c>
      <c r="C45" s="13">
        <v>9.1</v>
      </c>
      <c r="D45" s="13">
        <v>9</v>
      </c>
      <c r="E45" s="13">
        <v>9</v>
      </c>
      <c r="F45" s="13">
        <v>9</v>
      </c>
      <c r="G45" s="13">
        <v>9</v>
      </c>
      <c r="H45" s="13">
        <v>8.9</v>
      </c>
      <c r="I45" s="13">
        <v>8.9</v>
      </c>
      <c r="J45" s="13">
        <v>8.9</v>
      </c>
      <c r="K45" s="13">
        <v>8.9</v>
      </c>
      <c r="L45" s="13">
        <v>8.9</v>
      </c>
      <c r="M45" s="13">
        <v>8.8000000000000007</v>
      </c>
      <c r="N45" s="13">
        <v>8.8000000000000007</v>
      </c>
      <c r="O45" s="13">
        <v>8.8000000000000007</v>
      </c>
      <c r="P45" s="13">
        <v>8.6999999999999993</v>
      </c>
      <c r="Q45" s="13">
        <v>8.6999999999999993</v>
      </c>
      <c r="R45" s="13">
        <v>8.6999999999999993</v>
      </c>
      <c r="S45" s="13">
        <v>8.6999999999999993</v>
      </c>
      <c r="T45" s="13">
        <v>8.6</v>
      </c>
      <c r="U45" s="13">
        <v>8.6</v>
      </c>
      <c r="V45" s="13">
        <v>8.6</v>
      </c>
      <c r="W45" s="13">
        <v>8.5</v>
      </c>
      <c r="X45" s="13">
        <v>8.5</v>
      </c>
      <c r="Y45" s="13">
        <v>8.5</v>
      </c>
      <c r="Z45" s="13">
        <v>8.4</v>
      </c>
      <c r="AA45" s="13">
        <v>8.4</v>
      </c>
      <c r="AB45" s="13">
        <v>8.3000000000000007</v>
      </c>
      <c r="AC45" s="13">
        <v>8.3000000000000007</v>
      </c>
      <c r="AD45" s="13">
        <v>8.3000000000000007</v>
      </c>
      <c r="AE45" s="13">
        <v>8.1999999999999993</v>
      </c>
      <c r="AF45" s="13">
        <v>8.1999999999999993</v>
      </c>
      <c r="AG45" s="13">
        <v>8.1</v>
      </c>
      <c r="AH45" s="13">
        <v>8.1</v>
      </c>
      <c r="AI45" s="13">
        <v>8.1</v>
      </c>
      <c r="AJ45" s="13">
        <v>8.1</v>
      </c>
      <c r="AK45" s="13">
        <v>8.1</v>
      </c>
      <c r="AL45" s="13">
        <v>8.1</v>
      </c>
    </row>
    <row r="46" spans="2:38" x14ac:dyDescent="0.55000000000000004">
      <c r="B46" t="s">
        <v>131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</row>
    <row r="47" spans="2:38" x14ac:dyDescent="0.55000000000000004">
      <c r="B47" s="10" t="s">
        <v>133</v>
      </c>
      <c r="C47" s="13">
        <v>7.8</v>
      </c>
      <c r="D47" s="13">
        <v>7.8</v>
      </c>
      <c r="E47" s="13">
        <v>7.7</v>
      </c>
      <c r="F47" s="13">
        <v>7.6</v>
      </c>
      <c r="G47" s="13">
        <v>7.6</v>
      </c>
      <c r="H47" s="13">
        <v>7.7</v>
      </c>
      <c r="I47" s="13">
        <v>7.6</v>
      </c>
      <c r="J47" s="13">
        <v>7.6</v>
      </c>
      <c r="K47" s="13">
        <v>7.6</v>
      </c>
      <c r="L47" s="13">
        <v>7.6</v>
      </c>
      <c r="M47" s="13">
        <v>7.5</v>
      </c>
      <c r="N47" s="13">
        <v>7.5</v>
      </c>
      <c r="O47" s="13">
        <v>7.4</v>
      </c>
      <c r="P47" s="13">
        <v>7.4</v>
      </c>
      <c r="Q47" s="13">
        <v>7.4</v>
      </c>
      <c r="R47" s="13">
        <v>7.5</v>
      </c>
      <c r="S47" s="13">
        <v>7.6</v>
      </c>
      <c r="T47" s="13">
        <v>7.6</v>
      </c>
      <c r="U47" s="13">
        <v>7.7</v>
      </c>
      <c r="V47" s="13">
        <v>7.8</v>
      </c>
      <c r="W47" s="13">
        <v>7.8</v>
      </c>
      <c r="X47" s="13">
        <v>7.8</v>
      </c>
      <c r="Y47" s="13">
        <v>7.8</v>
      </c>
      <c r="Z47" s="13">
        <v>7.8</v>
      </c>
      <c r="AA47" s="13">
        <v>7.9</v>
      </c>
      <c r="AB47" s="13">
        <v>7.9</v>
      </c>
      <c r="AC47" s="13">
        <v>7.8</v>
      </c>
      <c r="AD47" s="13">
        <v>7.8</v>
      </c>
      <c r="AE47" s="13">
        <v>7.7</v>
      </c>
      <c r="AF47" s="13">
        <v>7.8</v>
      </c>
      <c r="AG47" s="13">
        <v>7.8</v>
      </c>
      <c r="AH47" s="13">
        <v>7.8</v>
      </c>
      <c r="AI47" s="13">
        <v>7.9</v>
      </c>
      <c r="AJ47" s="13">
        <v>8</v>
      </c>
      <c r="AK47" s="13">
        <v>8.1999999999999993</v>
      </c>
      <c r="AL47" s="13">
        <v>8.5</v>
      </c>
    </row>
    <row r="48" spans="2:38" x14ac:dyDescent="0.55000000000000004">
      <c r="B48" s="10" t="s">
        <v>134</v>
      </c>
      <c r="C48" s="13">
        <v>6.2</v>
      </c>
      <c r="D48" s="13">
        <v>6.2</v>
      </c>
      <c r="E48" s="13">
        <v>6.2</v>
      </c>
      <c r="F48" s="13">
        <v>6.2</v>
      </c>
      <c r="G48" s="13">
        <v>6.3</v>
      </c>
      <c r="H48" s="13">
        <v>6.3</v>
      </c>
      <c r="I48" s="13">
        <v>6.3</v>
      </c>
      <c r="J48" s="13">
        <v>6.3</v>
      </c>
      <c r="K48" s="13">
        <v>6.4</v>
      </c>
      <c r="L48" s="13">
        <v>6.4</v>
      </c>
      <c r="M48" s="13">
        <v>6.5</v>
      </c>
      <c r="N48" s="13">
        <v>6.5</v>
      </c>
      <c r="O48" s="13">
        <v>6.5</v>
      </c>
      <c r="P48" s="13">
        <v>6.6</v>
      </c>
      <c r="Q48" s="13">
        <v>6.6</v>
      </c>
      <c r="R48" s="13">
        <v>6.6</v>
      </c>
      <c r="S48" s="13">
        <v>6.6</v>
      </c>
      <c r="T48" s="13">
        <v>6.7</v>
      </c>
      <c r="U48" s="13">
        <v>6.7</v>
      </c>
      <c r="V48" s="13">
        <v>6.7</v>
      </c>
      <c r="W48" s="13">
        <v>6.7</v>
      </c>
      <c r="X48" s="13">
        <v>6.7</v>
      </c>
      <c r="Y48" s="13">
        <v>6.7</v>
      </c>
      <c r="Z48" s="13">
        <v>6.7</v>
      </c>
      <c r="AA48" s="13">
        <v>6.7</v>
      </c>
      <c r="AB48" s="13">
        <v>6.7</v>
      </c>
      <c r="AC48" s="13">
        <v>6.7</v>
      </c>
      <c r="AD48" s="13">
        <v>6.7</v>
      </c>
      <c r="AE48" s="13">
        <v>6.7</v>
      </c>
      <c r="AF48" s="13">
        <v>6.7</v>
      </c>
      <c r="AG48" s="13">
        <v>6.8</v>
      </c>
      <c r="AH48" s="13">
        <v>6.8</v>
      </c>
      <c r="AI48" s="13">
        <v>6.8</v>
      </c>
      <c r="AJ48" s="13">
        <v>6.8</v>
      </c>
      <c r="AK48" s="13">
        <v>6.8</v>
      </c>
      <c r="AL48" s="13">
        <v>6.9</v>
      </c>
    </row>
    <row r="49" spans="2:38" x14ac:dyDescent="0.55000000000000004">
      <c r="B49" s="10"/>
    </row>
    <row r="50" spans="2:38" x14ac:dyDescent="0.55000000000000004">
      <c r="B50" s="25" t="s">
        <v>132</v>
      </c>
      <c r="C50" s="18">
        <v>8.6</v>
      </c>
      <c r="D50" s="18">
        <v>8.6</v>
      </c>
      <c r="E50" s="18">
        <v>8.6</v>
      </c>
      <c r="F50" s="18">
        <v>8.6</v>
      </c>
      <c r="G50" s="18">
        <v>8.6</v>
      </c>
      <c r="H50" s="18">
        <v>8.6</v>
      </c>
      <c r="I50" s="18">
        <v>8.6</v>
      </c>
      <c r="J50" s="18">
        <v>8.6</v>
      </c>
      <c r="K50" s="18">
        <v>8.6</v>
      </c>
      <c r="L50" s="18">
        <v>8.6</v>
      </c>
      <c r="M50" s="18">
        <v>8.5</v>
      </c>
      <c r="N50" s="18">
        <v>8.5</v>
      </c>
      <c r="O50" s="18">
        <v>8.5</v>
      </c>
      <c r="P50" s="18">
        <v>8.5</v>
      </c>
      <c r="Q50" s="18">
        <v>8.5</v>
      </c>
      <c r="R50" s="18">
        <v>8.5</v>
      </c>
      <c r="S50" s="18">
        <v>8.4</v>
      </c>
      <c r="T50" s="18">
        <v>8.4</v>
      </c>
      <c r="U50" s="18">
        <v>8.4</v>
      </c>
      <c r="V50" s="18">
        <v>8.3000000000000007</v>
      </c>
      <c r="W50" s="18">
        <v>8.3000000000000007</v>
      </c>
      <c r="X50" s="18">
        <v>8.1999999999999993</v>
      </c>
      <c r="Y50" s="18">
        <v>8.1999999999999993</v>
      </c>
      <c r="Z50" s="18">
        <v>8.1</v>
      </c>
      <c r="AA50" s="18">
        <v>8.1</v>
      </c>
      <c r="AB50" s="18">
        <v>8.1</v>
      </c>
      <c r="AC50" s="18">
        <v>8.1</v>
      </c>
      <c r="AD50" s="18">
        <v>8</v>
      </c>
      <c r="AE50" s="18">
        <v>8</v>
      </c>
      <c r="AF50" s="18">
        <v>7.9</v>
      </c>
      <c r="AG50" s="18">
        <v>7.9</v>
      </c>
      <c r="AH50" s="18">
        <v>7.9</v>
      </c>
      <c r="AI50" s="18">
        <v>7.9</v>
      </c>
      <c r="AJ50" s="18">
        <v>7.9</v>
      </c>
      <c r="AK50" s="18">
        <v>7.9</v>
      </c>
      <c r="AL50" s="18">
        <v>7.9</v>
      </c>
    </row>
    <row r="52" spans="2:38" ht="14.7" thickBot="1" x14ac:dyDescent="0.6">
      <c r="B52" s="24" t="s">
        <v>124</v>
      </c>
      <c r="C52" s="26">
        <v>29.9</v>
      </c>
      <c r="D52" s="26">
        <v>30.6</v>
      </c>
      <c r="E52" s="26">
        <v>31</v>
      </c>
      <c r="F52" s="26">
        <v>31.1</v>
      </c>
      <c r="G52" s="26">
        <v>31</v>
      </c>
      <c r="H52" s="26">
        <v>31.1</v>
      </c>
      <c r="I52" s="26">
        <v>30.8</v>
      </c>
      <c r="J52" s="26">
        <v>31</v>
      </c>
      <c r="K52" s="26">
        <v>30.2</v>
      </c>
      <c r="L52" s="26">
        <v>29.5</v>
      </c>
      <c r="M52" s="26">
        <v>29.8</v>
      </c>
      <c r="N52" s="26">
        <v>28.3</v>
      </c>
      <c r="O52" s="26">
        <v>28.2</v>
      </c>
      <c r="P52" s="26">
        <v>28.8</v>
      </c>
      <c r="Q52" s="26">
        <v>28.4</v>
      </c>
      <c r="R52" s="26">
        <v>27.3</v>
      </c>
      <c r="S52" s="26">
        <v>26.4</v>
      </c>
      <c r="T52" s="26">
        <v>24.4</v>
      </c>
      <c r="U52" s="26">
        <v>24.8</v>
      </c>
      <c r="V52" s="26">
        <v>24</v>
      </c>
      <c r="W52" s="26">
        <v>23.5</v>
      </c>
      <c r="X52" s="26">
        <v>24</v>
      </c>
      <c r="Y52" s="26">
        <v>23.7</v>
      </c>
      <c r="Z52" s="26">
        <v>23.2</v>
      </c>
      <c r="AA52" s="26">
        <v>24.3</v>
      </c>
      <c r="AB52" s="26">
        <v>24.6</v>
      </c>
      <c r="AC52" s="26">
        <v>24.9</v>
      </c>
      <c r="AD52" s="26">
        <v>25.3</v>
      </c>
      <c r="AE52" s="26">
        <v>24.6</v>
      </c>
      <c r="AF52" s="26">
        <v>24.6</v>
      </c>
      <c r="AG52" s="26">
        <v>24.6</v>
      </c>
      <c r="AH52" s="26">
        <v>25.3</v>
      </c>
      <c r="AI52" s="26">
        <v>25.7</v>
      </c>
      <c r="AJ52" s="26">
        <v>27</v>
      </c>
      <c r="AK52" s="26">
        <v>27.9</v>
      </c>
      <c r="AL52" s="26">
        <v>28.7</v>
      </c>
    </row>
    <row r="53" spans="2:38" ht="14.7" thickTop="1" x14ac:dyDescent="0.55000000000000004"/>
    <row r="54" spans="2:38" x14ac:dyDescent="0.55000000000000004">
      <c r="B54" s="18" t="s">
        <v>135</v>
      </c>
    </row>
    <row r="56" spans="2:38" x14ac:dyDescent="0.55000000000000004">
      <c r="B56" s="18" t="s">
        <v>139</v>
      </c>
    </row>
    <row r="57" spans="2:38" x14ac:dyDescent="0.55000000000000004">
      <c r="B57" t="s">
        <v>136</v>
      </c>
      <c r="C57">
        <v>293861</v>
      </c>
      <c r="D57">
        <v>288899</v>
      </c>
      <c r="E57">
        <v>290678</v>
      </c>
      <c r="F57">
        <v>291718</v>
      </c>
      <c r="G57">
        <v>295011</v>
      </c>
      <c r="H57">
        <v>297336</v>
      </c>
      <c r="I57">
        <v>296995</v>
      </c>
      <c r="J57">
        <v>298483</v>
      </c>
      <c r="K57">
        <v>297356</v>
      </c>
      <c r="L57">
        <v>299311</v>
      </c>
      <c r="M57">
        <v>304428</v>
      </c>
      <c r="N57">
        <v>310365</v>
      </c>
      <c r="O57">
        <v>311082</v>
      </c>
      <c r="P57">
        <v>313465</v>
      </c>
      <c r="Q57">
        <v>327046</v>
      </c>
      <c r="R57">
        <v>358150</v>
      </c>
      <c r="S57">
        <v>382131</v>
      </c>
      <c r="T57">
        <v>392233</v>
      </c>
      <c r="U57">
        <v>420626</v>
      </c>
      <c r="V57">
        <v>419230</v>
      </c>
      <c r="W57">
        <v>426615</v>
      </c>
      <c r="X57">
        <v>431915</v>
      </c>
      <c r="Y57">
        <v>447780</v>
      </c>
      <c r="Z57">
        <v>454317</v>
      </c>
      <c r="AA57">
        <v>448053</v>
      </c>
      <c r="AB57">
        <v>445543</v>
      </c>
      <c r="AC57">
        <v>446066</v>
      </c>
      <c r="AD57">
        <v>441288</v>
      </c>
      <c r="AE57">
        <v>443623</v>
      </c>
      <c r="AF57">
        <v>443522</v>
      </c>
      <c r="AG57">
        <v>442299</v>
      </c>
      <c r="AH57">
        <v>446762</v>
      </c>
      <c r="AI57">
        <v>447981</v>
      </c>
      <c r="AJ57">
        <v>452704</v>
      </c>
      <c r="AK57">
        <v>459675</v>
      </c>
      <c r="AL57">
        <v>458936</v>
      </c>
    </row>
    <row r="58" spans="2:38" x14ac:dyDescent="0.55000000000000004">
      <c r="B58" t="s">
        <v>137</v>
      </c>
      <c r="C58">
        <v>31809</v>
      </c>
      <c r="D58">
        <v>32795</v>
      </c>
      <c r="E58">
        <v>34381</v>
      </c>
      <c r="F58">
        <v>32348</v>
      </c>
      <c r="G58">
        <v>32834</v>
      </c>
      <c r="H58">
        <v>35905</v>
      </c>
      <c r="I58">
        <v>32574</v>
      </c>
      <c r="J58">
        <v>32247</v>
      </c>
      <c r="K58">
        <v>35237</v>
      </c>
      <c r="L58">
        <v>33900</v>
      </c>
      <c r="M58">
        <v>35074</v>
      </c>
      <c r="N58">
        <v>43774</v>
      </c>
      <c r="O58">
        <v>40291</v>
      </c>
      <c r="P58">
        <v>41198</v>
      </c>
      <c r="Q58">
        <v>48536</v>
      </c>
      <c r="R58">
        <v>39639</v>
      </c>
      <c r="S58">
        <v>37810</v>
      </c>
      <c r="T58">
        <v>39003</v>
      </c>
      <c r="U58">
        <v>37609</v>
      </c>
      <c r="V58">
        <v>37299</v>
      </c>
      <c r="W58">
        <v>40234</v>
      </c>
      <c r="X58">
        <v>40266</v>
      </c>
      <c r="Y58">
        <v>40505</v>
      </c>
      <c r="Z58">
        <v>45326</v>
      </c>
      <c r="AA58">
        <v>43451</v>
      </c>
      <c r="AB58">
        <v>44719</v>
      </c>
      <c r="AC58">
        <v>46676</v>
      </c>
      <c r="AD58">
        <v>50831</v>
      </c>
      <c r="AE58">
        <v>52182</v>
      </c>
      <c r="AF58">
        <v>52229</v>
      </c>
      <c r="AG58">
        <v>53099</v>
      </c>
      <c r="AH58">
        <v>53083</v>
      </c>
      <c r="AI58">
        <v>55627</v>
      </c>
      <c r="AJ58">
        <v>58703</v>
      </c>
      <c r="AK58">
        <v>64044</v>
      </c>
      <c r="AL58">
        <v>70008</v>
      </c>
    </row>
    <row r="59" spans="2:38" x14ac:dyDescent="0.55000000000000004">
      <c r="B59" t="s">
        <v>138</v>
      </c>
      <c r="C59">
        <v>72337</v>
      </c>
      <c r="D59">
        <v>72507</v>
      </c>
      <c r="E59">
        <v>81722</v>
      </c>
      <c r="F59">
        <v>73870</v>
      </c>
      <c r="G59">
        <v>75649</v>
      </c>
      <c r="H59">
        <v>87718</v>
      </c>
      <c r="I59">
        <v>80714</v>
      </c>
      <c r="J59">
        <v>83706</v>
      </c>
      <c r="K59">
        <v>94520</v>
      </c>
      <c r="L59">
        <v>89179</v>
      </c>
      <c r="M59">
        <v>95702</v>
      </c>
      <c r="N59">
        <v>115074</v>
      </c>
      <c r="O59">
        <v>94273</v>
      </c>
      <c r="P59">
        <v>95136</v>
      </c>
      <c r="Q59">
        <v>107284</v>
      </c>
      <c r="R59">
        <v>94999</v>
      </c>
      <c r="S59">
        <v>89669</v>
      </c>
      <c r="T59">
        <v>92274</v>
      </c>
      <c r="U59">
        <v>87328</v>
      </c>
      <c r="V59">
        <v>88935</v>
      </c>
      <c r="W59">
        <v>96447</v>
      </c>
      <c r="X59">
        <v>95784</v>
      </c>
      <c r="Y59">
        <v>102359</v>
      </c>
      <c r="Z59">
        <v>126028</v>
      </c>
      <c r="AA59">
        <v>111727</v>
      </c>
      <c r="AB59">
        <v>113717</v>
      </c>
      <c r="AC59">
        <v>128046</v>
      </c>
      <c r="AD59">
        <v>124720</v>
      </c>
      <c r="AE59">
        <v>126349</v>
      </c>
      <c r="AF59">
        <v>144626</v>
      </c>
      <c r="AG59">
        <v>140284</v>
      </c>
      <c r="AH59">
        <v>142718</v>
      </c>
      <c r="AI59">
        <v>155612</v>
      </c>
      <c r="AJ59">
        <v>152229</v>
      </c>
      <c r="AK59">
        <v>156877</v>
      </c>
      <c r="AL59">
        <v>185299</v>
      </c>
    </row>
    <row r="60" spans="2:38" x14ac:dyDescent="0.55000000000000004">
      <c r="B60" t="s">
        <v>116</v>
      </c>
      <c r="C60">
        <v>9269</v>
      </c>
      <c r="D60">
        <v>9624</v>
      </c>
      <c r="E60">
        <v>10313</v>
      </c>
      <c r="F60">
        <v>10054</v>
      </c>
      <c r="G60">
        <v>10276</v>
      </c>
      <c r="H60">
        <v>11330</v>
      </c>
      <c r="I60">
        <v>11816</v>
      </c>
      <c r="J60">
        <v>11586</v>
      </c>
      <c r="K60">
        <v>12063</v>
      </c>
      <c r="L60">
        <v>11848</v>
      </c>
      <c r="M60">
        <v>12103</v>
      </c>
      <c r="N60">
        <v>13634</v>
      </c>
      <c r="O60">
        <v>13011</v>
      </c>
      <c r="P60">
        <v>12291</v>
      </c>
      <c r="Q60">
        <v>13772</v>
      </c>
      <c r="R60">
        <v>11389</v>
      </c>
      <c r="S60">
        <v>10023</v>
      </c>
      <c r="T60">
        <v>11175</v>
      </c>
      <c r="U60">
        <v>11524</v>
      </c>
      <c r="V60">
        <v>11457</v>
      </c>
      <c r="W60">
        <v>12173</v>
      </c>
      <c r="X60">
        <v>12230</v>
      </c>
      <c r="Y60">
        <v>13189</v>
      </c>
      <c r="Z60">
        <v>13366</v>
      </c>
      <c r="AA60">
        <v>12975</v>
      </c>
      <c r="AB60">
        <v>13257</v>
      </c>
      <c r="AC60">
        <v>14120</v>
      </c>
      <c r="AD60">
        <v>13932</v>
      </c>
      <c r="AE60">
        <v>14947</v>
      </c>
      <c r="AF60">
        <v>15905</v>
      </c>
      <c r="AG60">
        <v>15928</v>
      </c>
      <c r="AH60">
        <v>16275</v>
      </c>
      <c r="AI60">
        <v>17429</v>
      </c>
      <c r="AJ60">
        <v>17858</v>
      </c>
      <c r="AK60">
        <v>19158</v>
      </c>
      <c r="AL60">
        <v>20808</v>
      </c>
    </row>
    <row r="61" spans="2:38" x14ac:dyDescent="0.55000000000000004">
      <c r="B61" t="s">
        <v>5</v>
      </c>
      <c r="C61">
        <f t="shared" ref="C61:AG61" si="5">C62-C57-C58-C59-C60</f>
        <v>376194</v>
      </c>
      <c r="D61">
        <f t="shared" si="5"/>
        <v>384419</v>
      </c>
      <c r="E61">
        <f t="shared" si="5"/>
        <v>387268</v>
      </c>
      <c r="F61">
        <f t="shared" si="5"/>
        <v>388484</v>
      </c>
      <c r="G61">
        <f t="shared" si="5"/>
        <v>392206</v>
      </c>
      <c r="H61">
        <f t="shared" si="5"/>
        <v>390488</v>
      </c>
      <c r="I61">
        <f t="shared" si="5"/>
        <v>386467</v>
      </c>
      <c r="J61">
        <f t="shared" si="5"/>
        <v>396063</v>
      </c>
      <c r="K61">
        <f t="shared" si="5"/>
        <v>404388</v>
      </c>
      <c r="L61">
        <f t="shared" si="5"/>
        <v>403680</v>
      </c>
      <c r="M61">
        <f t="shared" si="5"/>
        <v>412881</v>
      </c>
      <c r="N61">
        <f t="shared" si="5"/>
        <v>417712</v>
      </c>
      <c r="O61">
        <f t="shared" si="5"/>
        <v>419052</v>
      </c>
      <c r="P61">
        <f t="shared" si="5"/>
        <v>429418</v>
      </c>
      <c r="Q61">
        <f t="shared" si="5"/>
        <v>482568</v>
      </c>
      <c r="R61">
        <f t="shared" si="5"/>
        <v>489634</v>
      </c>
      <c r="S61">
        <f t="shared" si="5"/>
        <v>484456</v>
      </c>
      <c r="T61">
        <f t="shared" si="5"/>
        <v>476203</v>
      </c>
      <c r="U61">
        <f t="shared" si="5"/>
        <v>463062</v>
      </c>
      <c r="V61">
        <f t="shared" si="5"/>
        <v>469834</v>
      </c>
      <c r="W61">
        <f t="shared" si="5"/>
        <v>465086</v>
      </c>
      <c r="X61">
        <f t="shared" si="5"/>
        <v>469114</v>
      </c>
      <c r="Y61">
        <f t="shared" si="5"/>
        <v>464077</v>
      </c>
      <c r="Z61">
        <f t="shared" si="5"/>
        <v>452174</v>
      </c>
      <c r="AA61">
        <f t="shared" si="5"/>
        <v>462732</v>
      </c>
      <c r="AB61">
        <f t="shared" si="5"/>
        <v>473301</v>
      </c>
      <c r="AC61">
        <f t="shared" si="5"/>
        <v>488757</v>
      </c>
      <c r="AD61">
        <f t="shared" si="5"/>
        <v>494633</v>
      </c>
      <c r="AE61">
        <f t="shared" si="5"/>
        <v>502734</v>
      </c>
      <c r="AF61">
        <f t="shared" si="5"/>
        <v>495079</v>
      </c>
      <c r="AG61">
        <f t="shared" si="5"/>
        <v>499905</v>
      </c>
      <c r="AH61">
        <f>AH62-AH57-AH58-AH59-AH60</f>
        <v>507973</v>
      </c>
      <c r="AI61">
        <f>AI62-AI57-AI58-AI59-AI60</f>
        <v>524087</v>
      </c>
      <c r="AJ61">
        <f>AJ62-AJ57-AJ58-AJ59-AJ60</f>
        <v>535707</v>
      </c>
      <c r="AK61">
        <f>AK62-AK57-AK58-AK59-AK60</f>
        <v>546752</v>
      </c>
      <c r="AL61">
        <f>AL62-AL57-AL58-AL59-AL60</f>
        <v>555829</v>
      </c>
    </row>
    <row r="62" spans="2:38" x14ac:dyDescent="0.55000000000000004">
      <c r="B62" s="18" t="s">
        <v>162</v>
      </c>
      <c r="C62" s="18">
        <v>783470</v>
      </c>
      <c r="D62" s="18">
        <v>788244</v>
      </c>
      <c r="E62" s="18">
        <v>804362</v>
      </c>
      <c r="F62" s="18">
        <v>796474</v>
      </c>
      <c r="G62" s="18">
        <v>805976</v>
      </c>
      <c r="H62" s="18">
        <v>822777</v>
      </c>
      <c r="I62" s="18">
        <v>808566</v>
      </c>
      <c r="J62" s="18">
        <v>822085</v>
      </c>
      <c r="K62" s="18">
        <v>843564</v>
      </c>
      <c r="L62" s="18">
        <v>837918</v>
      </c>
      <c r="M62" s="18">
        <v>860188</v>
      </c>
      <c r="N62" s="18">
        <v>900559</v>
      </c>
      <c r="O62" s="18">
        <v>877709</v>
      </c>
      <c r="P62" s="18">
        <v>891508</v>
      </c>
      <c r="Q62" s="18">
        <v>979206</v>
      </c>
      <c r="R62" s="18">
        <v>993811</v>
      </c>
      <c r="S62" s="18">
        <v>1004089</v>
      </c>
      <c r="T62" s="18">
        <v>1010888</v>
      </c>
      <c r="U62" s="18">
        <v>1020149</v>
      </c>
      <c r="V62" s="18">
        <v>1026755</v>
      </c>
      <c r="W62" s="18">
        <v>1040555</v>
      </c>
      <c r="X62" s="18">
        <v>1049309</v>
      </c>
      <c r="Y62" s="18">
        <v>1067910</v>
      </c>
      <c r="Z62" s="18">
        <v>1091211</v>
      </c>
      <c r="AA62" s="18">
        <v>1078938</v>
      </c>
      <c r="AB62" s="18">
        <v>1090537</v>
      </c>
      <c r="AC62" s="18">
        <v>1123665</v>
      </c>
      <c r="AD62" s="18">
        <v>1125404</v>
      </c>
      <c r="AE62" s="18">
        <v>1139835</v>
      </c>
      <c r="AF62" s="18">
        <v>1151361</v>
      </c>
      <c r="AG62" s="18">
        <v>1151515</v>
      </c>
      <c r="AH62" s="18">
        <v>1166811</v>
      </c>
      <c r="AI62" s="18">
        <v>1200736</v>
      </c>
      <c r="AJ62" s="18">
        <v>1217201</v>
      </c>
      <c r="AK62" s="18">
        <v>1246506</v>
      </c>
      <c r="AL62" s="18">
        <v>1290880</v>
      </c>
    </row>
    <row r="63" spans="2:38" x14ac:dyDescent="0.55000000000000004">
      <c r="B63" s="18"/>
      <c r="C63" s="18"/>
      <c r="D63" s="18"/>
      <c r="E63" s="18"/>
      <c r="F63" s="18"/>
      <c r="G63" s="41">
        <f t="shared" ref="G63:V63" si="6">G62/C62-1</f>
        <v>2.8726052050493278E-2</v>
      </c>
      <c r="H63" s="41">
        <f t="shared" si="6"/>
        <v>4.3810038515992522E-2</v>
      </c>
      <c r="I63" s="41">
        <f t="shared" si="6"/>
        <v>5.2265024951452244E-3</v>
      </c>
      <c r="J63" s="41">
        <f t="shared" si="6"/>
        <v>3.2155475257196198E-2</v>
      </c>
      <c r="K63" s="41">
        <f t="shared" si="6"/>
        <v>4.6636624415615335E-2</v>
      </c>
      <c r="L63" s="41">
        <f t="shared" si="6"/>
        <v>1.8402313141957061E-2</v>
      </c>
      <c r="M63" s="41">
        <f t="shared" si="6"/>
        <v>6.3843891531427222E-2</v>
      </c>
      <c r="N63" s="41">
        <f t="shared" si="6"/>
        <v>9.5457282397805487E-2</v>
      </c>
      <c r="O63" s="41">
        <f t="shared" si="6"/>
        <v>4.0477071093598216E-2</v>
      </c>
      <c r="P63" s="41">
        <f t="shared" si="6"/>
        <v>6.3956138906193782E-2</v>
      </c>
      <c r="Q63" s="41">
        <f t="shared" si="6"/>
        <v>0.13836277650932116</v>
      </c>
      <c r="R63" s="41">
        <f t="shared" si="6"/>
        <v>0.10354901788777848</v>
      </c>
      <c r="S63" s="41">
        <f t="shared" si="6"/>
        <v>0.1439884973265626</v>
      </c>
      <c r="T63" s="41">
        <f t="shared" si="6"/>
        <v>0.13390794025404151</v>
      </c>
      <c r="U63" s="41">
        <f t="shared" si="6"/>
        <v>4.1812448044640238E-2</v>
      </c>
      <c r="V63" s="41">
        <f t="shared" si="6"/>
        <v>3.3149160152181834E-2</v>
      </c>
      <c r="W63" s="41">
        <f>W62/S62-1</f>
        <v>3.6317497751693351E-2</v>
      </c>
      <c r="X63" s="41">
        <f>X62/T62-1</f>
        <v>3.8007177847595441E-2</v>
      </c>
      <c r="Y63" s="41">
        <f t="shared" ref="Y63:AG63" si="7">Y62/U62-1</f>
        <v>4.6817670752017593E-2</v>
      </c>
      <c r="Z63" s="41">
        <f t="shared" si="7"/>
        <v>6.2776416964124948E-2</v>
      </c>
      <c r="AA63" s="41">
        <f t="shared" si="7"/>
        <v>3.6887045855336753E-2</v>
      </c>
      <c r="AB63" s="41">
        <f t="shared" si="7"/>
        <v>3.9290618873944583E-2</v>
      </c>
      <c r="AC63" s="41">
        <f t="shared" si="7"/>
        <v>5.220945585302128E-2</v>
      </c>
      <c r="AD63" s="41">
        <f t="shared" si="7"/>
        <v>3.1334911396604381E-2</v>
      </c>
      <c r="AE63" s="41">
        <f t="shared" si="7"/>
        <v>5.6441612029606958E-2</v>
      </c>
      <c r="AF63" s="41">
        <f t="shared" si="7"/>
        <v>5.5774357036945998E-2</v>
      </c>
      <c r="AG63" s="41">
        <f t="shared" si="7"/>
        <v>2.4784967049787943E-2</v>
      </c>
      <c r="AH63" s="41">
        <f>AH62/AD62-1</f>
        <v>3.679300944371966E-2</v>
      </c>
      <c r="AI63" s="41">
        <f>AI62/AE62-1</f>
        <v>5.3429663065268196E-2</v>
      </c>
      <c r="AJ63" s="41">
        <f>AJ62/AF62-1</f>
        <v>5.7184497303625959E-2</v>
      </c>
      <c r="AK63" s="41">
        <f>AK62/AG62-1</f>
        <v>8.2492195064762575E-2</v>
      </c>
      <c r="AL63" s="41">
        <f>AL62/AH62-1</f>
        <v>0.10633170239224699</v>
      </c>
    </row>
    <row r="64" spans="2:38" x14ac:dyDescent="0.55000000000000004">
      <c r="B64" s="18" t="s">
        <v>160</v>
      </c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 spans="2:38" x14ac:dyDescent="0.55000000000000004">
      <c r="B65" t="str">
        <f>B44</f>
        <v>Rural credit</v>
      </c>
      <c r="C65">
        <v>68205</v>
      </c>
      <c r="D65">
        <v>66652</v>
      </c>
      <c r="E65">
        <v>65200</v>
      </c>
      <c r="F65">
        <v>63890</v>
      </c>
      <c r="G65">
        <v>60340</v>
      </c>
      <c r="H65">
        <v>56842</v>
      </c>
      <c r="I65">
        <v>55250</v>
      </c>
      <c r="J65">
        <v>54767</v>
      </c>
      <c r="K65">
        <v>55284</v>
      </c>
      <c r="L65">
        <v>55815</v>
      </c>
      <c r="M65">
        <v>55155</v>
      </c>
      <c r="N65">
        <v>54194</v>
      </c>
      <c r="O65">
        <v>54030</v>
      </c>
      <c r="P65">
        <v>54078</v>
      </c>
      <c r="Q65">
        <v>54591</v>
      </c>
      <c r="R65">
        <v>56031</v>
      </c>
      <c r="S65">
        <v>55925</v>
      </c>
      <c r="T65">
        <v>54293</v>
      </c>
      <c r="U65">
        <v>53948</v>
      </c>
      <c r="V65">
        <v>52312</v>
      </c>
      <c r="W65">
        <v>52481</v>
      </c>
      <c r="X65">
        <v>49451</v>
      </c>
      <c r="Y65">
        <v>47084</v>
      </c>
      <c r="Z65">
        <v>45086</v>
      </c>
      <c r="AA65">
        <v>44156</v>
      </c>
      <c r="AB65">
        <v>44651</v>
      </c>
      <c r="AC65">
        <v>46787</v>
      </c>
      <c r="AD65">
        <v>47104</v>
      </c>
      <c r="AE65">
        <v>47238</v>
      </c>
      <c r="AF65">
        <v>44415</v>
      </c>
      <c r="AG65">
        <v>43729</v>
      </c>
      <c r="AH65">
        <v>46540</v>
      </c>
      <c r="AI65">
        <v>49218</v>
      </c>
      <c r="AJ65">
        <v>49758</v>
      </c>
      <c r="AK65">
        <v>49711</v>
      </c>
      <c r="AL65">
        <v>53070</v>
      </c>
    </row>
    <row r="66" spans="2:38" x14ac:dyDescent="0.55000000000000004">
      <c r="B66" t="s">
        <v>130</v>
      </c>
      <c r="C66">
        <v>45075</v>
      </c>
      <c r="D66">
        <v>44750</v>
      </c>
      <c r="E66">
        <v>44189</v>
      </c>
      <c r="F66">
        <v>43115</v>
      </c>
      <c r="G66">
        <v>41809</v>
      </c>
      <c r="H66">
        <v>40530</v>
      </c>
      <c r="I66">
        <v>39697</v>
      </c>
      <c r="J66">
        <v>38785</v>
      </c>
      <c r="K66">
        <v>37855</v>
      </c>
      <c r="L66">
        <v>37002</v>
      </c>
      <c r="M66">
        <v>35566</v>
      </c>
      <c r="N66">
        <v>33823</v>
      </c>
      <c r="O66">
        <v>32909</v>
      </c>
      <c r="P66">
        <v>31889</v>
      </c>
      <c r="Q66">
        <v>32327</v>
      </c>
      <c r="R66">
        <v>32840</v>
      </c>
      <c r="S66">
        <v>33301</v>
      </c>
      <c r="T66">
        <v>32681</v>
      </c>
      <c r="U66">
        <v>32229</v>
      </c>
      <c r="V66">
        <v>31381</v>
      </c>
      <c r="W66">
        <v>30278</v>
      </c>
      <c r="X66">
        <v>29815</v>
      </c>
      <c r="Y66">
        <v>29345</v>
      </c>
      <c r="Z66">
        <v>28669</v>
      </c>
      <c r="AA66">
        <v>27913</v>
      </c>
      <c r="AB66">
        <v>27753</v>
      </c>
      <c r="AC66">
        <v>27001</v>
      </c>
      <c r="AD66">
        <v>26829</v>
      </c>
      <c r="AE66">
        <v>26756</v>
      </c>
      <c r="AF66">
        <v>27066</v>
      </c>
      <c r="AG66">
        <v>27269</v>
      </c>
      <c r="AH66">
        <v>27377</v>
      </c>
      <c r="AI66">
        <v>27900</v>
      </c>
      <c r="AJ66">
        <v>28169</v>
      </c>
      <c r="AK66">
        <v>28351</v>
      </c>
      <c r="AL66">
        <v>28640</v>
      </c>
    </row>
    <row r="67" spans="2:38" x14ac:dyDescent="0.55000000000000004">
      <c r="B67" t="s">
        <v>131</v>
      </c>
      <c r="C67">
        <v>434954</v>
      </c>
      <c r="D67">
        <v>433440</v>
      </c>
      <c r="E67">
        <v>431815</v>
      </c>
      <c r="F67">
        <v>427587</v>
      </c>
      <c r="G67">
        <v>423423</v>
      </c>
      <c r="H67">
        <v>411046</v>
      </c>
      <c r="I67">
        <v>405069</v>
      </c>
      <c r="J67">
        <v>406365</v>
      </c>
      <c r="K67">
        <v>402370</v>
      </c>
      <c r="L67">
        <v>396296</v>
      </c>
      <c r="M67">
        <v>394320</v>
      </c>
      <c r="N67">
        <v>382393</v>
      </c>
      <c r="O67">
        <v>380498</v>
      </c>
      <c r="P67">
        <v>377875</v>
      </c>
      <c r="Q67">
        <v>379434</v>
      </c>
      <c r="R67">
        <v>382839</v>
      </c>
      <c r="S67">
        <v>384510</v>
      </c>
      <c r="T67">
        <v>388233</v>
      </c>
      <c r="U67">
        <v>388053</v>
      </c>
      <c r="V67">
        <v>392439</v>
      </c>
      <c r="W67">
        <v>393184</v>
      </c>
      <c r="X67">
        <v>390616</v>
      </c>
      <c r="Y67">
        <v>390154</v>
      </c>
      <c r="Z67">
        <v>389185</v>
      </c>
      <c r="AA67">
        <v>387886</v>
      </c>
      <c r="AB67">
        <v>384779</v>
      </c>
      <c r="AC67">
        <v>384971</v>
      </c>
      <c r="AD67">
        <v>382005</v>
      </c>
      <c r="AE67">
        <v>379448</v>
      </c>
      <c r="AF67">
        <v>374852</v>
      </c>
      <c r="AG67">
        <v>374088</v>
      </c>
      <c r="AH67">
        <v>375094</v>
      </c>
      <c r="AI67">
        <v>378194</v>
      </c>
      <c r="AJ67">
        <v>377659</v>
      </c>
      <c r="AK67">
        <v>374883</v>
      </c>
      <c r="AL67">
        <v>373585</v>
      </c>
    </row>
    <row r="68" spans="2:38" x14ac:dyDescent="0.55000000000000004">
      <c r="B68" t="s">
        <v>5</v>
      </c>
      <c r="C68">
        <f>C69-C65-C66-C67</f>
        <v>91144</v>
      </c>
      <c r="D68">
        <f t="shared" ref="D68:X68" si="8">D69-D65-D66-D67</f>
        <v>90979</v>
      </c>
      <c r="E68">
        <f t="shared" si="8"/>
        <v>90834</v>
      </c>
      <c r="F68">
        <f t="shared" si="8"/>
        <v>88805</v>
      </c>
      <c r="G68">
        <f t="shared" si="8"/>
        <v>88802</v>
      </c>
      <c r="H68">
        <f t="shared" si="8"/>
        <v>87851</v>
      </c>
      <c r="I68">
        <f t="shared" si="8"/>
        <v>87606</v>
      </c>
      <c r="J68">
        <f t="shared" si="8"/>
        <v>88429</v>
      </c>
      <c r="K68">
        <f t="shared" si="8"/>
        <v>87608</v>
      </c>
      <c r="L68">
        <f t="shared" si="8"/>
        <v>87676</v>
      </c>
      <c r="M68">
        <f t="shared" si="8"/>
        <v>88929</v>
      </c>
      <c r="N68">
        <f t="shared" si="8"/>
        <v>89508</v>
      </c>
      <c r="O68">
        <f t="shared" si="8"/>
        <v>88494</v>
      </c>
      <c r="P68">
        <f t="shared" si="8"/>
        <v>88425</v>
      </c>
      <c r="Q68">
        <f t="shared" si="8"/>
        <v>90160</v>
      </c>
      <c r="R68">
        <f t="shared" si="8"/>
        <v>90108</v>
      </c>
      <c r="S68">
        <f t="shared" si="8"/>
        <v>91773</v>
      </c>
      <c r="T68">
        <f t="shared" si="8"/>
        <v>96700</v>
      </c>
      <c r="U68">
        <f t="shared" si="8"/>
        <v>116049</v>
      </c>
      <c r="V68">
        <f t="shared" si="8"/>
        <v>146374</v>
      </c>
      <c r="W68">
        <f t="shared" si="8"/>
        <v>179429</v>
      </c>
      <c r="X68">
        <f t="shared" si="8"/>
        <v>194436</v>
      </c>
      <c r="Y68">
        <v>214721</v>
      </c>
      <c r="Z68">
        <v>224610</v>
      </c>
      <c r="AA68">
        <v>223645</v>
      </c>
      <c r="AB68">
        <v>223941</v>
      </c>
      <c r="AC68">
        <v>224650</v>
      </c>
      <c r="AD68">
        <v>223129</v>
      </c>
      <c r="AE68">
        <v>220648</v>
      </c>
      <c r="AF68">
        <v>218465</v>
      </c>
      <c r="AG68">
        <v>235508</v>
      </c>
      <c r="AH68">
        <v>234000</v>
      </c>
      <c r="AI68">
        <v>236190</v>
      </c>
      <c r="AJ68">
        <v>235236</v>
      </c>
      <c r="AK68">
        <v>232104</v>
      </c>
      <c r="AL68">
        <v>229914</v>
      </c>
    </row>
    <row r="69" spans="2:38" x14ac:dyDescent="0.55000000000000004">
      <c r="B69" s="18" t="s">
        <v>163</v>
      </c>
      <c r="C69" s="18">
        <v>639378</v>
      </c>
      <c r="D69" s="18">
        <v>635821</v>
      </c>
      <c r="E69" s="18">
        <v>632038</v>
      </c>
      <c r="F69" s="18">
        <v>623397</v>
      </c>
      <c r="G69" s="18">
        <v>614374</v>
      </c>
      <c r="H69" s="18">
        <v>596269</v>
      </c>
      <c r="I69" s="18">
        <v>587622</v>
      </c>
      <c r="J69" s="18">
        <v>588346</v>
      </c>
      <c r="K69" s="18">
        <v>583117</v>
      </c>
      <c r="L69" s="18">
        <v>576789</v>
      </c>
      <c r="M69" s="18">
        <v>573970</v>
      </c>
      <c r="N69" s="18">
        <v>559918</v>
      </c>
      <c r="O69" s="18">
        <v>555931</v>
      </c>
      <c r="P69" s="18">
        <v>552267</v>
      </c>
      <c r="Q69" s="18">
        <v>556512</v>
      </c>
      <c r="R69" s="18">
        <v>561818</v>
      </c>
      <c r="S69" s="18">
        <v>565509</v>
      </c>
      <c r="T69" s="18">
        <v>571907</v>
      </c>
      <c r="U69" s="18">
        <v>590279</v>
      </c>
      <c r="V69" s="18">
        <v>622506</v>
      </c>
      <c r="W69" s="18">
        <v>655372</v>
      </c>
      <c r="X69" s="18">
        <v>664318</v>
      </c>
      <c r="Y69" s="18">
        <v>681304</v>
      </c>
      <c r="Z69" s="18">
        <v>687549</v>
      </c>
      <c r="AA69" s="18">
        <v>683600</v>
      </c>
      <c r="AB69" s="18">
        <v>681123</v>
      </c>
      <c r="AC69" s="18">
        <v>683408</v>
      </c>
      <c r="AD69" s="18">
        <v>679067</v>
      </c>
      <c r="AE69" s="18">
        <v>674090</v>
      </c>
      <c r="AF69" s="18">
        <v>664799</v>
      </c>
      <c r="AG69" s="18">
        <v>680593</v>
      </c>
      <c r="AH69" s="18">
        <v>683012</v>
      </c>
      <c r="AI69" s="18">
        <v>691501</v>
      </c>
      <c r="AJ69" s="18">
        <v>690823</v>
      </c>
      <c r="AK69" s="18">
        <v>685049</v>
      </c>
      <c r="AL69" s="18">
        <v>685211</v>
      </c>
    </row>
    <row r="70" spans="2:38" x14ac:dyDescent="0.55000000000000004"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</row>
    <row r="71" spans="2:38" ht="14.7" thickBot="1" x14ac:dyDescent="0.6">
      <c r="B71" s="24" t="s">
        <v>161</v>
      </c>
      <c r="C71" s="24">
        <f>C62+C69</f>
        <v>1422848</v>
      </c>
      <c r="D71" s="24">
        <f t="shared" ref="D71:W71" si="9">D62+D69</f>
        <v>1424065</v>
      </c>
      <c r="E71" s="24">
        <f t="shared" si="9"/>
        <v>1436400</v>
      </c>
      <c r="F71" s="24">
        <f t="shared" si="9"/>
        <v>1419871</v>
      </c>
      <c r="G71" s="24">
        <f t="shared" si="9"/>
        <v>1420350</v>
      </c>
      <c r="H71" s="24">
        <f t="shared" si="9"/>
        <v>1419046</v>
      </c>
      <c r="I71" s="24">
        <f t="shared" si="9"/>
        <v>1396188</v>
      </c>
      <c r="J71" s="24">
        <f t="shared" si="9"/>
        <v>1410431</v>
      </c>
      <c r="K71" s="24">
        <f t="shared" si="9"/>
        <v>1426681</v>
      </c>
      <c r="L71" s="24">
        <f t="shared" si="9"/>
        <v>1414707</v>
      </c>
      <c r="M71" s="24">
        <f t="shared" si="9"/>
        <v>1434158</v>
      </c>
      <c r="N71" s="24">
        <f t="shared" si="9"/>
        <v>1460477</v>
      </c>
      <c r="O71" s="24">
        <f t="shared" si="9"/>
        <v>1433640</v>
      </c>
      <c r="P71" s="24">
        <f t="shared" si="9"/>
        <v>1443775</v>
      </c>
      <c r="Q71" s="24">
        <f t="shared" si="9"/>
        <v>1535718</v>
      </c>
      <c r="R71" s="24">
        <f t="shared" si="9"/>
        <v>1555629</v>
      </c>
      <c r="S71" s="24">
        <f t="shared" si="9"/>
        <v>1569598</v>
      </c>
      <c r="T71" s="24">
        <f t="shared" si="9"/>
        <v>1582795</v>
      </c>
      <c r="U71" s="24">
        <f t="shared" si="9"/>
        <v>1610428</v>
      </c>
      <c r="V71" s="24">
        <f t="shared" si="9"/>
        <v>1649261</v>
      </c>
      <c r="W71" s="24">
        <f t="shared" si="9"/>
        <v>1695927</v>
      </c>
      <c r="X71" s="24">
        <f>X62+X69</f>
        <v>1713627</v>
      </c>
      <c r="Y71" s="24">
        <f>Y62+Y69</f>
        <v>1749214</v>
      </c>
      <c r="Z71" s="24">
        <f>Z62+Z69</f>
        <v>1778760</v>
      </c>
      <c r="AA71" s="24">
        <f t="shared" ref="AA71:AG71" si="10">AA62+AA69</f>
        <v>1762538</v>
      </c>
      <c r="AB71" s="24">
        <f t="shared" si="10"/>
        <v>1771660</v>
      </c>
      <c r="AC71" s="24">
        <f t="shared" si="10"/>
        <v>1807073</v>
      </c>
      <c r="AD71" s="24">
        <f t="shared" si="10"/>
        <v>1804471</v>
      </c>
      <c r="AE71" s="24">
        <f t="shared" si="10"/>
        <v>1813925</v>
      </c>
      <c r="AF71" s="24">
        <f t="shared" si="10"/>
        <v>1816160</v>
      </c>
      <c r="AG71" s="24">
        <f t="shared" si="10"/>
        <v>1832108</v>
      </c>
      <c r="AH71" s="24">
        <f>AH62+AH69</f>
        <v>1849823</v>
      </c>
      <c r="AI71" s="24">
        <f>AI62+AI69</f>
        <v>1892237</v>
      </c>
      <c r="AJ71" s="24">
        <f>AJ62+AJ69</f>
        <v>1908024</v>
      </c>
      <c r="AK71" s="24">
        <f>AK62+AK69</f>
        <v>1931555</v>
      </c>
      <c r="AL71" s="24">
        <f>AL62+AL69</f>
        <v>1976091</v>
      </c>
    </row>
    <row r="72" spans="2:38" ht="14.7" thickTop="1" x14ac:dyDescent="0.55000000000000004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</row>
    <row r="73" spans="2:38" x14ac:dyDescent="0.55000000000000004">
      <c r="B73" s="18" t="s">
        <v>675</v>
      </c>
      <c r="C73" s="18">
        <f t="shared" ref="C73:W73" si="11">C71+C26</f>
        <v>3236914</v>
      </c>
      <c r="D73" s="18">
        <f t="shared" si="11"/>
        <v>3247233</v>
      </c>
      <c r="E73" s="18">
        <f t="shared" si="11"/>
        <v>3272681</v>
      </c>
      <c r="F73" s="18">
        <f t="shared" si="11"/>
        <v>3272407</v>
      </c>
      <c r="G73" s="18">
        <f t="shared" si="11"/>
        <v>3291001</v>
      </c>
      <c r="H73" s="18">
        <f t="shared" si="11"/>
        <v>3301372</v>
      </c>
      <c r="I73" s="18">
        <f t="shared" si="11"/>
        <v>3294991</v>
      </c>
      <c r="J73" s="18">
        <f t="shared" si="11"/>
        <v>3331728</v>
      </c>
      <c r="K73" s="18">
        <f t="shared" si="11"/>
        <v>3367985</v>
      </c>
      <c r="L73" s="18">
        <f t="shared" si="11"/>
        <v>3380368</v>
      </c>
      <c r="M73" s="18">
        <f t="shared" si="11"/>
        <v>3421828</v>
      </c>
      <c r="N73" s="18">
        <f t="shared" si="11"/>
        <v>3478331</v>
      </c>
      <c r="O73" s="18">
        <f t="shared" si="11"/>
        <v>3468496</v>
      </c>
      <c r="P73" s="18">
        <f t="shared" si="11"/>
        <v>3487508</v>
      </c>
      <c r="Q73" s="18">
        <f t="shared" si="11"/>
        <v>3585690</v>
      </c>
      <c r="R73" s="18">
        <f t="shared" si="11"/>
        <v>3584983</v>
      </c>
      <c r="S73" s="18">
        <f t="shared" si="11"/>
        <v>3596619</v>
      </c>
      <c r="T73" s="18">
        <f t="shared" si="11"/>
        <v>3623048</v>
      </c>
      <c r="U73" s="18">
        <f t="shared" si="11"/>
        <v>3669119</v>
      </c>
      <c r="V73" s="18">
        <f t="shared" si="11"/>
        <v>3741395</v>
      </c>
      <c r="W73" s="18">
        <f t="shared" si="11"/>
        <v>3819067</v>
      </c>
      <c r="X73" s="18">
        <f t="shared" ref="X73:AL73" si="12">X71+X26</f>
        <v>3871820</v>
      </c>
      <c r="Y73" s="18">
        <f t="shared" si="12"/>
        <v>3956017</v>
      </c>
      <c r="Z73" s="18">
        <f t="shared" si="12"/>
        <v>4020943</v>
      </c>
      <c r="AA73" s="18">
        <f t="shared" si="12"/>
        <v>4017007</v>
      </c>
      <c r="AB73" s="18">
        <f t="shared" si="12"/>
        <v>4043500</v>
      </c>
      <c r="AC73" s="18">
        <f t="shared" si="12"/>
        <v>4105476</v>
      </c>
      <c r="AD73" s="18">
        <f t="shared" si="12"/>
        <v>4127481</v>
      </c>
      <c r="AE73" s="18">
        <f t="shared" si="12"/>
        <v>4175940</v>
      </c>
      <c r="AF73" s="18">
        <f t="shared" si="12"/>
        <v>4215426</v>
      </c>
      <c r="AG73" s="18">
        <f t="shared" si="12"/>
        <v>4270141</v>
      </c>
      <c r="AH73" s="18">
        <f t="shared" si="12"/>
        <v>4338627</v>
      </c>
      <c r="AI73" s="18">
        <f t="shared" si="12"/>
        <v>4441985</v>
      </c>
      <c r="AJ73" s="18">
        <f t="shared" si="12"/>
        <v>4511955</v>
      </c>
      <c r="AK73" s="18">
        <f t="shared" si="12"/>
        <v>4595219</v>
      </c>
      <c r="AL73" s="18">
        <f t="shared" si="12"/>
        <v>4684228</v>
      </c>
    </row>
    <row r="74" spans="2:38" x14ac:dyDescent="0.55000000000000004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</row>
    <row r="75" spans="2:38" x14ac:dyDescent="0.55000000000000004">
      <c r="B75" s="18" t="s">
        <v>140</v>
      </c>
    </row>
    <row r="76" spans="2:38" x14ac:dyDescent="0.55000000000000004">
      <c r="B76" t="str">
        <f>B57</f>
        <v>Working Capital</v>
      </c>
      <c r="C76" s="13">
        <v>19.3</v>
      </c>
      <c r="D76" s="13">
        <v>19.100000000000001</v>
      </c>
      <c r="E76" s="13">
        <v>19</v>
      </c>
      <c r="F76" s="13">
        <v>18.899999999999999</v>
      </c>
      <c r="G76" s="13">
        <v>18.7</v>
      </c>
      <c r="H76" s="13">
        <v>18.5</v>
      </c>
      <c r="I76" s="13">
        <v>18.3</v>
      </c>
      <c r="J76" s="13">
        <v>18.2</v>
      </c>
      <c r="K76" s="13">
        <v>17.899999999999999</v>
      </c>
      <c r="L76" s="13">
        <v>17.600000000000001</v>
      </c>
      <c r="M76" s="13">
        <v>17.399999999999999</v>
      </c>
      <c r="N76" s="13">
        <v>17</v>
      </c>
      <c r="O76" s="13">
        <v>16.8</v>
      </c>
      <c r="P76" s="13">
        <v>16.8</v>
      </c>
      <c r="Q76" s="13">
        <v>16.5</v>
      </c>
      <c r="R76" s="13">
        <v>15.7</v>
      </c>
      <c r="S76" s="13">
        <v>15.1</v>
      </c>
      <c r="T76" s="13">
        <v>14.7</v>
      </c>
      <c r="U76" s="13">
        <v>14.1</v>
      </c>
      <c r="V76" s="13">
        <v>14</v>
      </c>
      <c r="W76" s="13">
        <v>13.7</v>
      </c>
      <c r="X76" s="13">
        <v>13.6</v>
      </c>
      <c r="Y76" s="13">
        <v>13.4</v>
      </c>
      <c r="Z76" s="13">
        <v>13.1</v>
      </c>
      <c r="AA76" s="13">
        <v>13.3</v>
      </c>
      <c r="AB76" s="13">
        <v>13.3</v>
      </c>
      <c r="AC76" s="13">
        <v>13.4</v>
      </c>
      <c r="AD76" s="13">
        <v>13.5</v>
      </c>
      <c r="AE76" s="13">
        <v>13.6</v>
      </c>
      <c r="AF76" s="13">
        <v>13.8</v>
      </c>
      <c r="AG76" s="13">
        <v>13.9</v>
      </c>
      <c r="AH76" s="13">
        <v>14.1</v>
      </c>
      <c r="AI76" s="13">
        <v>14.3</v>
      </c>
      <c r="AJ76" s="13">
        <v>14.8</v>
      </c>
      <c r="AK76" s="13">
        <v>15.3</v>
      </c>
      <c r="AL76" s="13">
        <v>15.7</v>
      </c>
    </row>
    <row r="77" spans="2:38" x14ac:dyDescent="0.55000000000000004">
      <c r="B77" t="str">
        <f>B58</f>
        <v>Discounted credit card bills</v>
      </c>
      <c r="C77" s="13">
        <v>18.3</v>
      </c>
      <c r="D77" s="13">
        <v>17.7</v>
      </c>
      <c r="E77" s="13">
        <v>16.7</v>
      </c>
      <c r="F77" s="13">
        <v>16.600000000000001</v>
      </c>
      <c r="G77" s="13">
        <v>16.399999999999999</v>
      </c>
      <c r="H77" s="13">
        <v>15.2</v>
      </c>
      <c r="I77" s="13">
        <v>15.4</v>
      </c>
      <c r="J77" s="13">
        <v>15.1</v>
      </c>
      <c r="K77" s="13">
        <v>14.1</v>
      </c>
      <c r="L77" s="13">
        <v>13.8</v>
      </c>
      <c r="M77" s="13">
        <v>13.3</v>
      </c>
      <c r="N77" s="13">
        <v>11.7</v>
      </c>
      <c r="O77" s="13">
        <v>11.2</v>
      </c>
      <c r="P77" s="13">
        <v>10.4</v>
      </c>
      <c r="Q77" s="13">
        <v>9.8000000000000007</v>
      </c>
      <c r="R77" s="13">
        <v>9.8000000000000007</v>
      </c>
      <c r="S77" s="13">
        <v>9.1999999999999993</v>
      </c>
      <c r="T77" s="13">
        <v>9</v>
      </c>
      <c r="U77" s="13">
        <v>8.6999999999999993</v>
      </c>
      <c r="V77" s="13">
        <v>8.8000000000000007</v>
      </c>
      <c r="W77" s="13">
        <v>8.5</v>
      </c>
      <c r="X77" s="13">
        <v>8.6</v>
      </c>
      <c r="Y77" s="13">
        <v>8.5</v>
      </c>
      <c r="Z77" s="13">
        <v>8.8000000000000007</v>
      </c>
      <c r="AA77" s="13">
        <v>9</v>
      </c>
      <c r="AB77" s="13">
        <v>8.8000000000000007</v>
      </c>
      <c r="AC77" s="13">
        <v>8.6</v>
      </c>
      <c r="AD77" s="13">
        <v>8.9</v>
      </c>
      <c r="AE77" s="13">
        <v>9.4</v>
      </c>
      <c r="AF77" s="13">
        <v>9.6999999999999993</v>
      </c>
      <c r="AG77" s="13">
        <v>10.199999999999999</v>
      </c>
      <c r="AH77" s="13">
        <v>10.5</v>
      </c>
      <c r="AI77" s="13">
        <v>11</v>
      </c>
      <c r="AJ77" s="13">
        <v>11.9</v>
      </c>
      <c r="AK77" s="13">
        <v>13</v>
      </c>
      <c r="AL77" s="13">
        <v>13.7</v>
      </c>
    </row>
    <row r="78" spans="2:38" x14ac:dyDescent="0.55000000000000004">
      <c r="B78" t="str">
        <f>B59</f>
        <v>Discounted trade bills, credit receivables</v>
      </c>
      <c r="C78" s="13">
        <v>20</v>
      </c>
      <c r="D78" s="13">
        <v>20.399999999999999</v>
      </c>
      <c r="E78" s="13">
        <v>19.7</v>
      </c>
      <c r="F78" s="13">
        <v>20.2</v>
      </c>
      <c r="G78" s="13">
        <v>19.5</v>
      </c>
      <c r="H78" s="13">
        <v>18.7</v>
      </c>
      <c r="I78" s="13">
        <v>19.100000000000001</v>
      </c>
      <c r="J78" s="13">
        <v>18.600000000000001</v>
      </c>
      <c r="K78" s="13">
        <v>17.600000000000001</v>
      </c>
      <c r="L78" s="13">
        <v>17.5</v>
      </c>
      <c r="M78" s="13">
        <v>16.899999999999999</v>
      </c>
      <c r="N78" s="13">
        <v>16.100000000000001</v>
      </c>
      <c r="O78" s="13">
        <v>16.7</v>
      </c>
      <c r="P78" s="13">
        <v>16.2</v>
      </c>
      <c r="Q78" s="13">
        <v>15.5</v>
      </c>
      <c r="R78" s="13">
        <v>15.5</v>
      </c>
      <c r="S78" s="13">
        <v>15.3</v>
      </c>
      <c r="T78" s="13">
        <v>14.2</v>
      </c>
      <c r="U78" s="13">
        <v>13.6</v>
      </c>
      <c r="V78" s="13">
        <v>13</v>
      </c>
      <c r="W78" s="13">
        <v>12.1</v>
      </c>
      <c r="X78" s="13">
        <v>11.8</v>
      </c>
      <c r="Y78" s="13">
        <v>11.4</v>
      </c>
      <c r="Z78" s="13">
        <v>10.6</v>
      </c>
      <c r="AA78" s="13">
        <v>11</v>
      </c>
      <c r="AB78" s="13">
        <v>11.1</v>
      </c>
      <c r="AC78" s="13">
        <v>10.7</v>
      </c>
      <c r="AD78" s="13">
        <v>10.9</v>
      </c>
      <c r="AE78" s="13">
        <v>11.3</v>
      </c>
      <c r="AF78" s="13">
        <v>11</v>
      </c>
      <c r="AG78" s="13">
        <v>11.5</v>
      </c>
      <c r="AH78" s="13">
        <v>11.9</v>
      </c>
      <c r="AI78" s="13">
        <v>12.2</v>
      </c>
      <c r="AJ78" s="13">
        <v>12.9</v>
      </c>
      <c r="AK78" s="13">
        <v>13.9</v>
      </c>
      <c r="AL78" s="13">
        <v>14.7</v>
      </c>
    </row>
    <row r="79" spans="2:38" x14ac:dyDescent="0.55000000000000004">
      <c r="B79" t="str">
        <f>B60</f>
        <v>Credit cards</v>
      </c>
      <c r="C79" s="13">
        <v>25.1</v>
      </c>
      <c r="D79" s="13">
        <v>25.1</v>
      </c>
      <c r="E79" s="13">
        <v>27.1</v>
      </c>
      <c r="F79" s="13">
        <v>23.8</v>
      </c>
      <c r="G79" s="13">
        <v>24.6</v>
      </c>
      <c r="H79" s="13">
        <v>30.9</v>
      </c>
      <c r="I79" s="13">
        <v>28</v>
      </c>
      <c r="J79" s="13">
        <v>25.3</v>
      </c>
      <c r="K79" s="13">
        <v>25.6</v>
      </c>
      <c r="L79" s="13">
        <v>20.3</v>
      </c>
      <c r="M79" s="13">
        <v>21.7</v>
      </c>
      <c r="N79" s="13">
        <v>31.8</v>
      </c>
      <c r="O79" s="13">
        <v>32.799999999999997</v>
      </c>
      <c r="P79" s="13">
        <v>25</v>
      </c>
      <c r="Q79" s="13">
        <v>36.4</v>
      </c>
      <c r="R79" s="13">
        <v>43.8</v>
      </c>
      <c r="S79" s="13">
        <v>29.8</v>
      </c>
      <c r="T79" s="13">
        <v>31.9</v>
      </c>
      <c r="U79" s="13">
        <v>26.5</v>
      </c>
      <c r="V79" s="13">
        <v>20.3</v>
      </c>
      <c r="W79" s="13">
        <v>20.399999999999999</v>
      </c>
      <c r="X79" s="13">
        <v>18</v>
      </c>
      <c r="Y79" s="13">
        <v>16.100000000000001</v>
      </c>
      <c r="Z79" s="13">
        <v>16.2</v>
      </c>
      <c r="AA79" s="13">
        <v>16.8</v>
      </c>
      <c r="AB79" s="13">
        <v>18.100000000000001</v>
      </c>
      <c r="AC79" s="13">
        <v>19.5</v>
      </c>
      <c r="AD79" s="13">
        <v>17.3</v>
      </c>
      <c r="AE79" s="13">
        <v>17.3</v>
      </c>
      <c r="AF79" s="13">
        <v>19</v>
      </c>
      <c r="AG79" s="13">
        <v>16.2</v>
      </c>
      <c r="AH79" s="13">
        <v>16.8</v>
      </c>
      <c r="AI79" s="13">
        <v>19.2</v>
      </c>
      <c r="AJ79" s="13">
        <v>18.399999999999999</v>
      </c>
      <c r="AK79" s="13">
        <v>17.600000000000001</v>
      </c>
      <c r="AL79" s="13">
        <v>23.7</v>
      </c>
    </row>
    <row r="80" spans="2:38" x14ac:dyDescent="0.55000000000000004">
      <c r="B80" s="18" t="str">
        <f>B62</f>
        <v>Total non-Earmarked</v>
      </c>
      <c r="C80" s="27">
        <v>19.3</v>
      </c>
      <c r="D80" s="27">
        <v>19.2</v>
      </c>
      <c r="E80" s="27">
        <v>19</v>
      </c>
      <c r="F80" s="27">
        <v>19.100000000000001</v>
      </c>
      <c r="G80" s="27">
        <v>18.8</v>
      </c>
      <c r="H80" s="27">
        <v>18.7</v>
      </c>
      <c r="I80" s="27">
        <v>18.600000000000001</v>
      </c>
      <c r="J80" s="27">
        <v>18.2</v>
      </c>
      <c r="K80" s="27">
        <v>17.899999999999999</v>
      </c>
      <c r="L80" s="27">
        <v>17.600000000000001</v>
      </c>
      <c r="M80" s="27">
        <v>17.399999999999999</v>
      </c>
      <c r="N80" s="27">
        <v>16.899999999999999</v>
      </c>
      <c r="O80" s="27">
        <v>17</v>
      </c>
      <c r="P80" s="27">
        <v>16.899999999999999</v>
      </c>
      <c r="Q80" s="27">
        <v>16.2</v>
      </c>
      <c r="R80" s="27">
        <v>15.4</v>
      </c>
      <c r="S80" s="27">
        <v>14.6</v>
      </c>
      <c r="T80" s="27">
        <v>14.2</v>
      </c>
      <c r="U80" s="27">
        <v>13.7</v>
      </c>
      <c r="V80" s="27">
        <v>13.5</v>
      </c>
      <c r="W80" s="27">
        <v>13.2</v>
      </c>
      <c r="X80" s="27">
        <v>13.1</v>
      </c>
      <c r="Y80" s="27">
        <v>13.1</v>
      </c>
      <c r="Z80" s="27">
        <v>12.7</v>
      </c>
      <c r="AA80" s="27">
        <v>13.2</v>
      </c>
      <c r="AB80" s="27">
        <v>13.2</v>
      </c>
      <c r="AC80" s="27">
        <v>13.1</v>
      </c>
      <c r="AD80" s="27">
        <v>13.1</v>
      </c>
      <c r="AE80" s="27">
        <v>13.3</v>
      </c>
      <c r="AF80" s="27">
        <v>13.5</v>
      </c>
      <c r="AG80" s="27">
        <v>13.7</v>
      </c>
      <c r="AH80" s="27">
        <v>14</v>
      </c>
      <c r="AI80" s="27">
        <v>14.3</v>
      </c>
      <c r="AJ80" s="27">
        <v>14.8</v>
      </c>
      <c r="AK80" s="27">
        <v>15.3</v>
      </c>
      <c r="AL80" s="27">
        <v>15.6</v>
      </c>
    </row>
    <row r="82" spans="2:38" x14ac:dyDescent="0.55000000000000004">
      <c r="B82" t="str">
        <f>B64</f>
        <v xml:space="preserve">Earmarked </v>
      </c>
    </row>
    <row r="83" spans="2:38" x14ac:dyDescent="0.55000000000000004">
      <c r="B83" t="str">
        <f>B65</f>
        <v>Rural credit</v>
      </c>
      <c r="C83">
        <v>9.1</v>
      </c>
      <c r="D83">
        <v>9.1</v>
      </c>
      <c r="E83">
        <v>9.1</v>
      </c>
      <c r="F83">
        <v>9.1</v>
      </c>
      <c r="G83">
        <v>9.1</v>
      </c>
      <c r="H83">
        <v>9</v>
      </c>
      <c r="I83">
        <v>8.9</v>
      </c>
      <c r="J83">
        <v>8.6999999999999993</v>
      </c>
      <c r="K83">
        <v>8.5</v>
      </c>
      <c r="L83">
        <v>8.3000000000000007</v>
      </c>
      <c r="M83">
        <v>8.1</v>
      </c>
      <c r="N83">
        <v>8</v>
      </c>
      <c r="O83">
        <v>7.9</v>
      </c>
      <c r="P83">
        <v>7.9</v>
      </c>
      <c r="Q83">
        <v>7.7</v>
      </c>
      <c r="R83">
        <v>7.5</v>
      </c>
      <c r="S83">
        <v>7.4</v>
      </c>
      <c r="T83">
        <v>7.2</v>
      </c>
      <c r="U83">
        <v>7</v>
      </c>
      <c r="V83">
        <v>6.8</v>
      </c>
      <c r="W83">
        <v>6.5</v>
      </c>
      <c r="X83">
        <v>6.4</v>
      </c>
      <c r="Y83">
        <v>6.2</v>
      </c>
      <c r="Z83">
        <v>6.1</v>
      </c>
      <c r="AA83">
        <v>6.1</v>
      </c>
      <c r="AB83">
        <v>6.1</v>
      </c>
      <c r="AC83">
        <v>6.1</v>
      </c>
      <c r="AD83">
        <v>6.1</v>
      </c>
      <c r="AE83">
        <v>6.1</v>
      </c>
      <c r="AF83">
        <v>6.1</v>
      </c>
      <c r="AG83">
        <v>6.2</v>
      </c>
      <c r="AH83">
        <v>6.4</v>
      </c>
      <c r="AI83">
        <v>6.8</v>
      </c>
      <c r="AJ83">
        <v>7.1</v>
      </c>
      <c r="AK83">
        <v>7.4</v>
      </c>
      <c r="AL83">
        <v>7.8</v>
      </c>
    </row>
    <row r="84" spans="2:38" x14ac:dyDescent="0.55000000000000004">
      <c r="B84" t="str">
        <f>B66</f>
        <v>Real estate</v>
      </c>
      <c r="C84">
        <v>11.3</v>
      </c>
      <c r="D84">
        <v>11.3</v>
      </c>
      <c r="E84">
        <v>11.3</v>
      </c>
      <c r="F84">
        <v>11.3</v>
      </c>
      <c r="G84">
        <v>11.2</v>
      </c>
      <c r="H84">
        <v>11.2</v>
      </c>
      <c r="I84">
        <v>11.2</v>
      </c>
      <c r="J84">
        <v>11.2</v>
      </c>
      <c r="K84">
        <v>11.2</v>
      </c>
      <c r="L84">
        <v>11.1</v>
      </c>
      <c r="M84">
        <v>11.1</v>
      </c>
      <c r="N84">
        <v>11.1</v>
      </c>
      <c r="O84">
        <v>11</v>
      </c>
      <c r="P84">
        <v>11</v>
      </c>
      <c r="Q84">
        <v>10.9</v>
      </c>
      <c r="R84">
        <v>10.9</v>
      </c>
      <c r="S84">
        <v>10.9</v>
      </c>
      <c r="T84">
        <v>10.8</v>
      </c>
      <c r="U84">
        <v>10.7</v>
      </c>
      <c r="V84">
        <v>10.7</v>
      </c>
      <c r="W84">
        <v>10.7</v>
      </c>
      <c r="X84">
        <v>10.7</v>
      </c>
      <c r="Y84">
        <v>10.6</v>
      </c>
      <c r="Z84">
        <v>10.6</v>
      </c>
      <c r="AA84">
        <v>10.5</v>
      </c>
      <c r="AB84">
        <v>10.5</v>
      </c>
      <c r="AC84">
        <v>10.4</v>
      </c>
      <c r="AD84">
        <v>10.4</v>
      </c>
      <c r="AE84">
        <v>10.3</v>
      </c>
      <c r="AF84">
        <v>10.199999999999999</v>
      </c>
      <c r="AG84">
        <v>10.1</v>
      </c>
      <c r="AH84">
        <v>10</v>
      </c>
      <c r="AI84">
        <v>9.5</v>
      </c>
      <c r="AJ84">
        <v>9.4</v>
      </c>
      <c r="AK84">
        <v>9.4</v>
      </c>
      <c r="AL84">
        <v>9.3000000000000007</v>
      </c>
    </row>
    <row r="85" spans="2:38" x14ac:dyDescent="0.55000000000000004">
      <c r="B85" t="str">
        <f>B67</f>
        <v>BNDES</v>
      </c>
    </row>
    <row r="86" spans="2:38" x14ac:dyDescent="0.55000000000000004">
      <c r="B86" t="s">
        <v>164</v>
      </c>
      <c r="C86">
        <v>14</v>
      </c>
      <c r="D86">
        <v>14</v>
      </c>
      <c r="E86">
        <v>13.8</v>
      </c>
      <c r="F86">
        <v>13.8</v>
      </c>
      <c r="G86">
        <v>13.8</v>
      </c>
      <c r="H86">
        <v>13.8</v>
      </c>
      <c r="I86">
        <v>14.2</v>
      </c>
      <c r="J86">
        <v>14.2</v>
      </c>
      <c r="K86">
        <v>14.1</v>
      </c>
      <c r="L86">
        <v>14</v>
      </c>
      <c r="M86">
        <v>13.9</v>
      </c>
      <c r="N86">
        <v>14</v>
      </c>
      <c r="O86">
        <v>13.9</v>
      </c>
      <c r="P86">
        <v>13.9</v>
      </c>
      <c r="Q86">
        <v>13.8</v>
      </c>
      <c r="R86">
        <v>12.9</v>
      </c>
      <c r="S86">
        <v>12.2</v>
      </c>
      <c r="T86">
        <v>11.4</v>
      </c>
      <c r="U86">
        <v>10.7</v>
      </c>
      <c r="V86">
        <v>10.7</v>
      </c>
      <c r="W86">
        <v>10.199999999999999</v>
      </c>
      <c r="X86">
        <v>10</v>
      </c>
      <c r="Y86">
        <v>9.9</v>
      </c>
      <c r="Z86">
        <v>9.6999999999999993</v>
      </c>
      <c r="AA86">
        <v>9.6999999999999993</v>
      </c>
      <c r="AB86">
        <v>9.6</v>
      </c>
      <c r="AC86">
        <v>9.6</v>
      </c>
      <c r="AD86">
        <v>9.6</v>
      </c>
      <c r="AE86">
        <v>9.6999999999999993</v>
      </c>
      <c r="AF86">
        <v>10</v>
      </c>
      <c r="AG86">
        <v>10.1</v>
      </c>
      <c r="AH86">
        <v>10.199999999999999</v>
      </c>
      <c r="AI86">
        <v>10.3</v>
      </c>
      <c r="AJ86">
        <v>10.3</v>
      </c>
      <c r="AK86">
        <v>10.4</v>
      </c>
      <c r="AL86">
        <v>10.6</v>
      </c>
    </row>
    <row r="87" spans="2:38" x14ac:dyDescent="0.55000000000000004">
      <c r="B87" t="s">
        <v>133</v>
      </c>
      <c r="C87">
        <v>8.6999999999999993</v>
      </c>
      <c r="D87">
        <v>8.6999999999999993</v>
      </c>
      <c r="E87">
        <v>8.6999999999999993</v>
      </c>
      <c r="F87">
        <v>8.8000000000000007</v>
      </c>
      <c r="G87">
        <v>8.8000000000000007</v>
      </c>
      <c r="H87">
        <v>8.8000000000000007</v>
      </c>
      <c r="I87">
        <v>8.6999999999999993</v>
      </c>
      <c r="J87">
        <v>8.6999999999999993</v>
      </c>
      <c r="K87">
        <v>8.6999999999999993</v>
      </c>
      <c r="L87">
        <v>8.6999999999999993</v>
      </c>
      <c r="M87">
        <v>8.6999999999999993</v>
      </c>
      <c r="N87">
        <v>8.6999999999999993</v>
      </c>
      <c r="O87">
        <v>8.6999999999999993</v>
      </c>
      <c r="P87">
        <v>8.6999999999999993</v>
      </c>
      <c r="Q87">
        <v>8.6999999999999993</v>
      </c>
      <c r="R87">
        <v>8.6999999999999993</v>
      </c>
      <c r="S87">
        <v>8.6999999999999993</v>
      </c>
      <c r="T87">
        <v>8.6</v>
      </c>
      <c r="U87">
        <v>8.6</v>
      </c>
      <c r="V87">
        <v>8.6</v>
      </c>
      <c r="W87">
        <v>8.6</v>
      </c>
      <c r="X87">
        <v>8.6</v>
      </c>
      <c r="Y87">
        <v>8.6</v>
      </c>
      <c r="Z87">
        <v>8.6</v>
      </c>
      <c r="AA87">
        <v>8.6</v>
      </c>
      <c r="AB87">
        <v>8.6</v>
      </c>
      <c r="AC87">
        <v>8.6</v>
      </c>
      <c r="AD87">
        <v>8.6</v>
      </c>
      <c r="AE87">
        <v>8.6</v>
      </c>
      <c r="AF87">
        <v>8.6</v>
      </c>
      <c r="AG87">
        <v>8.6</v>
      </c>
      <c r="AH87">
        <v>8.6</v>
      </c>
      <c r="AI87">
        <v>8.6</v>
      </c>
      <c r="AJ87">
        <v>8.6</v>
      </c>
      <c r="AK87">
        <v>8.6999999999999993</v>
      </c>
      <c r="AL87">
        <v>8.6999999999999993</v>
      </c>
    </row>
    <row r="88" spans="2:38" x14ac:dyDescent="0.55000000000000004">
      <c r="B88" t="s">
        <v>134</v>
      </c>
      <c r="C88">
        <v>7.2</v>
      </c>
      <c r="D88">
        <v>7.3</v>
      </c>
      <c r="E88">
        <v>7.3</v>
      </c>
      <c r="F88">
        <v>7.3</v>
      </c>
      <c r="G88">
        <v>7.3</v>
      </c>
      <c r="H88">
        <v>7.3</v>
      </c>
      <c r="I88">
        <v>7.3</v>
      </c>
      <c r="J88">
        <v>7.3</v>
      </c>
      <c r="K88">
        <v>7.3</v>
      </c>
      <c r="L88">
        <v>7.3</v>
      </c>
      <c r="M88">
        <v>7.3</v>
      </c>
      <c r="N88">
        <v>7.3</v>
      </c>
      <c r="O88">
        <v>7.3</v>
      </c>
      <c r="P88">
        <v>7.3</v>
      </c>
      <c r="Q88">
        <v>7.3</v>
      </c>
      <c r="R88">
        <v>7.3</v>
      </c>
      <c r="S88">
        <v>7.3</v>
      </c>
      <c r="T88">
        <v>7.3</v>
      </c>
      <c r="U88">
        <v>7.4</v>
      </c>
      <c r="V88">
        <v>7.3</v>
      </c>
      <c r="W88">
        <v>7.3</v>
      </c>
      <c r="X88">
        <v>7.3</v>
      </c>
      <c r="Y88">
        <v>7.3</v>
      </c>
      <c r="Z88">
        <v>7.3</v>
      </c>
      <c r="AA88">
        <v>7.3</v>
      </c>
      <c r="AB88">
        <v>7.3</v>
      </c>
      <c r="AC88">
        <v>7.4</v>
      </c>
      <c r="AD88">
        <v>7.4</v>
      </c>
      <c r="AE88">
        <v>7.4</v>
      </c>
      <c r="AF88">
        <v>7.4</v>
      </c>
      <c r="AG88">
        <v>7.4</v>
      </c>
      <c r="AH88">
        <v>7.4</v>
      </c>
      <c r="AI88">
        <v>7.5</v>
      </c>
      <c r="AJ88">
        <v>7.5</v>
      </c>
      <c r="AK88">
        <v>7.5</v>
      </c>
      <c r="AL88">
        <v>7.5</v>
      </c>
    </row>
    <row r="89" spans="2:38" x14ac:dyDescent="0.55000000000000004">
      <c r="B89" s="18" t="str">
        <f>B69</f>
        <v>Total Earmarked</v>
      </c>
      <c r="C89" s="27">
        <v>9</v>
      </c>
      <c r="D89" s="27">
        <v>9</v>
      </c>
      <c r="E89" s="27">
        <v>9</v>
      </c>
      <c r="F89" s="27">
        <v>9</v>
      </c>
      <c r="G89" s="27">
        <v>9</v>
      </c>
      <c r="H89" s="27">
        <v>9</v>
      </c>
      <c r="I89" s="27">
        <v>8.9</v>
      </c>
      <c r="J89" s="27">
        <v>8.9</v>
      </c>
      <c r="K89" s="27">
        <v>8.9</v>
      </c>
      <c r="L89" s="27">
        <v>8.9</v>
      </c>
      <c r="M89" s="27">
        <v>8.8000000000000007</v>
      </c>
      <c r="N89" s="27">
        <v>8.8000000000000007</v>
      </c>
      <c r="O89" s="27">
        <v>8.8000000000000007</v>
      </c>
      <c r="P89" s="27">
        <v>8.8000000000000007</v>
      </c>
      <c r="Q89" s="27">
        <v>8.6999999999999993</v>
      </c>
      <c r="R89" s="27">
        <v>8.6999999999999993</v>
      </c>
      <c r="S89" s="27">
        <v>8.6999999999999993</v>
      </c>
      <c r="T89" s="27">
        <v>8.6</v>
      </c>
      <c r="U89" s="27">
        <v>8.6</v>
      </c>
      <c r="V89" s="27">
        <v>8.5</v>
      </c>
      <c r="W89" s="27">
        <v>8.4</v>
      </c>
      <c r="X89" s="27">
        <v>8.3000000000000007</v>
      </c>
      <c r="Y89" s="27">
        <v>8.3000000000000007</v>
      </c>
      <c r="Z89" s="27">
        <v>8.4</v>
      </c>
      <c r="AA89" s="27">
        <v>8.4</v>
      </c>
      <c r="AB89" s="27">
        <v>8.4</v>
      </c>
      <c r="AC89" s="27">
        <v>8.4</v>
      </c>
      <c r="AD89" s="27">
        <v>8.4</v>
      </c>
      <c r="AE89" s="27">
        <v>8.4</v>
      </c>
      <c r="AF89" s="27">
        <v>8.4</v>
      </c>
      <c r="AG89" s="27">
        <v>8.4</v>
      </c>
      <c r="AH89" s="27">
        <v>8.5</v>
      </c>
      <c r="AI89" s="27">
        <v>8.5</v>
      </c>
      <c r="AJ89" s="27">
        <v>8.5</v>
      </c>
      <c r="AK89" s="27">
        <v>8.6</v>
      </c>
      <c r="AL89" s="27">
        <v>8.6</v>
      </c>
    </row>
    <row r="91" spans="2:38" ht="14.7" thickBot="1" x14ac:dyDescent="0.6">
      <c r="B91" s="24" t="s">
        <v>165</v>
      </c>
      <c r="C91" s="26">
        <v>16.2</v>
      </c>
      <c r="D91" s="26">
        <v>15.8</v>
      </c>
      <c r="E91" s="26">
        <v>15.9</v>
      </c>
      <c r="F91" s="26">
        <v>15.9</v>
      </c>
      <c r="G91" s="26">
        <v>15.7</v>
      </c>
      <c r="H91" s="26">
        <v>15</v>
      </c>
      <c r="I91" s="26">
        <v>15.1</v>
      </c>
      <c r="J91" s="26">
        <v>14.9</v>
      </c>
      <c r="K91" s="26">
        <v>14.1</v>
      </c>
      <c r="L91" s="26">
        <v>14</v>
      </c>
      <c r="M91" s="26">
        <v>13.7</v>
      </c>
      <c r="N91" s="26">
        <v>13.5</v>
      </c>
      <c r="O91" s="26">
        <v>14.8</v>
      </c>
      <c r="P91" s="26">
        <v>13.8</v>
      </c>
      <c r="Q91" s="26">
        <v>13.7</v>
      </c>
      <c r="R91" s="26">
        <v>12.9</v>
      </c>
      <c r="S91" s="26">
        <v>12.1</v>
      </c>
      <c r="T91" s="26">
        <v>10.9</v>
      </c>
      <c r="U91" s="26">
        <v>10.7</v>
      </c>
      <c r="V91" s="26">
        <v>10.7</v>
      </c>
      <c r="W91" s="26">
        <v>10</v>
      </c>
      <c r="X91" s="26">
        <v>10.6</v>
      </c>
      <c r="Y91" s="26">
        <v>10.8</v>
      </c>
      <c r="Z91" s="26">
        <v>11.1</v>
      </c>
      <c r="AA91" s="26">
        <v>13.4</v>
      </c>
      <c r="AB91" s="26">
        <v>12.2</v>
      </c>
      <c r="AC91" s="26">
        <v>12.1</v>
      </c>
      <c r="AD91" s="26">
        <v>12.8</v>
      </c>
      <c r="AE91" s="26">
        <v>12.6</v>
      </c>
      <c r="AF91" s="26">
        <v>12.8</v>
      </c>
      <c r="AG91" s="26">
        <v>13.6</v>
      </c>
      <c r="AH91" s="26">
        <v>14.4</v>
      </c>
      <c r="AI91" s="26">
        <v>14.9</v>
      </c>
      <c r="AJ91" s="26">
        <v>16.5</v>
      </c>
      <c r="AK91" s="26">
        <v>17.600000000000001</v>
      </c>
      <c r="AL91" s="26">
        <v>17.399999999999999</v>
      </c>
    </row>
    <row r="92" spans="2:38" ht="14.7" thickTop="1" x14ac:dyDescent="0.55000000000000004"/>
    <row r="93" spans="2:38" x14ac:dyDescent="0.55000000000000004">
      <c r="C93" s="21">
        <v>43466</v>
      </c>
      <c r="D93" s="21">
        <v>43497</v>
      </c>
      <c r="E93" s="21">
        <v>43525</v>
      </c>
      <c r="F93" s="21">
        <v>43556</v>
      </c>
      <c r="G93" s="21">
        <v>43586</v>
      </c>
      <c r="H93" s="21">
        <v>43617</v>
      </c>
      <c r="I93" s="21">
        <v>43647</v>
      </c>
      <c r="J93" s="21">
        <v>43678</v>
      </c>
      <c r="K93" s="21">
        <v>43709</v>
      </c>
      <c r="L93" s="21">
        <v>43739</v>
      </c>
      <c r="M93" s="21">
        <v>43770</v>
      </c>
      <c r="N93" s="21">
        <v>43800</v>
      </c>
      <c r="O93" s="21">
        <v>43831</v>
      </c>
      <c r="P93" s="21">
        <v>43862</v>
      </c>
      <c r="Q93" s="21">
        <v>43891</v>
      </c>
      <c r="R93" s="21">
        <v>43922</v>
      </c>
      <c r="S93" s="21">
        <v>43952</v>
      </c>
      <c r="T93" s="21">
        <v>43983</v>
      </c>
      <c r="U93" s="21">
        <v>44013</v>
      </c>
      <c r="V93" s="21">
        <v>44044</v>
      </c>
      <c r="W93" s="21">
        <v>44075</v>
      </c>
      <c r="X93" s="21">
        <v>44105</v>
      </c>
      <c r="Y93" s="21">
        <v>44136</v>
      </c>
      <c r="Z93" s="21">
        <v>44166</v>
      </c>
      <c r="AA93" s="21">
        <v>44197</v>
      </c>
      <c r="AB93" s="21">
        <v>44228</v>
      </c>
      <c r="AC93" s="21">
        <v>44256</v>
      </c>
      <c r="AD93" s="21">
        <v>44287</v>
      </c>
      <c r="AE93" s="21">
        <v>44317</v>
      </c>
      <c r="AF93" s="21">
        <v>44348</v>
      </c>
      <c r="AG93" s="21">
        <v>44378</v>
      </c>
      <c r="AH93" s="21">
        <v>44409</v>
      </c>
      <c r="AI93" s="21">
        <v>44440</v>
      </c>
      <c r="AJ93" s="21">
        <v>44470</v>
      </c>
      <c r="AK93" s="21">
        <v>44501</v>
      </c>
      <c r="AL93" s="21">
        <v>44531</v>
      </c>
    </row>
    <row r="94" spans="2:38" x14ac:dyDescent="0.55000000000000004">
      <c r="B94" s="18" t="s">
        <v>1746</v>
      </c>
      <c r="C94">
        <v>17.2</v>
      </c>
      <c r="D94">
        <v>15.5</v>
      </c>
      <c r="E94">
        <v>15.2</v>
      </c>
      <c r="F94">
        <v>16</v>
      </c>
      <c r="G94">
        <v>16.2</v>
      </c>
      <c r="H94">
        <v>13.3</v>
      </c>
      <c r="I94">
        <v>15</v>
      </c>
      <c r="J94">
        <v>14.2</v>
      </c>
      <c r="K94">
        <v>12.5</v>
      </c>
      <c r="L94">
        <v>11.8</v>
      </c>
      <c r="M94">
        <v>11.4</v>
      </c>
      <c r="N94">
        <v>9.5</v>
      </c>
      <c r="O94">
        <v>10</v>
      </c>
      <c r="P94">
        <v>8.9</v>
      </c>
      <c r="Q94">
        <v>8.3000000000000007</v>
      </c>
      <c r="R94">
        <v>9.1999999999999993</v>
      </c>
      <c r="S94">
        <v>7.8</v>
      </c>
      <c r="T94">
        <v>6.8</v>
      </c>
      <c r="U94">
        <v>7.1</v>
      </c>
      <c r="V94">
        <v>7.1</v>
      </c>
      <c r="W94">
        <v>6.7</v>
      </c>
      <c r="X94">
        <v>7</v>
      </c>
      <c r="Y94">
        <v>7.2</v>
      </c>
      <c r="Z94">
        <v>6.9</v>
      </c>
      <c r="AA94">
        <v>7.5</v>
      </c>
      <c r="AB94">
        <v>7.2</v>
      </c>
      <c r="AC94">
        <v>7.2</v>
      </c>
      <c r="AD94">
        <v>7.3</v>
      </c>
      <c r="AE94">
        <v>8</v>
      </c>
      <c r="AF94">
        <v>8.1</v>
      </c>
      <c r="AG94">
        <v>8.5</v>
      </c>
      <c r="AH94">
        <v>9.1999999999999993</v>
      </c>
      <c r="AI94">
        <v>9.5</v>
      </c>
      <c r="AJ94">
        <v>10.4</v>
      </c>
      <c r="AK94">
        <v>12.3</v>
      </c>
      <c r="AL94">
        <v>13.1</v>
      </c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39D4-577B-46AC-A0F3-25BECF9E9694}">
  <dimension ref="B2:T272"/>
  <sheetViews>
    <sheetView topLeftCell="A235" zoomScale="69" zoomScaleNormal="85" workbookViewId="0">
      <selection activeCell="K262" sqref="K262"/>
    </sheetView>
  </sheetViews>
  <sheetFormatPr defaultRowHeight="14.4" x14ac:dyDescent="0.55000000000000004"/>
  <cols>
    <col min="2" max="2" width="49.89453125" bestFit="1" customWidth="1"/>
    <col min="7" max="7" width="9" customWidth="1"/>
    <col min="8" max="9" width="9.3125" bestFit="1" customWidth="1"/>
    <col min="11" max="11" width="8.7890625" customWidth="1"/>
  </cols>
  <sheetData>
    <row r="2" spans="2:18" x14ac:dyDescent="0.55000000000000004">
      <c r="B2" s="20" t="s">
        <v>496</v>
      </c>
      <c r="C2" s="20"/>
      <c r="D2" s="20">
        <v>2016</v>
      </c>
      <c r="E2" s="20">
        <f>D2+1</f>
        <v>2017</v>
      </c>
      <c r="F2" s="20">
        <f t="shared" ref="F2:R2" si="0">E2+1</f>
        <v>2018</v>
      </c>
      <c r="G2" s="20">
        <f t="shared" si="0"/>
        <v>2019</v>
      </c>
      <c r="H2" s="20">
        <f t="shared" si="0"/>
        <v>2020</v>
      </c>
      <c r="I2" s="20">
        <f t="shared" si="0"/>
        <v>2021</v>
      </c>
      <c r="J2" s="20">
        <f t="shared" si="0"/>
        <v>2022</v>
      </c>
      <c r="K2" s="20">
        <f t="shared" si="0"/>
        <v>2023</v>
      </c>
      <c r="L2" s="20">
        <f t="shared" si="0"/>
        <v>2024</v>
      </c>
      <c r="M2" s="20">
        <f t="shared" si="0"/>
        <v>2025</v>
      </c>
      <c r="N2" s="20">
        <f t="shared" si="0"/>
        <v>2026</v>
      </c>
      <c r="O2" s="20">
        <f t="shared" si="0"/>
        <v>2027</v>
      </c>
      <c r="P2" s="20">
        <f t="shared" si="0"/>
        <v>2028</v>
      </c>
      <c r="Q2" s="20">
        <f t="shared" si="0"/>
        <v>2029</v>
      </c>
      <c r="R2" s="20">
        <f t="shared" si="0"/>
        <v>2030</v>
      </c>
    </row>
    <row r="3" spans="2:18" x14ac:dyDescent="0.55000000000000004">
      <c r="B3" s="18" t="s">
        <v>294</v>
      </c>
    </row>
    <row r="4" spans="2:18" x14ac:dyDescent="0.55000000000000004">
      <c r="B4" t="s">
        <v>27</v>
      </c>
      <c r="D4" s="4">
        <f>Acquirer!E120</f>
        <v>388.8</v>
      </c>
      <c r="E4" s="4">
        <f>Acquirer!F120</f>
        <v>1042.5</v>
      </c>
      <c r="F4" s="4">
        <f>Acquirer!G120</f>
        <v>2002.5</v>
      </c>
      <c r="G4" s="4">
        <f>Acquirer!H120</f>
        <v>3058.2</v>
      </c>
      <c r="H4" s="4">
        <f>Acquirer!I120</f>
        <v>3933.5276033363016</v>
      </c>
      <c r="I4" s="4">
        <f>Acquirer!J120</f>
        <v>5853.5837951389758</v>
      </c>
      <c r="J4" s="4">
        <f>Acquirer!K120</f>
        <v>7852.3532293400222</v>
      </c>
      <c r="K4" s="4">
        <f>Acquirer!L120</f>
        <v>7758.1563955212096</v>
      </c>
      <c r="L4" s="4">
        <f>Acquirer!M120</f>
        <v>8725.817341691858</v>
      </c>
      <c r="M4" s="4">
        <f>Acquirer!N120</f>
        <v>9755.6464631170657</v>
      </c>
      <c r="N4" s="4">
        <f>Acquirer!O120</f>
        <v>10842.166305591956</v>
      </c>
      <c r="O4" s="4">
        <f>Acquirer!P120</f>
        <v>11622.206001611085</v>
      </c>
      <c r="P4" s="4">
        <f>Acquirer!Q120</f>
        <v>12282.914987701415</v>
      </c>
      <c r="Q4" s="4">
        <f>Acquirer!R120</f>
        <v>12872.546890694532</v>
      </c>
      <c r="R4" s="4">
        <f>Acquirer!S120</f>
        <v>13261.579980535902</v>
      </c>
    </row>
    <row r="5" spans="2:18" x14ac:dyDescent="0.55000000000000004">
      <c r="B5" t="s">
        <v>2567</v>
      </c>
      <c r="D5" s="4"/>
      <c r="E5" s="4"/>
      <c r="F5" s="4">
        <f>Pagbank!C95</f>
        <v>0</v>
      </c>
      <c r="G5" s="4">
        <f>Pagbank!D95</f>
        <v>0</v>
      </c>
      <c r="H5" s="4">
        <f>Pagbank!E95</f>
        <v>564.20000000000005</v>
      </c>
      <c r="I5" s="4">
        <f>Pagbank!F95</f>
        <v>916.9</v>
      </c>
      <c r="J5" s="4">
        <f>Pagbank!G95</f>
        <v>1414</v>
      </c>
      <c r="K5" s="4">
        <f>Pagbank!H95</f>
        <v>1059.6905256844539</v>
      </c>
      <c r="L5" s="4">
        <f>Pagbank!I95</f>
        <v>1073.28075609703</v>
      </c>
      <c r="M5" s="4">
        <f>Pagbank!J95</f>
        <v>1478.7295387505144</v>
      </c>
      <c r="N5" s="4">
        <f>Pagbank!K95</f>
        <v>1757.5463268487993</v>
      </c>
      <c r="O5" s="4">
        <f>Pagbank!L95</f>
        <v>2014.4438126470845</v>
      </c>
      <c r="P5" s="4">
        <f>Pagbank!M95</f>
        <v>2369.363940353026</v>
      </c>
      <c r="Q5" s="4">
        <f>Pagbank!N95</f>
        <v>2738.358846087026</v>
      </c>
      <c r="R5" s="4">
        <f>Pagbank!O95</f>
        <v>3123.4126982930075</v>
      </c>
    </row>
    <row r="6" spans="2:18" x14ac:dyDescent="0.55000000000000004">
      <c r="B6" s="1" t="s">
        <v>5</v>
      </c>
      <c r="C6" s="1"/>
      <c r="D6" s="6">
        <f t="shared" ref="D6:K6" si="1">D7-D4-D5</f>
        <v>91.199999999999989</v>
      </c>
      <c r="E6" s="6">
        <f t="shared" si="1"/>
        <v>181.5</v>
      </c>
      <c r="F6" s="6">
        <f t="shared" si="1"/>
        <v>264.5</v>
      </c>
      <c r="G6" s="6">
        <f t="shared" si="1"/>
        <v>317.80000000000018</v>
      </c>
      <c r="H6" s="6">
        <f t="shared" si="1"/>
        <v>10.972396663698191</v>
      </c>
      <c r="I6" s="6">
        <f t="shared" si="1"/>
        <v>11.516204861024221</v>
      </c>
      <c r="J6" s="6">
        <f t="shared" si="1"/>
        <v>-360.35322934002215</v>
      </c>
      <c r="K6" s="6">
        <f t="shared" si="1"/>
        <v>209.15307879433658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</row>
    <row r="7" spans="2:18" x14ac:dyDescent="0.55000000000000004">
      <c r="B7" t="s">
        <v>172</v>
      </c>
      <c r="D7" s="31">
        <v>480</v>
      </c>
      <c r="E7" s="31">
        <v>1224</v>
      </c>
      <c r="F7" s="31">
        <v>2267</v>
      </c>
      <c r="G7" s="31">
        <v>3376</v>
      </c>
      <c r="H7" s="44">
        <v>4508.7</v>
      </c>
      <c r="I7" s="44">
        <v>6782</v>
      </c>
      <c r="J7" s="44">
        <v>8906</v>
      </c>
      <c r="K7" s="44">
        <v>9027</v>
      </c>
      <c r="L7" s="4">
        <f t="shared" ref="L7:R7" si="2">L4+L5+L6</f>
        <v>9799.0980977888885</v>
      </c>
      <c r="M7" s="4">
        <f t="shared" si="2"/>
        <v>11234.37600186758</v>
      </c>
      <c r="N7" s="4">
        <f t="shared" si="2"/>
        <v>12599.712632440755</v>
      </c>
      <c r="O7" s="4">
        <f t="shared" si="2"/>
        <v>13636.649814258169</v>
      </c>
      <c r="P7" s="4">
        <f t="shared" si="2"/>
        <v>14652.278928054442</v>
      </c>
      <c r="Q7" s="4">
        <f t="shared" si="2"/>
        <v>15610.905736781559</v>
      </c>
      <c r="R7" s="4">
        <f t="shared" si="2"/>
        <v>16384.992678828909</v>
      </c>
    </row>
    <row r="9" spans="2:18" x14ac:dyDescent="0.55000000000000004">
      <c r="B9" t="s">
        <v>307</v>
      </c>
      <c r="E9" s="44">
        <v>471.9</v>
      </c>
      <c r="F9" s="44">
        <v>374.6</v>
      </c>
      <c r="G9" s="44">
        <v>174.2</v>
      </c>
      <c r="H9" s="246">
        <v>0</v>
      </c>
      <c r="I9" s="44">
        <v>0</v>
      </c>
      <c r="J9" s="44">
        <v>0</v>
      </c>
      <c r="K9" s="44">
        <v>0</v>
      </c>
    </row>
    <row r="10" spans="2:18" x14ac:dyDescent="0.55000000000000004">
      <c r="B10" t="s">
        <v>247</v>
      </c>
      <c r="D10" s="31">
        <v>392</v>
      </c>
      <c r="E10" s="31">
        <v>819</v>
      </c>
      <c r="F10" s="31">
        <v>1415</v>
      </c>
      <c r="G10" s="31">
        <v>2031</v>
      </c>
      <c r="H10" s="44">
        <v>2177.4</v>
      </c>
      <c r="I10" s="44">
        <v>3514</v>
      </c>
      <c r="J10" s="44">
        <v>6253</v>
      </c>
      <c r="K10" s="44">
        <v>6653</v>
      </c>
      <c r="L10" s="4">
        <f>Acquirer!M127</f>
        <v>7392.6844855787203</v>
      </c>
      <c r="M10" s="4">
        <f>Acquirer!N127</f>
        <v>7694.8884941691067</v>
      </c>
      <c r="N10" s="4">
        <f>Acquirer!O127</f>
        <v>7800.5424842945995</v>
      </c>
      <c r="O10" s="4">
        <f>Acquirer!P127</f>
        <v>8158.8417506968935</v>
      </c>
      <c r="P10" s="4">
        <f>Acquirer!Q127</f>
        <v>9019.9564790528184</v>
      </c>
      <c r="Q10" s="4">
        <f>Acquirer!R127</f>
        <v>9888.4509788377491</v>
      </c>
      <c r="R10" s="4">
        <f>Acquirer!S127</f>
        <v>10647.307231456802</v>
      </c>
    </row>
    <row r="11" spans="2:18" x14ac:dyDescent="0.55000000000000004">
      <c r="B11" s="1" t="s">
        <v>248</v>
      </c>
      <c r="C11" s="1"/>
      <c r="D11" s="49">
        <v>5</v>
      </c>
      <c r="E11" s="49">
        <v>9</v>
      </c>
      <c r="F11" s="49">
        <v>278</v>
      </c>
      <c r="G11" s="49">
        <v>126</v>
      </c>
      <c r="H11" s="49">
        <v>128.6</v>
      </c>
      <c r="I11" s="272">
        <v>150</v>
      </c>
      <c r="J11" s="272">
        <v>175.8</v>
      </c>
      <c r="K11" s="272">
        <v>269</v>
      </c>
      <c r="L11" s="50">
        <f>K11*0.9</f>
        <v>242.1</v>
      </c>
      <c r="M11" s="50">
        <f t="shared" ref="M11:R11" si="3">L11*0.95</f>
        <v>229.99499999999998</v>
      </c>
      <c r="N11" s="50">
        <f t="shared" si="3"/>
        <v>218.49524999999997</v>
      </c>
      <c r="O11" s="50">
        <f t="shared" si="3"/>
        <v>207.57048749999996</v>
      </c>
      <c r="P11" s="50">
        <f t="shared" si="3"/>
        <v>197.19196312499994</v>
      </c>
      <c r="Q11" s="50">
        <f t="shared" si="3"/>
        <v>187.33236496874994</v>
      </c>
      <c r="R11" s="50">
        <f t="shared" si="3"/>
        <v>177.96574672031244</v>
      </c>
    </row>
    <row r="12" spans="2:18" x14ac:dyDescent="0.55000000000000004">
      <c r="B12" s="18" t="s">
        <v>249</v>
      </c>
      <c r="C12" s="18"/>
      <c r="D12" s="95">
        <f t="shared" ref="D12:R12" si="4">D7+D9+D10+D11</f>
        <v>877</v>
      </c>
      <c r="E12" s="95">
        <f t="shared" si="4"/>
        <v>2523.9</v>
      </c>
      <c r="F12" s="95">
        <f t="shared" si="4"/>
        <v>4334.6000000000004</v>
      </c>
      <c r="G12" s="95">
        <f t="shared" si="4"/>
        <v>5707.2</v>
      </c>
      <c r="H12" s="95">
        <f t="shared" si="4"/>
        <v>6814.7000000000007</v>
      </c>
      <c r="I12" s="95">
        <f t="shared" si="4"/>
        <v>10446</v>
      </c>
      <c r="J12" s="95">
        <f t="shared" si="4"/>
        <v>15334.8</v>
      </c>
      <c r="K12" s="95">
        <f t="shared" si="4"/>
        <v>15949</v>
      </c>
      <c r="L12" s="95">
        <f t="shared" si="4"/>
        <v>17433.882583367609</v>
      </c>
      <c r="M12" s="95">
        <f>M7+M9+M10+M11</f>
        <v>19159.259496036688</v>
      </c>
      <c r="N12" s="95">
        <f t="shared" si="4"/>
        <v>20618.750366735352</v>
      </c>
      <c r="O12" s="95">
        <f t="shared" si="4"/>
        <v>22003.062052455065</v>
      </c>
      <c r="P12" s="95">
        <f t="shared" si="4"/>
        <v>23869.427370232261</v>
      </c>
      <c r="Q12" s="95">
        <f t="shared" si="4"/>
        <v>25686.689080588058</v>
      </c>
      <c r="R12" s="95">
        <f t="shared" si="4"/>
        <v>27210.265657006024</v>
      </c>
    </row>
    <row r="13" spans="2:18" x14ac:dyDescent="0.55000000000000004">
      <c r="B13" t="s">
        <v>195</v>
      </c>
      <c r="D13" s="4"/>
      <c r="E13" s="4"/>
      <c r="F13" s="2">
        <f>F12/E12-1</f>
        <v>0.71742145092911769</v>
      </c>
      <c r="G13" s="2">
        <f t="shared" ref="G13:R13" si="5">G12/F12-1</f>
        <v>0.3166612836247864</v>
      </c>
      <c r="H13" s="2">
        <f t="shared" si="5"/>
        <v>0.19405312587608647</v>
      </c>
      <c r="I13" s="2">
        <f t="shared" si="5"/>
        <v>0.53286278192730396</v>
      </c>
      <c r="J13" s="2">
        <f t="shared" si="5"/>
        <v>0.46800689259046524</v>
      </c>
      <c r="K13" s="2">
        <f t="shared" si="5"/>
        <v>4.0052690612202291E-2</v>
      </c>
      <c r="L13" s="2">
        <f t="shared" si="5"/>
        <v>9.3101923842724199E-2</v>
      </c>
      <c r="M13" s="2">
        <f t="shared" si="5"/>
        <v>9.8966876966071426E-2</v>
      </c>
      <c r="N13" s="2">
        <f t="shared" si="5"/>
        <v>7.6176789139505985E-2</v>
      </c>
      <c r="O13" s="2">
        <f t="shared" si="5"/>
        <v>6.7138486139928677E-2</v>
      </c>
      <c r="P13" s="2">
        <f t="shared" si="5"/>
        <v>8.4822981152705035E-2</v>
      </c>
      <c r="Q13" s="2">
        <f t="shared" si="5"/>
        <v>7.6133443930963995E-2</v>
      </c>
      <c r="R13" s="2">
        <f t="shared" si="5"/>
        <v>5.931385596788985E-2</v>
      </c>
    </row>
    <row r="14" spans="2:18" x14ac:dyDescent="0.55000000000000004">
      <c r="B14" t="s">
        <v>773</v>
      </c>
      <c r="D14" s="4"/>
      <c r="E14" s="4"/>
      <c r="F14" s="4"/>
      <c r="G14" s="4"/>
      <c r="H14" s="4">
        <f>H12/Pagbank!E128</f>
        <v>1195.5614035087719</v>
      </c>
      <c r="I14" s="4">
        <f>I12/Pagbank!F128</f>
        <v>2089.1999999999998</v>
      </c>
      <c r="J14" s="4">
        <f>J12/Pagbank!G128</f>
        <v>3066.96</v>
      </c>
      <c r="K14" s="4">
        <f>K12/Pagbank!H128</f>
        <v>3127.2549019607845</v>
      </c>
      <c r="L14" s="4">
        <f>L12/Pagbank!I128</f>
        <v>3351.3807349803169</v>
      </c>
      <c r="M14" s="4">
        <f>M12/Pagbank!J128</f>
        <v>3610.8396272995842</v>
      </c>
      <c r="N14" s="4">
        <f>N12/Pagbank!K128</f>
        <v>3809.7076433381931</v>
      </c>
      <c r="O14" s="4">
        <f>O12/Pagbank!L128</f>
        <v>3985.770242301603</v>
      </c>
      <c r="P14" s="4">
        <f>P12/Pagbank!M128</f>
        <v>4239.0736827876126</v>
      </c>
      <c r="Q14" s="4">
        <f>Q12/Pagbank!N128</f>
        <v>4472.3617267993613</v>
      </c>
      <c r="R14" s="4">
        <f>R12/Pagbank!O128</f>
        <v>4644.7399471559229</v>
      </c>
    </row>
    <row r="15" spans="2:18" x14ac:dyDescent="0.55000000000000004">
      <c r="B15" t="s">
        <v>460</v>
      </c>
      <c r="G15" s="2">
        <f t="shared" ref="G15:R15" si="6">G5/G12</f>
        <v>0</v>
      </c>
      <c r="H15" s="2">
        <f t="shared" si="6"/>
        <v>8.2791612249988988E-2</v>
      </c>
      <c r="I15" s="2">
        <f t="shared" si="6"/>
        <v>8.7775224966494356E-2</v>
      </c>
      <c r="J15" s="2">
        <f t="shared" si="6"/>
        <v>9.2208571354044394E-2</v>
      </c>
      <c r="K15" s="2">
        <f t="shared" si="6"/>
        <v>6.6442443142796029E-2</v>
      </c>
      <c r="L15" s="2">
        <f t="shared" si="6"/>
        <v>6.1562922141105196E-2</v>
      </c>
      <c r="M15" s="2">
        <f t="shared" si="6"/>
        <v>7.7180933796340431E-2</v>
      </c>
      <c r="N15" s="2">
        <f t="shared" si="6"/>
        <v>8.5240196209188518E-2</v>
      </c>
      <c r="O15" s="2">
        <f t="shared" si="6"/>
        <v>9.1552885132290776E-2</v>
      </c>
      <c r="P15" s="2">
        <f t="shared" si="6"/>
        <v>9.9263543427433765E-2</v>
      </c>
      <c r="Q15" s="2">
        <f t="shared" si="6"/>
        <v>0.10660614287407162</v>
      </c>
      <c r="R15" s="2">
        <f t="shared" si="6"/>
        <v>0.11478802660968507</v>
      </c>
    </row>
    <row r="16" spans="2:18" x14ac:dyDescent="0.55000000000000004">
      <c r="I16" s="12"/>
    </row>
    <row r="17" spans="2:18" x14ac:dyDescent="0.55000000000000004">
      <c r="B17" s="18" t="s">
        <v>251</v>
      </c>
    </row>
    <row r="18" spans="2:18" x14ac:dyDescent="0.55000000000000004">
      <c r="B18" t="s">
        <v>2566</v>
      </c>
      <c r="D18" s="4"/>
      <c r="E18" s="4">
        <f>F18/F22*E22</f>
        <v>103.68163375710036</v>
      </c>
      <c r="F18" s="4">
        <f>G18/G22*F22</f>
        <v>205.42034081687854</v>
      </c>
      <c r="G18" s="4">
        <f>H18/H22*G22</f>
        <v>297.26778469028943</v>
      </c>
      <c r="H18" s="4">
        <f>I18/I22*H22</f>
        <v>374.06637814444144</v>
      </c>
      <c r="I18" s="44">
        <v>653</v>
      </c>
      <c r="J18" s="44">
        <v>882</v>
      </c>
      <c r="K18" s="44">
        <v>969</v>
      </c>
      <c r="L18" s="4">
        <f t="shared" ref="L18:R18" si="7">K18/K22*L22</f>
        <v>1107.3280276910114</v>
      </c>
      <c r="M18" s="4">
        <f t="shared" si="7"/>
        <v>1243.2451605732344</v>
      </c>
      <c r="N18" s="4">
        <f t="shared" si="7"/>
        <v>1367.5142970997238</v>
      </c>
      <c r="O18" s="4">
        <f t="shared" si="7"/>
        <v>1486.3361489638801</v>
      </c>
      <c r="P18" s="4">
        <f t="shared" si="7"/>
        <v>1607.6414976421538</v>
      </c>
      <c r="Q18" s="4">
        <f t="shared" si="7"/>
        <v>1753.5611212821066</v>
      </c>
      <c r="R18" s="4">
        <f t="shared" si="7"/>
        <v>1880.2977824210184</v>
      </c>
    </row>
    <row r="19" spans="2:18" x14ac:dyDescent="0.55000000000000004"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</row>
    <row r="20" spans="2:18" x14ac:dyDescent="0.55000000000000004">
      <c r="B20" t="s">
        <v>28</v>
      </c>
      <c r="D20" s="4"/>
      <c r="E20" s="4">
        <f>E22-E18</f>
        <v>483.31836624289963</v>
      </c>
      <c r="F20" s="4">
        <f>F22-F18</f>
        <v>957.57965918312152</v>
      </c>
      <c r="G20" s="4">
        <f>G22-G18</f>
        <v>1385.7322153097107</v>
      </c>
      <c r="H20" s="4">
        <f>H22-H18</f>
        <v>1743.7336218555588</v>
      </c>
      <c r="I20" s="44">
        <v>3044</v>
      </c>
      <c r="J20" s="44">
        <v>4503</v>
      </c>
      <c r="K20" s="44">
        <v>4805</v>
      </c>
      <c r="L20" s="4">
        <f t="shared" ref="L20:R20" si="8">L22-L18</f>
        <v>5490.9300031530547</v>
      </c>
      <c r="M20" s="4">
        <f t="shared" si="8"/>
        <v>6164.9050532037054</v>
      </c>
      <c r="N20" s="4">
        <f t="shared" si="8"/>
        <v>6781.1209469186506</v>
      </c>
      <c r="O20" s="4">
        <f t="shared" si="8"/>
        <v>7370.3252794338941</v>
      </c>
      <c r="P20" s="4">
        <f t="shared" si="8"/>
        <v>7971.8445780913817</v>
      </c>
      <c r="Q20" s="4">
        <f t="shared" si="8"/>
        <v>8695.4191824154004</v>
      </c>
      <c r="R20" s="4">
        <f t="shared" si="8"/>
        <v>9323.8708405913239</v>
      </c>
    </row>
    <row r="21" spans="2:18" x14ac:dyDescent="0.55000000000000004">
      <c r="B21" s="1"/>
      <c r="C21" s="1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</row>
    <row r="22" spans="2:18" x14ac:dyDescent="0.55000000000000004">
      <c r="B22" t="s">
        <v>243</v>
      </c>
      <c r="E22" s="31">
        <v>587</v>
      </c>
      <c r="F22" s="31">
        <v>1163</v>
      </c>
      <c r="G22" s="31">
        <v>1683</v>
      </c>
      <c r="H22" s="44">
        <v>2117.8000000000002</v>
      </c>
      <c r="I22" s="4">
        <f>I18+I20</f>
        <v>3697</v>
      </c>
      <c r="J22" s="4">
        <f>J18+J20</f>
        <v>5385</v>
      </c>
      <c r="K22" s="4">
        <f>K18+K20</f>
        <v>5774</v>
      </c>
      <c r="L22" s="4">
        <f>Acquirer!M140</f>
        <v>6598.2580308440656</v>
      </c>
      <c r="M22" s="4">
        <f>Acquirer!N140</f>
        <v>7408.1502137769403</v>
      </c>
      <c r="N22" s="4">
        <f>Acquirer!O140</f>
        <v>8148.6352440183746</v>
      </c>
      <c r="O22" s="4">
        <f>Acquirer!P140</f>
        <v>8856.6614283977742</v>
      </c>
      <c r="P22" s="4">
        <f>Acquirer!Q140</f>
        <v>9579.4860757335355</v>
      </c>
      <c r="Q22" s="4">
        <f>Acquirer!R140</f>
        <v>10448.980303697506</v>
      </c>
      <c r="R22" s="4">
        <f>Acquirer!S140</f>
        <v>11204.168623012343</v>
      </c>
    </row>
    <row r="23" spans="2:18" x14ac:dyDescent="0.55000000000000004">
      <c r="B23" t="s">
        <v>1816</v>
      </c>
      <c r="E23" s="2">
        <f t="shared" ref="E23:R23" si="9">E22/E7</f>
        <v>0.47957516339869283</v>
      </c>
      <c r="F23" s="2">
        <f t="shared" si="9"/>
        <v>0.51301279223643581</v>
      </c>
      <c r="G23" s="2">
        <f t="shared" si="9"/>
        <v>0.49851895734597157</v>
      </c>
      <c r="H23" s="2">
        <f t="shared" si="9"/>
        <v>0.46971410827954851</v>
      </c>
      <c r="I23" s="2">
        <f t="shared" si="9"/>
        <v>0.54511943379534056</v>
      </c>
      <c r="J23" s="2">
        <f t="shared" si="9"/>
        <v>0.60464855153828878</v>
      </c>
      <c r="K23" s="2">
        <f t="shared" si="9"/>
        <v>0.63963664561869948</v>
      </c>
      <c r="L23" s="2">
        <f t="shared" si="9"/>
        <v>0.6733536050968737</v>
      </c>
      <c r="M23" s="2">
        <f t="shared" si="9"/>
        <v>0.65941804089033729</v>
      </c>
      <c r="N23" s="2">
        <f t="shared" si="9"/>
        <v>0.64673183283862412</v>
      </c>
      <c r="O23" s="2">
        <f t="shared" si="9"/>
        <v>0.64947487462334419</v>
      </c>
      <c r="P23" s="2">
        <f t="shared" si="9"/>
        <v>0.65378813239706179</v>
      </c>
      <c r="Q23" s="2">
        <f t="shared" si="9"/>
        <v>0.66933850475300694</v>
      </c>
      <c r="R23" s="2">
        <f t="shared" si="9"/>
        <v>0.68380675186320217</v>
      </c>
    </row>
    <row r="24" spans="2:18" x14ac:dyDescent="0.55000000000000004">
      <c r="B24" t="s">
        <v>3287</v>
      </c>
      <c r="E24" s="2"/>
      <c r="F24" s="2"/>
      <c r="G24" s="2"/>
      <c r="H24" s="2"/>
      <c r="I24" s="2">
        <f>I22/I12</f>
        <v>0.35391537430595443</v>
      </c>
      <c r="J24" s="2">
        <f t="shared" ref="J24:R24" si="10">J22/J12</f>
        <v>0.35116206275921436</v>
      </c>
      <c r="K24" s="2">
        <f t="shared" si="10"/>
        <v>0.36202896733337514</v>
      </c>
      <c r="L24" s="2">
        <f t="shared" si="10"/>
        <v>0.37847324021437317</v>
      </c>
      <c r="M24" s="2">
        <f t="shared" si="10"/>
        <v>0.38666161473043364</v>
      </c>
      <c r="N24" s="2">
        <f t="shared" si="10"/>
        <v>0.39520509725772385</v>
      </c>
      <c r="O24" s="2">
        <f t="shared" si="10"/>
        <v>0.40251949511770624</v>
      </c>
      <c r="P24" s="2">
        <f t="shared" si="10"/>
        <v>0.40132869243776598</v>
      </c>
      <c r="Q24" s="2">
        <f t="shared" si="10"/>
        <v>0.40678579753565863</v>
      </c>
      <c r="R24" s="2">
        <f t="shared" si="10"/>
        <v>0.41176255918425864</v>
      </c>
    </row>
    <row r="26" spans="2:18" x14ac:dyDescent="0.55000000000000004">
      <c r="B26" s="18" t="s">
        <v>255</v>
      </c>
      <c r="C26" s="18"/>
      <c r="D26" s="18"/>
      <c r="E26" s="95">
        <f t="shared" ref="E26:R26" si="11">E12-E22</f>
        <v>1936.9</v>
      </c>
      <c r="F26" s="95">
        <f t="shared" si="11"/>
        <v>3171.6000000000004</v>
      </c>
      <c r="G26" s="95">
        <f t="shared" si="11"/>
        <v>4024.2</v>
      </c>
      <c r="H26" s="95">
        <f t="shared" si="11"/>
        <v>4696.9000000000005</v>
      </c>
      <c r="I26" s="95">
        <f t="shared" si="11"/>
        <v>6749</v>
      </c>
      <c r="J26" s="95">
        <f t="shared" si="11"/>
        <v>9949.7999999999993</v>
      </c>
      <c r="K26" s="95">
        <f t="shared" si="11"/>
        <v>10175</v>
      </c>
      <c r="L26" s="95">
        <f t="shared" si="11"/>
        <v>10835.624552523543</v>
      </c>
      <c r="M26" s="95">
        <f t="shared" si="11"/>
        <v>11751.109282259747</v>
      </c>
      <c r="N26" s="95">
        <f t="shared" si="11"/>
        <v>12470.115122716978</v>
      </c>
      <c r="O26" s="95">
        <f t="shared" si="11"/>
        <v>13146.400624057291</v>
      </c>
      <c r="P26" s="95">
        <f t="shared" si="11"/>
        <v>14289.941294498725</v>
      </c>
      <c r="Q26" s="95">
        <f t="shared" si="11"/>
        <v>15237.708776890551</v>
      </c>
      <c r="R26" s="95">
        <f t="shared" si="11"/>
        <v>16006.097033993681</v>
      </c>
    </row>
    <row r="27" spans="2:18" x14ac:dyDescent="0.55000000000000004">
      <c r="B27" s="18" t="s">
        <v>195</v>
      </c>
      <c r="C27" s="18"/>
      <c r="D27" s="18"/>
      <c r="E27" s="95"/>
      <c r="F27" s="2">
        <f>F26/E26-1</f>
        <v>0.63746192369249832</v>
      </c>
      <c r="G27" s="2">
        <f t="shared" ref="G27:R27" si="12">G26/F26-1</f>
        <v>0.26882330684827838</v>
      </c>
      <c r="H27" s="2">
        <f t="shared" si="12"/>
        <v>0.16716365985786008</v>
      </c>
      <c r="I27" s="2">
        <f t="shared" si="12"/>
        <v>0.43690519278673157</v>
      </c>
      <c r="J27" s="2">
        <f t="shared" si="12"/>
        <v>0.47426285375611199</v>
      </c>
      <c r="K27" s="2">
        <f>K26/J26-1</f>
        <v>2.2633620776297159E-2</v>
      </c>
      <c r="L27" s="2">
        <f t="shared" si="12"/>
        <v>6.4926245948259798E-2</v>
      </c>
      <c r="M27" s="2">
        <f t="shared" si="12"/>
        <v>8.4488413685669395E-2</v>
      </c>
      <c r="N27" s="2">
        <f t="shared" si="12"/>
        <v>6.1186210015312215E-2</v>
      </c>
      <c r="O27" s="2">
        <f t="shared" si="12"/>
        <v>5.4232498632535764E-2</v>
      </c>
      <c r="P27" s="2">
        <f t="shared" si="12"/>
        <v>8.6985076991249466E-2</v>
      </c>
      <c r="Q27" s="2">
        <f t="shared" si="12"/>
        <v>6.6324099088965083E-2</v>
      </c>
      <c r="R27" s="2">
        <f t="shared" si="12"/>
        <v>5.0426758271457706E-2</v>
      </c>
    </row>
    <row r="29" spans="2:18" x14ac:dyDescent="0.55000000000000004">
      <c r="B29" t="s">
        <v>279</v>
      </c>
      <c r="E29" s="4">
        <f>Acquirer!F156</f>
        <v>73.8</v>
      </c>
      <c r="F29" s="4">
        <f>Acquirer!G156</f>
        <v>83.7</v>
      </c>
      <c r="G29" s="4">
        <f>Acquirer!H156</f>
        <v>174</v>
      </c>
      <c r="H29" s="4">
        <f>Acquirer!I156</f>
        <v>655.6</v>
      </c>
      <c r="I29" s="4">
        <f>Acquirer!J156</f>
        <v>624.1</v>
      </c>
      <c r="J29" s="4">
        <f>Acquirer!K156</f>
        <v>179.5</v>
      </c>
      <c r="K29" s="4">
        <f>Acquirer!L156</f>
        <v>181.5</v>
      </c>
      <c r="L29" s="4">
        <f>Acquirer!M156</f>
        <v>175.65</v>
      </c>
      <c r="M29" s="4">
        <f>Acquirer!N156</f>
        <v>170.71500000000003</v>
      </c>
      <c r="N29" s="4">
        <f>Acquirer!O156</f>
        <v>164.64364285714288</v>
      </c>
      <c r="O29" s="4">
        <f>Acquirer!P156</f>
        <v>176.82229285714291</v>
      </c>
      <c r="P29" s="4">
        <f>Acquirer!Q156</f>
        <v>190.21880785714293</v>
      </c>
      <c r="Q29" s="4">
        <f>Acquirer!R156</f>
        <v>204.95497435714296</v>
      </c>
      <c r="R29" s="4">
        <f>Acquirer!S156</f>
        <v>221.16475750714298</v>
      </c>
    </row>
    <row r="30" spans="2:18" x14ac:dyDescent="0.55000000000000004">
      <c r="B30" t="s">
        <v>258</v>
      </c>
      <c r="E30" s="12">
        <f t="shared" ref="E30:R30" si="13">E29/E7</f>
        <v>6.0294117647058824E-2</v>
      </c>
      <c r="F30" s="12">
        <f t="shared" si="13"/>
        <v>3.6921041023378919E-2</v>
      </c>
      <c r="G30" s="12">
        <f t="shared" si="13"/>
        <v>5.1540284360189571E-2</v>
      </c>
      <c r="H30" s="12">
        <f t="shared" si="13"/>
        <v>0.14540776720562471</v>
      </c>
      <c r="I30" s="12">
        <f t="shared" si="13"/>
        <v>9.2023002064287818E-2</v>
      </c>
      <c r="J30" s="12">
        <f t="shared" si="13"/>
        <v>2.0154951717942959E-2</v>
      </c>
      <c r="K30" s="12">
        <f t="shared" si="13"/>
        <v>2.0106347623795279E-2</v>
      </c>
      <c r="L30" s="12">
        <f t="shared" si="13"/>
        <v>1.7925119051480302E-2</v>
      </c>
      <c r="M30" s="12">
        <f t="shared" si="13"/>
        <v>1.5195770550284298E-2</v>
      </c>
      <c r="N30" s="12">
        <f t="shared" si="13"/>
        <v>1.3067253806505976E-2</v>
      </c>
      <c r="O30" s="12">
        <f t="shared" si="13"/>
        <v>1.2966696018860994E-2</v>
      </c>
      <c r="P30" s="12">
        <f t="shared" si="13"/>
        <v>1.2982199478398857E-2</v>
      </c>
      <c r="Q30" s="12">
        <f t="shared" si="13"/>
        <v>1.3128961113014686E-2</v>
      </c>
      <c r="R30" s="12">
        <f t="shared" si="13"/>
        <v>1.3498007710001026E-2</v>
      </c>
    </row>
    <row r="31" spans="2:18" x14ac:dyDescent="0.55000000000000004">
      <c r="E31" s="12"/>
      <c r="F31" s="12"/>
      <c r="G31" s="12"/>
    </row>
    <row r="32" spans="2:18" x14ac:dyDescent="0.55000000000000004">
      <c r="B32" t="s">
        <v>257</v>
      </c>
      <c r="E32" s="4">
        <f t="shared" ref="E32:R32" si="14">E7+E10-E22-E29</f>
        <v>1382.2</v>
      </c>
      <c r="F32" s="4">
        <f t="shared" si="14"/>
        <v>2435.3000000000002</v>
      </c>
      <c r="G32" s="4">
        <f t="shared" si="14"/>
        <v>3550</v>
      </c>
      <c r="H32" s="4">
        <f t="shared" si="14"/>
        <v>3912.7000000000003</v>
      </c>
      <c r="I32" s="4">
        <f t="shared" si="14"/>
        <v>5974.9</v>
      </c>
      <c r="J32" s="4">
        <f t="shared" si="14"/>
        <v>9594.5</v>
      </c>
      <c r="K32" s="4">
        <f>K7+K10-K22-K29</f>
        <v>9724.5</v>
      </c>
      <c r="L32" s="4">
        <f t="shared" si="14"/>
        <v>10417.874552523544</v>
      </c>
      <c r="M32" s="4">
        <f t="shared" si="14"/>
        <v>11350.399282259748</v>
      </c>
      <c r="N32" s="4">
        <f t="shared" si="14"/>
        <v>12086.976229859834</v>
      </c>
      <c r="O32" s="4">
        <f t="shared" si="14"/>
        <v>12762.007843700147</v>
      </c>
      <c r="P32" s="4">
        <f t="shared" si="14"/>
        <v>13902.530523516583</v>
      </c>
      <c r="Q32" s="4">
        <f t="shared" si="14"/>
        <v>14845.421437564661</v>
      </c>
      <c r="R32" s="4">
        <f t="shared" si="14"/>
        <v>15606.966529766223</v>
      </c>
    </row>
    <row r="33" spans="2:18" x14ac:dyDescent="0.55000000000000004">
      <c r="B33" s="18" t="s">
        <v>256</v>
      </c>
      <c r="C33" s="18"/>
      <c r="D33" s="18"/>
      <c r="E33" s="367">
        <f>E32/(Acquirer!F83*1000)</f>
        <v>3.6469656992084432E-2</v>
      </c>
      <c r="F33" s="367">
        <f>F32/(Acquirer!G83*1000)</f>
        <v>3.2170409511228536E-2</v>
      </c>
      <c r="G33" s="367">
        <f>G32/(Acquirer!H83*1000)</f>
        <v>3.0656303972366149E-2</v>
      </c>
      <c r="H33" s="367">
        <f>H32/(Acquirer!I83*1000)</f>
        <v>2.4220671103898434E-2</v>
      </c>
      <c r="I33" s="367">
        <f>I32/(Acquirer!J83*1000)</f>
        <v>2.3616205533596838E-2</v>
      </c>
      <c r="J33" s="367">
        <f>J32/(Acquirer!K83*1000)</f>
        <v>2.7103107344632768E-2</v>
      </c>
      <c r="K33" s="367">
        <f>K32/(Acquirer!L83*1000)</f>
        <v>2.4643943233654333E-2</v>
      </c>
      <c r="L33" s="367">
        <f>L32/(Acquirer!M83*1000)</f>
        <v>2.2755086078811694E-2</v>
      </c>
      <c r="M33" s="367">
        <f>M32/(Acquirer!N83*1000)</f>
        <v>2.1736757007815924E-2</v>
      </c>
      <c r="N33" s="367">
        <f>N32/(Acquirer!O83*1000)</f>
        <v>2.0620059775920699E-2</v>
      </c>
      <c r="O33" s="367">
        <f>O32/(Acquirer!P83*1000)</f>
        <v>1.9702314088007863E-2</v>
      </c>
      <c r="P33" s="367">
        <f>P32/(Acquirer!Q83*1000)</f>
        <v>1.9430828377987552E-2</v>
      </c>
      <c r="Q33" s="367">
        <f>Q32/(Acquirer!R83*1000)</f>
        <v>1.8943373852495896E-2</v>
      </c>
      <c r="R33" s="367">
        <f>R32/(Acquirer!S83*1000)</f>
        <v>1.8492398845144763E-2</v>
      </c>
    </row>
    <row r="34" spans="2:18" x14ac:dyDescent="0.55000000000000004">
      <c r="B34" t="s">
        <v>2932</v>
      </c>
      <c r="E34" s="4"/>
      <c r="F34" s="4"/>
      <c r="G34" s="4"/>
      <c r="H34" s="4">
        <f>H32-Pagbank!E95</f>
        <v>3348.5</v>
      </c>
      <c r="I34" s="4">
        <f>I32-Pagbank!F95</f>
        <v>5058</v>
      </c>
      <c r="J34" s="4">
        <f>J32-Pagbank!G95</f>
        <v>8180.5</v>
      </c>
      <c r="K34" s="4">
        <f>K32-Pagbank!H95</f>
        <v>8664.8094743155452</v>
      </c>
      <c r="L34" s="4">
        <f>L32-Pagbank!I95</f>
        <v>9344.593796426514</v>
      </c>
      <c r="M34" s="4">
        <f>M32-Pagbank!J95</f>
        <v>9871.6697435092337</v>
      </c>
      <c r="N34" s="4">
        <f>N32-Pagbank!K95</f>
        <v>10329.429903011034</v>
      </c>
      <c r="O34" s="4">
        <f>O32-Pagbank!L95</f>
        <v>10747.564031053062</v>
      </c>
      <c r="P34" s="4">
        <f>P32-Pagbank!M95</f>
        <v>11533.166583163558</v>
      </c>
      <c r="Q34" s="4">
        <f>Q32-Pagbank!N95</f>
        <v>12107.062591477636</v>
      </c>
      <c r="R34" s="4">
        <f>R32-Pagbank!O95</f>
        <v>12483.553831473215</v>
      </c>
    </row>
    <row r="35" spans="2:18" x14ac:dyDescent="0.55000000000000004">
      <c r="B35" t="s">
        <v>7</v>
      </c>
      <c r="E35" s="4"/>
      <c r="F35" s="4"/>
      <c r="G35" s="4"/>
      <c r="H35" s="4"/>
      <c r="I35" s="2">
        <f>I34/H34-1</f>
        <v>0.51052710168732274</v>
      </c>
      <c r="J35" s="2">
        <f t="shared" ref="J35:R35" si="15">J34/I34-1</f>
        <v>0.61733886911822844</v>
      </c>
      <c r="K35" s="2">
        <f t="shared" si="15"/>
        <v>5.9202918442093466E-2</v>
      </c>
      <c r="L35" s="2">
        <f t="shared" si="15"/>
        <v>7.8453464455970234E-2</v>
      </c>
      <c r="M35" s="2">
        <f t="shared" si="15"/>
        <v>5.6404372256853019E-2</v>
      </c>
      <c r="N35" s="2">
        <f t="shared" si="15"/>
        <v>4.6371097432912345E-2</v>
      </c>
      <c r="O35" s="2">
        <f t="shared" si="15"/>
        <v>4.0479884366139141E-2</v>
      </c>
      <c r="P35" s="2">
        <f t="shared" si="15"/>
        <v>7.3095870826230591E-2</v>
      </c>
      <c r="Q35" s="2">
        <f t="shared" si="15"/>
        <v>4.9760488949484705E-2</v>
      </c>
      <c r="R35" s="2">
        <f t="shared" si="15"/>
        <v>3.1096827752472134E-2</v>
      </c>
    </row>
    <row r="36" spans="2:18" x14ac:dyDescent="0.55000000000000004">
      <c r="B36" s="18" t="s">
        <v>2930</v>
      </c>
      <c r="C36" s="18"/>
      <c r="D36" s="18"/>
      <c r="E36" s="367"/>
      <c r="F36" s="367"/>
      <c r="G36" s="367"/>
      <c r="H36" s="367">
        <f>H34/(Acquirer!I83*1000)</f>
        <v>2.072812052838293E-2</v>
      </c>
      <c r="I36" s="367">
        <f>I34/(Acquirer!J83*1000)</f>
        <v>1.9992094861660079E-2</v>
      </c>
      <c r="J36" s="367">
        <f>J34/(Acquirer!K83*1000)</f>
        <v>2.3108757062146892E-2</v>
      </c>
      <c r="K36" s="367">
        <f>K34/(Acquirer!L83*1000)</f>
        <v>2.1958462935416992E-2</v>
      </c>
      <c r="L36" s="367">
        <f>L34/(Acquirer!M83*1000)</f>
        <v>2.0410788701396634E-2</v>
      </c>
      <c r="M36" s="367">
        <f>M34/(Acquirer!N83*1000)</f>
        <v>1.8904893223575522E-2</v>
      </c>
      <c r="N36" s="367">
        <f>N34/(Acquirer!O83*1000)</f>
        <v>1.7621732516118319E-2</v>
      </c>
      <c r="O36" s="367">
        <f>O34/(Acquirer!P83*1000)</f>
        <v>1.6592364212133968E-2</v>
      </c>
      <c r="P36" s="367">
        <f>P34/(Acquirer!Q83*1000)</f>
        <v>1.611929426467516E-2</v>
      </c>
      <c r="Q36" s="367">
        <f>Q34/(Acquirer!R83*1000)</f>
        <v>1.5449114320566736E-2</v>
      </c>
      <c r="R36" s="367">
        <f>R34/(Acquirer!S83*1000)</f>
        <v>1.4791526336405599E-2</v>
      </c>
    </row>
    <row r="38" spans="2:18" x14ac:dyDescent="0.55000000000000004">
      <c r="B38" t="s">
        <v>1812</v>
      </c>
      <c r="H38" s="4">
        <f>H32-H62-H69</f>
        <v>3515.2000000000003</v>
      </c>
      <c r="I38" s="4">
        <f t="shared" ref="I38:R38" si="16">I32-I62-I69</f>
        <v>4519.9999999999991</v>
      </c>
      <c r="J38" s="4">
        <f t="shared" si="16"/>
        <v>5458.4</v>
      </c>
      <c r="K38" s="4">
        <f t="shared" si="16"/>
        <v>5917.9</v>
      </c>
      <c r="L38" s="4">
        <f>L32-L62-L69</f>
        <v>7069.1560586515907</v>
      </c>
      <c r="M38" s="4">
        <f t="shared" si="16"/>
        <v>8054.1019201249774</v>
      </c>
      <c r="N38" s="4">
        <f t="shared" si="16"/>
        <v>8541.1662492869873</v>
      </c>
      <c r="O38" s="4">
        <f t="shared" si="16"/>
        <v>8846.7850843499928</v>
      </c>
      <c r="P38" s="4">
        <f t="shared" si="16"/>
        <v>9672.4087543192891</v>
      </c>
      <c r="Q38" s="4">
        <f t="shared" si="16"/>
        <v>10311.752728245117</v>
      </c>
      <c r="R38" s="4">
        <f t="shared" si="16"/>
        <v>10821.044543284117</v>
      </c>
    </row>
    <row r="39" spans="2:18" x14ac:dyDescent="0.55000000000000004">
      <c r="B39" t="s">
        <v>477</v>
      </c>
      <c r="H39" s="2">
        <f>H38/H12</f>
        <v>0.51582608185246592</v>
      </c>
      <c r="I39" s="2">
        <f t="shared" ref="I39:R39" si="17">I38/I12</f>
        <v>0.43270151254068534</v>
      </c>
      <c r="J39" s="2">
        <f t="shared" si="17"/>
        <v>0.35594856144194903</v>
      </c>
      <c r="K39" s="2">
        <f t="shared" si="17"/>
        <v>0.37105147658160381</v>
      </c>
      <c r="L39" s="2">
        <f t="shared" si="17"/>
        <v>0.40548374837603612</v>
      </c>
      <c r="M39" s="2">
        <f t="shared" si="17"/>
        <v>0.42037647236789399</v>
      </c>
      <c r="N39" s="2">
        <f t="shared" si="17"/>
        <v>0.41424267219737154</v>
      </c>
      <c r="O39" s="2">
        <f t="shared" si="17"/>
        <v>0.4020706328627966</v>
      </c>
      <c r="P39" s="2">
        <f t="shared" si="17"/>
        <v>0.40522165045240344</v>
      </c>
      <c r="Q39" s="2">
        <f t="shared" si="17"/>
        <v>0.40144343616624045</v>
      </c>
      <c r="R39" s="2">
        <f t="shared" si="17"/>
        <v>0.39768242911285007</v>
      </c>
    </row>
    <row r="40" spans="2:18" x14ac:dyDescent="0.55000000000000004">
      <c r="B40" t="s">
        <v>256</v>
      </c>
      <c r="H40" s="367">
        <f>H38/(Acquirer!I83*1000)</f>
        <v>2.1760038608741733E-2</v>
      </c>
      <c r="I40" s="367">
        <f>I38/(Acquirer!J83*1000)</f>
        <v>1.7865612648221341E-2</v>
      </c>
      <c r="J40" s="367">
        <f>J38/(Acquirer!K83*1000)</f>
        <v>1.5419209039548021E-2</v>
      </c>
      <c r="K40" s="367">
        <f>K38/(Acquirer!L83*1000)</f>
        <v>1.4997212366953876E-2</v>
      </c>
      <c r="L40" s="367">
        <f>L38/(Acquirer!M83*1000)</f>
        <v>1.5440697985771469E-2</v>
      </c>
      <c r="M40" s="367">
        <f>M38/(Acquirer!N83*1000)</f>
        <v>1.542413196226218E-2</v>
      </c>
      <c r="N40" s="367">
        <f>N38/(Acquirer!O83*1000)</f>
        <v>1.4571002314150858E-2</v>
      </c>
      <c r="O40" s="367">
        <f>O38/(Acquirer!P83*1000)</f>
        <v>1.3657893063199252E-2</v>
      </c>
      <c r="P40" s="367">
        <f>P38/(Acquirer!Q83*1000)</f>
        <v>1.3518611895079887E-2</v>
      </c>
      <c r="Q40" s="367">
        <f>Q38/(Acquirer!R83*1000)</f>
        <v>1.3158224428129573E-2</v>
      </c>
      <c r="R40" s="367">
        <f>R38/(Acquirer!S83*1000)</f>
        <v>1.2821650590064067E-2</v>
      </c>
    </row>
    <row r="42" spans="2:18" x14ac:dyDescent="0.55000000000000004">
      <c r="B42" t="s">
        <v>1536</v>
      </c>
      <c r="G42" s="4">
        <f>G26-G29-G62-G66</f>
        <v>3740.75</v>
      </c>
      <c r="H42" s="4">
        <f t="shared" ref="H42:R42" si="18">H26-H29-H62-H66</f>
        <v>3815.8200000000006</v>
      </c>
      <c r="I42" s="4">
        <f t="shared" si="18"/>
        <v>5052.2999999999993</v>
      </c>
      <c r="J42" s="4">
        <f>J26-J29-J62-J66</f>
        <v>6070.6999999999989</v>
      </c>
      <c r="K42" s="4">
        <f t="shared" si="18"/>
        <v>6647.5</v>
      </c>
      <c r="L42" s="4">
        <f t="shared" si="18"/>
        <v>7797.4753507536007</v>
      </c>
      <c r="M42" s="4">
        <f t="shared" si="18"/>
        <v>8790.1922693499237</v>
      </c>
      <c r="N42" s="4">
        <f t="shared" si="18"/>
        <v>9272.7057462211196</v>
      </c>
      <c r="O42" s="4">
        <f t="shared" si="18"/>
        <v>9590.9652794784997</v>
      </c>
      <c r="P42" s="4">
        <f t="shared" si="18"/>
        <v>10462.846224214036</v>
      </c>
      <c r="Q42" s="4">
        <f t="shared" si="18"/>
        <v>11149.45176912098</v>
      </c>
      <c r="R42" s="4">
        <f t="shared" si="18"/>
        <v>11699.287191442661</v>
      </c>
    </row>
    <row r="43" spans="2:18" x14ac:dyDescent="0.55000000000000004">
      <c r="B43" t="s">
        <v>763</v>
      </c>
      <c r="H43" s="2">
        <f>H42/G42-1</f>
        <v>2.0068168148098753E-2</v>
      </c>
      <c r="I43" s="2">
        <f t="shared" ref="I43:R43" si="19">I42/H42-1</f>
        <v>0.3240404421592209</v>
      </c>
      <c r="J43" s="2">
        <f t="shared" si="19"/>
        <v>0.20157156146705457</v>
      </c>
      <c r="K43" s="2">
        <f t="shared" si="19"/>
        <v>9.5013754591727784E-2</v>
      </c>
      <c r="L43" s="2">
        <f t="shared" si="19"/>
        <v>0.17299365938376843</v>
      </c>
      <c r="M43" s="2">
        <f t="shared" si="19"/>
        <v>0.12731260747113238</v>
      </c>
      <c r="N43" s="2">
        <f t="shared" si="19"/>
        <v>5.4892255150509994E-2</v>
      </c>
      <c r="O43" s="2">
        <f t="shared" si="19"/>
        <v>3.4322186206229954E-2</v>
      </c>
      <c r="P43" s="2">
        <f t="shared" si="19"/>
        <v>9.0906485356700539E-2</v>
      </c>
      <c r="Q43" s="2">
        <f t="shared" si="19"/>
        <v>6.5623209038276897E-2</v>
      </c>
      <c r="R43" s="2">
        <f t="shared" si="19"/>
        <v>4.9315018684997547E-2</v>
      </c>
    </row>
    <row r="44" spans="2:18" x14ac:dyDescent="0.55000000000000004"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</row>
    <row r="45" spans="2:18" x14ac:dyDescent="0.55000000000000004">
      <c r="B45" s="23" t="s">
        <v>318</v>
      </c>
    </row>
    <row r="46" spans="2:18" x14ac:dyDescent="0.55000000000000004">
      <c r="B46" t="s">
        <v>308</v>
      </c>
      <c r="G46" s="31">
        <v>463.2</v>
      </c>
      <c r="H46" s="51">
        <v>0</v>
      </c>
      <c r="I46" s="51">
        <f t="shared" ref="I46:R46" si="20">H46</f>
        <v>0</v>
      </c>
      <c r="J46" s="51">
        <f t="shared" si="20"/>
        <v>0</v>
      </c>
      <c r="K46" s="51">
        <f t="shared" si="20"/>
        <v>0</v>
      </c>
      <c r="L46" s="51">
        <f t="shared" si="20"/>
        <v>0</v>
      </c>
      <c r="M46" s="51">
        <f t="shared" si="20"/>
        <v>0</v>
      </c>
      <c r="N46" s="51">
        <f t="shared" si="20"/>
        <v>0</v>
      </c>
      <c r="O46" s="51">
        <f t="shared" si="20"/>
        <v>0</v>
      </c>
      <c r="P46" s="51">
        <f t="shared" si="20"/>
        <v>0</v>
      </c>
      <c r="Q46" s="51">
        <f t="shared" si="20"/>
        <v>0</v>
      </c>
      <c r="R46" s="51">
        <f t="shared" si="20"/>
        <v>0</v>
      </c>
    </row>
    <row r="47" spans="2:18" x14ac:dyDescent="0.55000000000000004"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</row>
    <row r="48" spans="2:18" x14ac:dyDescent="0.55000000000000004">
      <c r="B48" t="s">
        <v>309</v>
      </c>
      <c r="D48">
        <f>0.2*H48</f>
        <v>102.12</v>
      </c>
      <c r="G48" s="31">
        <v>476.5</v>
      </c>
      <c r="H48" s="31">
        <v>510.6</v>
      </c>
      <c r="I48" s="31">
        <v>791.1</v>
      </c>
      <c r="J48" s="31">
        <v>717.7</v>
      </c>
      <c r="K48" s="31">
        <v>581</v>
      </c>
      <c r="L48" s="4">
        <f t="shared" ref="L48:R48" si="21">L49*L$12</f>
        <v>697.35530333470433</v>
      </c>
      <c r="M48" s="4">
        <f t="shared" si="21"/>
        <v>766.37037984146752</v>
      </c>
      <c r="N48" s="4">
        <f t="shared" si="21"/>
        <v>824.7500146694141</v>
      </c>
      <c r="O48" s="4">
        <f t="shared" si="21"/>
        <v>880.12248209820257</v>
      </c>
      <c r="P48" s="4">
        <f t="shared" si="21"/>
        <v>954.77709480929047</v>
      </c>
      <c r="Q48" s="4">
        <f t="shared" si="21"/>
        <v>1027.4675632235223</v>
      </c>
      <c r="R48" s="4">
        <f t="shared" si="21"/>
        <v>1088.4106262802411</v>
      </c>
    </row>
    <row r="49" spans="2:18" x14ac:dyDescent="0.55000000000000004">
      <c r="B49" t="s">
        <v>317</v>
      </c>
      <c r="D49" s="4">
        <f>D48/((Quarts!S204-Quarts!R204)/1000)</f>
        <v>139.40402458818349</v>
      </c>
      <c r="G49" s="54">
        <f>G48/G$12</f>
        <v>8.3491028875806006E-2</v>
      </c>
      <c r="H49" s="54">
        <f>H48/H$12</f>
        <v>7.4926262344637326E-2</v>
      </c>
      <c r="I49" s="54">
        <f>I48/I$12</f>
        <v>7.5732337736932803E-2</v>
      </c>
      <c r="J49" s="54">
        <f>J48/J$12</f>
        <v>4.6802045021780529E-2</v>
      </c>
      <c r="K49" s="54">
        <f>K48/K$12</f>
        <v>3.642861621418271E-2</v>
      </c>
      <c r="L49" s="42">
        <v>0.04</v>
      </c>
      <c r="M49" s="42">
        <v>0.04</v>
      </c>
      <c r="N49" s="42">
        <v>0.04</v>
      </c>
      <c r="O49" s="42">
        <v>0.04</v>
      </c>
      <c r="P49" s="42">
        <v>0.04</v>
      </c>
      <c r="Q49" s="42">
        <v>0.04</v>
      </c>
      <c r="R49" s="42">
        <v>0.04</v>
      </c>
    </row>
    <row r="50" spans="2:18" x14ac:dyDescent="0.55000000000000004">
      <c r="G50" s="54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</row>
    <row r="51" spans="2:18" x14ac:dyDescent="0.55000000000000004">
      <c r="B51" t="s">
        <v>310</v>
      </c>
      <c r="F51" s="31">
        <v>546.79999999999995</v>
      </c>
      <c r="G51" s="31">
        <v>399.1</v>
      </c>
      <c r="H51" s="31">
        <v>619.1</v>
      </c>
      <c r="I51" s="31">
        <v>1074.2</v>
      </c>
      <c r="J51" s="31">
        <v>1032.7</v>
      </c>
      <c r="K51" s="31">
        <v>1122</v>
      </c>
      <c r="L51" s="4">
        <f t="shared" ref="L51:R51" si="22">L52*L$12</f>
        <v>1194.2209569606814</v>
      </c>
      <c r="M51" s="4">
        <f t="shared" si="22"/>
        <v>1312.4092754785131</v>
      </c>
      <c r="N51" s="4">
        <f t="shared" si="22"/>
        <v>1412.3844001213718</v>
      </c>
      <c r="O51" s="4">
        <f t="shared" si="22"/>
        <v>1507.209750593172</v>
      </c>
      <c r="P51" s="4">
        <f t="shared" si="22"/>
        <v>1635.0557748609099</v>
      </c>
      <c r="Q51" s="4">
        <f t="shared" si="22"/>
        <v>1759.5382020202821</v>
      </c>
      <c r="R51" s="4">
        <f t="shared" si="22"/>
        <v>1863.9031975049129</v>
      </c>
    </row>
    <row r="52" spans="2:18" x14ac:dyDescent="0.55000000000000004">
      <c r="B52" t="s">
        <v>317</v>
      </c>
      <c r="F52" s="54">
        <f t="shared" ref="F52:K52" si="23">F51/F$12</f>
        <v>0.12614774142942831</v>
      </c>
      <c r="G52" s="54">
        <f t="shared" si="23"/>
        <v>6.992921222315672E-2</v>
      </c>
      <c r="H52" s="54">
        <f t="shared" si="23"/>
        <v>9.0847726238865972E-2</v>
      </c>
      <c r="I52" s="54">
        <f t="shared" si="23"/>
        <v>0.10283362052460272</v>
      </c>
      <c r="J52" s="54">
        <f t="shared" si="23"/>
        <v>6.7343558442235968E-2</v>
      </c>
      <c r="K52" s="54">
        <f t="shared" si="23"/>
        <v>7.0349238196752151E-2</v>
      </c>
      <c r="L52" s="42">
        <v>6.8500000000000005E-2</v>
      </c>
      <c r="M52" s="42">
        <v>6.8500000000000005E-2</v>
      </c>
      <c r="N52" s="42">
        <v>6.8500000000000005E-2</v>
      </c>
      <c r="O52" s="42">
        <v>6.8500000000000005E-2</v>
      </c>
      <c r="P52" s="42">
        <v>6.8500000000000005E-2</v>
      </c>
      <c r="Q52" s="42">
        <v>6.8500000000000005E-2</v>
      </c>
      <c r="R52" s="42">
        <v>6.8500000000000005E-2</v>
      </c>
    </row>
    <row r="53" spans="2:18" x14ac:dyDescent="0.55000000000000004">
      <c r="B53" s="10" t="s">
        <v>972</v>
      </c>
      <c r="F53" s="44">
        <v>264.2</v>
      </c>
      <c r="G53" s="44">
        <v>156.273</v>
      </c>
      <c r="H53" s="31">
        <v>207</v>
      </c>
      <c r="I53" s="44">
        <v>370.62900000000002</v>
      </c>
      <c r="J53" s="44">
        <v>79</v>
      </c>
      <c r="K53" s="4">
        <f t="shared" ref="K53:R53" si="24">K54*K51</f>
        <v>74.611315967851269</v>
      </c>
      <c r="L53" s="4">
        <f t="shared" si="24"/>
        <v>67.471691638256928</v>
      </c>
      <c r="M53" s="4">
        <f t="shared" si="24"/>
        <v>72.836744967834477</v>
      </c>
      <c r="N53" s="4">
        <f t="shared" si="24"/>
        <v>78.385214330857195</v>
      </c>
      <c r="O53" s="4">
        <f t="shared" si="24"/>
        <v>83.647878956784794</v>
      </c>
      <c r="P53" s="4">
        <f t="shared" si="24"/>
        <v>90.74314141699989</v>
      </c>
      <c r="Q53" s="4">
        <f t="shared" si="24"/>
        <v>97.651729286190616</v>
      </c>
      <c r="R53" s="4">
        <f t="shared" si="24"/>
        <v>103.44382989208708</v>
      </c>
    </row>
    <row r="54" spans="2:18" x14ac:dyDescent="0.55000000000000004">
      <c r="B54" s="10" t="s">
        <v>520</v>
      </c>
      <c r="F54" s="2">
        <f>F53/F51</f>
        <v>0.48317483540599854</v>
      </c>
      <c r="G54" s="2">
        <f>G53/G51</f>
        <v>0.39156351791530941</v>
      </c>
      <c r="H54" s="2">
        <f>H53/H51</f>
        <v>0.3343563236956873</v>
      </c>
      <c r="I54" s="2">
        <f>I53/I51</f>
        <v>0.34502792776019364</v>
      </c>
      <c r="J54" s="2">
        <f>J53/J51</f>
        <v>7.6498499080081342E-2</v>
      </c>
      <c r="K54" s="42">
        <f>J54-1%</f>
        <v>6.6498499080081347E-2</v>
      </c>
      <c r="L54" s="42">
        <f>K54-1%</f>
        <v>5.6498499080081345E-2</v>
      </c>
      <c r="M54" s="42">
        <f>L54-0.1%</f>
        <v>5.5498499080081344E-2</v>
      </c>
      <c r="N54" s="42">
        <f>M54</f>
        <v>5.5498499080081344E-2</v>
      </c>
      <c r="O54" s="42">
        <f>N54</f>
        <v>5.5498499080081344E-2</v>
      </c>
      <c r="P54" s="42">
        <f>O54</f>
        <v>5.5498499080081344E-2</v>
      </c>
      <c r="Q54" s="42">
        <f>P54</f>
        <v>5.5498499080081344E-2</v>
      </c>
      <c r="R54" s="42">
        <f>Q54</f>
        <v>5.5498499080081344E-2</v>
      </c>
    </row>
    <row r="55" spans="2:18" x14ac:dyDescent="0.55000000000000004">
      <c r="B55" s="10"/>
      <c r="F55" s="2"/>
      <c r="G55" s="2"/>
      <c r="H55" s="2"/>
      <c r="I55" s="2"/>
      <c r="J55" s="42"/>
      <c r="K55" s="42"/>
      <c r="L55" s="42"/>
      <c r="M55" s="42"/>
      <c r="N55" s="42"/>
      <c r="O55" s="42"/>
      <c r="P55" s="42"/>
      <c r="Q55" s="42"/>
      <c r="R55" s="42"/>
    </row>
    <row r="56" spans="2:18" x14ac:dyDescent="0.55000000000000004">
      <c r="B56" s="10" t="s">
        <v>2044</v>
      </c>
      <c r="F56" s="31">
        <v>1700</v>
      </c>
      <c r="G56" s="31">
        <v>2646</v>
      </c>
      <c r="H56" s="31">
        <v>3118</v>
      </c>
      <c r="I56" s="31">
        <v>3778</v>
      </c>
      <c r="J56" s="4">
        <f>I56</f>
        <v>3778</v>
      </c>
      <c r="K56" s="4">
        <f t="shared" ref="K56:R56" si="25">J56</f>
        <v>3778</v>
      </c>
      <c r="L56" s="4">
        <f t="shared" si="25"/>
        <v>3778</v>
      </c>
      <c r="M56" s="4">
        <f t="shared" si="25"/>
        <v>3778</v>
      </c>
      <c r="N56" s="4">
        <f t="shared" si="25"/>
        <v>3778</v>
      </c>
      <c r="O56" s="4">
        <f t="shared" si="25"/>
        <v>3778</v>
      </c>
      <c r="P56" s="4">
        <f t="shared" si="25"/>
        <v>3778</v>
      </c>
      <c r="Q56" s="4">
        <f t="shared" si="25"/>
        <v>3778</v>
      </c>
      <c r="R56" s="4">
        <f t="shared" si="25"/>
        <v>3778</v>
      </c>
    </row>
    <row r="57" spans="2:18" x14ac:dyDescent="0.55000000000000004">
      <c r="B57" s="10" t="s">
        <v>2045</v>
      </c>
      <c r="F57" s="2"/>
      <c r="G57" s="4">
        <f>G51*1000000/AVERAGE(F56,G56)</f>
        <v>183663.13851817764</v>
      </c>
      <c r="H57" s="4">
        <f>H51*1000000/AVERAGE(G56,H56)</f>
        <v>214816.09993060376</v>
      </c>
      <c r="I57" s="4">
        <f>I51*1000000/AVERAGE(H56,I56)</f>
        <v>311542.92343387473</v>
      </c>
      <c r="J57" s="4">
        <f t="shared" ref="J57:R57" si="26">J51*1000000/AVERAGE(I56,J56)</f>
        <v>273345.68554790894</v>
      </c>
      <c r="K57" s="4">
        <f t="shared" si="26"/>
        <v>296982.53043938591</v>
      </c>
      <c r="L57" s="4">
        <f t="shared" si="26"/>
        <v>316098.71809441014</v>
      </c>
      <c r="M57" s="4">
        <f t="shared" si="26"/>
        <v>347382.02103719243</v>
      </c>
      <c r="N57" s="4">
        <f t="shared" si="26"/>
        <v>373844.46800459811</v>
      </c>
      <c r="O57" s="4">
        <f t="shared" si="26"/>
        <v>398943.8196382139</v>
      </c>
      <c r="P57" s="4">
        <f t="shared" si="26"/>
        <v>432783.42373237427</v>
      </c>
      <c r="Q57" s="4">
        <f t="shared" si="26"/>
        <v>465732.71625735366</v>
      </c>
      <c r="R57" s="4">
        <f t="shared" si="26"/>
        <v>493357.11950897641</v>
      </c>
    </row>
    <row r="58" spans="2:18" x14ac:dyDescent="0.55000000000000004">
      <c r="B58" s="10" t="s">
        <v>7</v>
      </c>
      <c r="F58" s="2"/>
      <c r="G58" s="4"/>
      <c r="H58" s="2">
        <f>H57/G57-1</f>
        <v>0.16962010811626649</v>
      </c>
      <c r="I58" s="2">
        <f>I57/H57-1</f>
        <v>0.45027734669104658</v>
      </c>
      <c r="J58" s="2">
        <f t="shared" ref="J58:R58" si="27">J57/I57-1</f>
        <v>-0.12260666191659841</v>
      </c>
      <c r="K58" s="2">
        <f t="shared" si="27"/>
        <v>8.6472354023433784E-2</v>
      </c>
      <c r="L58" s="2">
        <f t="shared" si="27"/>
        <v>6.4368054332158309E-2</v>
      </c>
      <c r="M58" s="2">
        <f t="shared" si="27"/>
        <v>9.8966876966071204E-2</v>
      </c>
      <c r="N58" s="2">
        <f t="shared" si="27"/>
        <v>7.6176789139505985E-2</v>
      </c>
      <c r="O58" s="2">
        <f t="shared" si="27"/>
        <v>6.7138486139928899E-2</v>
      </c>
      <c r="P58" s="2">
        <f t="shared" si="27"/>
        <v>8.4822981152705035E-2</v>
      </c>
      <c r="Q58" s="2">
        <f t="shared" si="27"/>
        <v>7.6133443930963995E-2</v>
      </c>
      <c r="R58" s="2">
        <f t="shared" si="27"/>
        <v>5.931385596788985E-2</v>
      </c>
    </row>
    <row r="59" spans="2:18" x14ac:dyDescent="0.55000000000000004">
      <c r="G59" s="42"/>
    </row>
    <row r="60" spans="2:18" x14ac:dyDescent="0.55000000000000004">
      <c r="B60" t="s">
        <v>314</v>
      </c>
      <c r="F60" s="4"/>
      <c r="G60" s="4">
        <f>Pagbank!D169</f>
        <v>10.387499999999999</v>
      </c>
      <c r="H60" s="4">
        <f>Pagbank!E169</f>
        <v>16.952400000000001</v>
      </c>
      <c r="I60" s="4">
        <f>Pagbank!F169</f>
        <v>58.818649999999998</v>
      </c>
      <c r="J60" s="4">
        <f>Pagbank!G169</f>
        <v>294.16780309213726</v>
      </c>
      <c r="K60" s="4">
        <f>Pagbank!H169</f>
        <v>350.546875</v>
      </c>
      <c r="L60" s="4">
        <f>Pagbank!I169</f>
        <v>268.35714843749997</v>
      </c>
      <c r="M60" s="4">
        <f>Pagbank!J169</f>
        <v>264.19487500000002</v>
      </c>
      <c r="N60" s="4">
        <f>Pagbank!K169</f>
        <v>314.56260000000003</v>
      </c>
      <c r="O60" s="4">
        <f>Pagbank!L169</f>
        <v>387.05898999999999</v>
      </c>
      <c r="P60" s="4">
        <f>Pagbank!M169</f>
        <v>464.4298384999999</v>
      </c>
      <c r="Q60" s="4">
        <f>Pagbank!N169</f>
        <v>547.40631427499989</v>
      </c>
      <c r="R60" s="4">
        <f>Pagbank!O169</f>
        <v>636.82926141624978</v>
      </c>
    </row>
    <row r="61" spans="2:18" x14ac:dyDescent="0.55000000000000004">
      <c r="B61" s="1" t="s">
        <v>315</v>
      </c>
      <c r="C61" s="1"/>
      <c r="D61" s="1"/>
      <c r="E61" s="1"/>
      <c r="F61" s="1"/>
      <c r="G61" s="6">
        <f>G62-G60</f>
        <v>27.812500000000004</v>
      </c>
      <c r="H61" s="6">
        <f>H62-H60</f>
        <v>92.247600000000006</v>
      </c>
      <c r="I61" s="6">
        <f>I62-I60</f>
        <v>731.78134999999997</v>
      </c>
      <c r="J61" s="6">
        <f>J62-J60</f>
        <v>2857.4321969078628</v>
      </c>
      <c r="K61" s="6">
        <f>K62-K60</f>
        <v>2919.453125</v>
      </c>
      <c r="L61" s="50">
        <f>K61*(Acquirer!M125/Acquirer!L125)*(Pagbank!I168/Pagbank!H168)*0.98</f>
        <v>2546.2538033324427</v>
      </c>
      <c r="M61" s="50">
        <f>L61*(Acquirer!N125/Acquirer!M125)*(Pagbank!J168/Pagbank!I168)</f>
        <v>2418.6009579098231</v>
      </c>
      <c r="N61" s="50">
        <f>M61*(Acquirer!O125/Acquirer!N125)*(Pagbank!K168/Pagbank!J168)</f>
        <v>2555.7127146387147</v>
      </c>
      <c r="O61" s="50">
        <f>N61*(Acquirer!P125/Acquirer!O125)*(Pagbank!L168/Pagbank!K168)</f>
        <v>2824.9841344216479</v>
      </c>
      <c r="P61" s="50">
        <f>O61*(Acquirer!Q125/Acquirer!P125)*(Pagbank!M168/Pagbank!L168)*0.95</f>
        <v>2966.986367532546</v>
      </c>
      <c r="Q61" s="50">
        <f>P61*(Acquirer!R125/Acquirer!Q125)*(Pagbank!N168/Pagbank!M168)*0.95</f>
        <v>3090.0320142831793</v>
      </c>
      <c r="R61" s="50">
        <f>Q61*(Acquirer!S125/Acquirer!R125)*(Pagbank!O168/Pagbank!N168)*0.95</f>
        <v>3160.8079230452386</v>
      </c>
    </row>
    <row r="62" spans="2:18" x14ac:dyDescent="0.55000000000000004">
      <c r="B62" t="s">
        <v>179</v>
      </c>
      <c r="G62" s="31">
        <v>38.200000000000003</v>
      </c>
      <c r="H62" s="31">
        <v>109.2</v>
      </c>
      <c r="I62" s="31">
        <v>790.6</v>
      </c>
      <c r="J62" s="31">
        <v>3151.6</v>
      </c>
      <c r="K62" s="31">
        <v>3270</v>
      </c>
      <c r="L62" s="4">
        <f t="shared" ref="L62:R62" si="28">L60+L61</f>
        <v>2814.6109517699424</v>
      </c>
      <c r="M62" s="4">
        <f t="shared" si="28"/>
        <v>2682.7958329098233</v>
      </c>
      <c r="N62" s="4">
        <f t="shared" si="28"/>
        <v>2870.2753146387149</v>
      </c>
      <c r="O62" s="4">
        <f t="shared" si="28"/>
        <v>3212.0431244216479</v>
      </c>
      <c r="P62" s="4">
        <f t="shared" si="28"/>
        <v>3431.4162060325457</v>
      </c>
      <c r="Q62" s="4">
        <f t="shared" si="28"/>
        <v>3637.4383285581789</v>
      </c>
      <c r="R62" s="4">
        <f t="shared" si="28"/>
        <v>3797.6371844614882</v>
      </c>
    </row>
    <row r="63" spans="2:18" x14ac:dyDescent="0.55000000000000004">
      <c r="B63" s="15" t="s">
        <v>529</v>
      </c>
      <c r="C63" s="15"/>
      <c r="D63" s="15"/>
      <c r="E63" s="15"/>
      <c r="F63" s="15"/>
      <c r="G63" s="483"/>
      <c r="H63" s="483"/>
      <c r="I63" s="483"/>
      <c r="J63" s="483"/>
      <c r="K63" s="556"/>
      <c r="L63" s="2"/>
      <c r="M63" s="4"/>
      <c r="N63" s="4"/>
      <c r="O63" s="4"/>
      <c r="P63" s="4"/>
      <c r="Q63" s="4"/>
      <c r="R63" s="4"/>
    </row>
    <row r="64" spans="2:18" x14ac:dyDescent="0.55000000000000004">
      <c r="B64" s="15" t="s">
        <v>2573</v>
      </c>
      <c r="C64" s="15"/>
      <c r="D64" s="15"/>
      <c r="E64" s="15"/>
      <c r="F64" s="15"/>
      <c r="G64" s="483"/>
      <c r="H64" s="483"/>
      <c r="I64" s="483"/>
      <c r="J64" s="483"/>
      <c r="K64" s="4"/>
      <c r="L64" s="4"/>
      <c r="M64" s="4"/>
      <c r="N64" s="4"/>
      <c r="O64" s="4"/>
      <c r="P64" s="4"/>
      <c r="Q64" s="4"/>
      <c r="R64" s="4"/>
    </row>
    <row r="66" spans="2:18" x14ac:dyDescent="0.55000000000000004">
      <c r="B66" t="s">
        <v>316</v>
      </c>
      <c r="G66" s="4">
        <f>Pagbank!D180</f>
        <v>71.25</v>
      </c>
      <c r="H66" s="4">
        <f>Pagbank!E180</f>
        <v>116.28</v>
      </c>
      <c r="I66" s="4">
        <f>Pagbank!F180</f>
        <v>282</v>
      </c>
      <c r="J66" s="4">
        <f>Pagbank!G180</f>
        <v>548</v>
      </c>
      <c r="K66" s="4">
        <f>Pagbank!H180</f>
        <v>76</v>
      </c>
      <c r="L66" s="4">
        <f>Pagbank!I180</f>
        <v>47.888249999999999</v>
      </c>
      <c r="M66" s="4">
        <f>Pagbank!J180</f>
        <v>107.40618000000001</v>
      </c>
      <c r="N66" s="4">
        <f>Pagbank!K180</f>
        <v>162.490419</v>
      </c>
      <c r="O66" s="4">
        <f>Pagbank!L180</f>
        <v>166.56992729999999</v>
      </c>
      <c r="P66" s="4">
        <f>Pagbank!M180</f>
        <v>205.46005639499995</v>
      </c>
      <c r="Q66" s="4">
        <f>Pagbank!N180</f>
        <v>245.86370485424993</v>
      </c>
      <c r="R66" s="4">
        <f>Pagbank!O180</f>
        <v>288.00790058238744</v>
      </c>
    </row>
    <row r="67" spans="2:18" x14ac:dyDescent="0.55000000000000004">
      <c r="B67" s="1" t="s">
        <v>5</v>
      </c>
      <c r="C67" s="1"/>
      <c r="D67" s="1"/>
      <c r="E67" s="1"/>
      <c r="F67" s="1"/>
      <c r="G67" s="6">
        <f>G69-G66</f>
        <v>129.35</v>
      </c>
      <c r="H67" s="6">
        <f>H69-H66</f>
        <v>172.02</v>
      </c>
      <c r="I67" s="6">
        <f>I69-I66</f>
        <v>382.29999999999995</v>
      </c>
      <c r="J67" s="6">
        <f>J69-J66</f>
        <v>436.5</v>
      </c>
      <c r="K67" s="6">
        <f>K69-K66</f>
        <v>460.6</v>
      </c>
      <c r="L67" s="6">
        <f>(K67/Acquirer!L127*Acquirer!M127*(1+L68))</f>
        <v>486.2192921020112</v>
      </c>
      <c r="M67" s="6">
        <f>(L67/Acquirer!M127*Acquirer!N127*(1+M68))</f>
        <v>506.09534922494748</v>
      </c>
      <c r="N67" s="6">
        <f>(M67/Acquirer!N127*Acquirer!O127*(1+N68))</f>
        <v>513.04424693413307</v>
      </c>
      <c r="O67" s="6">
        <f>(N67/Acquirer!O127*Acquirer!P127*(1+O68))</f>
        <v>536.60970762850434</v>
      </c>
      <c r="P67" s="6">
        <f>(O67/Acquirer!P127*Acquirer!Q127*(1+P68))</f>
        <v>593.24550676974923</v>
      </c>
      <c r="Q67" s="6">
        <f>(P67/Acquirer!Q127*Acquirer!R127*(1+Q68))</f>
        <v>650.36667590711465</v>
      </c>
      <c r="R67" s="6">
        <f>(Q67/Acquirer!R127*Acquirer!S127*(1+R68))</f>
        <v>700.27690143823122</v>
      </c>
    </row>
    <row r="68" spans="2:18" x14ac:dyDescent="0.55000000000000004">
      <c r="B68" t="s">
        <v>806</v>
      </c>
      <c r="G68" s="4"/>
      <c r="H68" s="42"/>
      <c r="I68" s="42"/>
      <c r="J68" s="42"/>
      <c r="K68" s="42"/>
      <c r="L68" s="42">
        <v>-0.05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</row>
    <row r="69" spans="2:18" x14ac:dyDescent="0.55000000000000004">
      <c r="B69" t="s">
        <v>3281</v>
      </c>
      <c r="G69" s="31">
        <v>200.6</v>
      </c>
      <c r="H69" s="31">
        <v>288.3</v>
      </c>
      <c r="I69" s="31">
        <v>664.3</v>
      </c>
      <c r="J69" s="31">
        <v>984.5</v>
      </c>
      <c r="K69" s="31">
        <v>536.6</v>
      </c>
      <c r="L69" s="4">
        <f t="shared" ref="L69:R69" si="29">L66+L67</f>
        <v>534.10754210201117</v>
      </c>
      <c r="M69" s="4">
        <f t="shared" si="29"/>
        <v>613.50152922494749</v>
      </c>
      <c r="N69" s="4">
        <f t="shared" si="29"/>
        <v>675.53466593413305</v>
      </c>
      <c r="O69" s="4">
        <f t="shared" si="29"/>
        <v>703.17963492850436</v>
      </c>
      <c r="P69" s="4">
        <f t="shared" si="29"/>
        <v>798.70556316474915</v>
      </c>
      <c r="Q69" s="4">
        <f t="shared" si="29"/>
        <v>896.23038076136459</v>
      </c>
      <c r="R69" s="4">
        <f t="shared" si="29"/>
        <v>988.2848020206186</v>
      </c>
    </row>
    <row r="70" spans="2:18" x14ac:dyDescent="0.55000000000000004">
      <c r="B70" t="s">
        <v>317</v>
      </c>
      <c r="G70" s="12">
        <f>G69/G26</f>
        <v>4.9848417076686052E-2</v>
      </c>
      <c r="H70" s="12">
        <f t="shared" ref="H70:R70" si="30">H69/H26</f>
        <v>6.1380910813515294E-2</v>
      </c>
      <c r="I70" s="12">
        <f t="shared" si="30"/>
        <v>9.8429396947695952E-2</v>
      </c>
      <c r="J70" s="12">
        <f t="shared" si="30"/>
        <v>9.8946712496733605E-2</v>
      </c>
      <c r="K70" s="12">
        <f t="shared" si="30"/>
        <v>5.2737100737100737E-2</v>
      </c>
      <c r="L70" s="12">
        <f t="shared" si="30"/>
        <v>4.9291809578029464E-2</v>
      </c>
      <c r="M70" s="12">
        <f t="shared" si="30"/>
        <v>5.2207967306638021E-2</v>
      </c>
      <c r="N70" s="12">
        <f t="shared" si="30"/>
        <v>5.4172287848690541E-2</v>
      </c>
      <c r="O70" s="12">
        <f t="shared" si="30"/>
        <v>5.3488377163991102E-2</v>
      </c>
      <c r="P70" s="12">
        <f t="shared" si="30"/>
        <v>5.5892851251406549E-2</v>
      </c>
      <c r="Q70" s="12">
        <f t="shared" si="30"/>
        <v>5.8816610415903477E-2</v>
      </c>
      <c r="R70" s="12">
        <f t="shared" si="30"/>
        <v>6.1744271568621854E-2</v>
      </c>
    </row>
    <row r="71" spans="2:18" x14ac:dyDescent="0.55000000000000004">
      <c r="K71" s="4"/>
    </row>
    <row r="72" spans="2:18" x14ac:dyDescent="0.55000000000000004">
      <c r="B72" t="s">
        <v>312</v>
      </c>
      <c r="E72" s="31">
        <v>51.6</v>
      </c>
      <c r="F72" s="31">
        <v>95.4</v>
      </c>
      <c r="G72" s="31">
        <v>128.19999999999999</v>
      </c>
      <c r="H72" s="31">
        <v>376.3</v>
      </c>
      <c r="I72" s="31">
        <v>768.6</v>
      </c>
      <c r="J72" s="31">
        <v>1131</v>
      </c>
      <c r="K72" s="31">
        <v>1355</v>
      </c>
      <c r="L72" s="4">
        <f t="shared" ref="L72:R72" si="31">L75+L78</f>
        <v>1773.5470645841904</v>
      </c>
      <c r="M72" s="4">
        <f t="shared" si="31"/>
        <v>1841.6814874009174</v>
      </c>
      <c r="N72" s="4">
        <f t="shared" si="31"/>
        <v>1909.438759168384</v>
      </c>
      <c r="O72" s="4">
        <f t="shared" si="31"/>
        <v>1984.0685513113763</v>
      </c>
      <c r="P72" s="4">
        <f t="shared" si="31"/>
        <v>2072.2675092558061</v>
      </c>
      <c r="Q72" s="4">
        <f t="shared" si="31"/>
        <v>2160.8463751397012</v>
      </c>
      <c r="R72" s="4">
        <f t="shared" si="31"/>
        <v>2243.7876985032749</v>
      </c>
    </row>
    <row r="73" spans="2:18" x14ac:dyDescent="0.55000000000000004">
      <c r="B73" s="10" t="s">
        <v>516</v>
      </c>
      <c r="E73" s="4"/>
      <c r="F73" s="4">
        <v>0</v>
      </c>
      <c r="G73" s="4">
        <f>Acquirer!H167</f>
        <v>15</v>
      </c>
      <c r="H73" s="4">
        <f>Acquirer!I167</f>
        <v>172.51</v>
      </c>
      <c r="I73" s="4">
        <f>Acquirer!J167</f>
        <v>448.38499999999999</v>
      </c>
      <c r="J73" s="4">
        <f>Acquirer!K167</f>
        <v>641</v>
      </c>
      <c r="K73" s="4">
        <f>Acquirer!L167</f>
        <v>686</v>
      </c>
      <c r="L73" s="4">
        <f>Acquirer!M167</f>
        <v>1275</v>
      </c>
      <c r="M73" s="4">
        <f>Acquirer!N167</f>
        <v>1300</v>
      </c>
      <c r="N73" s="4">
        <f>Acquirer!O167</f>
        <v>1325</v>
      </c>
      <c r="O73" s="4">
        <f>Acquirer!P167</f>
        <v>1358.1249999999998</v>
      </c>
      <c r="P73" s="4">
        <f>Acquirer!Q167</f>
        <v>1392.0781249999995</v>
      </c>
      <c r="Q73" s="4">
        <f>Acquirer!R167</f>
        <v>1426.8800781249995</v>
      </c>
      <c r="R73" s="4">
        <f>Acquirer!S167</f>
        <v>1462.5520800781244</v>
      </c>
    </row>
    <row r="74" spans="2:18" x14ac:dyDescent="0.55000000000000004">
      <c r="B74" s="22" t="s">
        <v>517</v>
      </c>
      <c r="C74" s="1"/>
      <c r="D74" s="1"/>
      <c r="E74" s="6"/>
      <c r="F74" s="6">
        <f t="shared" ref="F74:K74" si="32">F75-F73</f>
        <v>11.5</v>
      </c>
      <c r="G74" s="6">
        <f t="shared" si="32"/>
        <v>22.9</v>
      </c>
      <c r="H74" s="6">
        <f t="shared" si="32"/>
        <v>36.490000000000009</v>
      </c>
      <c r="I74" s="6">
        <f t="shared" si="32"/>
        <v>39.555999999999983</v>
      </c>
      <c r="J74" s="6">
        <f t="shared" si="32"/>
        <v>44</v>
      </c>
      <c r="K74" s="6">
        <f t="shared" si="32"/>
        <v>57</v>
      </c>
      <c r="L74" s="50">
        <f t="shared" ref="L74:R74" si="33">K74*1.1</f>
        <v>62.7</v>
      </c>
      <c r="M74" s="50">
        <f>L74*1</f>
        <v>62.7</v>
      </c>
      <c r="N74" s="50">
        <f t="shared" si="33"/>
        <v>68.970000000000013</v>
      </c>
      <c r="O74" s="50">
        <f t="shared" si="33"/>
        <v>75.867000000000019</v>
      </c>
      <c r="P74" s="50">
        <f t="shared" si="33"/>
        <v>83.453700000000026</v>
      </c>
      <c r="Q74" s="50">
        <f t="shared" si="33"/>
        <v>91.799070000000043</v>
      </c>
      <c r="R74" s="50">
        <f t="shared" si="33"/>
        <v>100.97897700000006</v>
      </c>
    </row>
    <row r="75" spans="2:18" x14ac:dyDescent="0.55000000000000004">
      <c r="B75" s="10" t="s">
        <v>518</v>
      </c>
      <c r="E75" s="4"/>
      <c r="F75" s="44">
        <v>11.5</v>
      </c>
      <c r="G75" s="44">
        <f>37.9</f>
        <v>37.9</v>
      </c>
      <c r="H75" s="44">
        <v>209</v>
      </c>
      <c r="I75" s="44">
        <v>487.94099999999997</v>
      </c>
      <c r="J75" s="44">
        <v>685</v>
      </c>
      <c r="K75" s="44">
        <v>743</v>
      </c>
      <c r="L75" s="102">
        <f t="shared" ref="L75:R75" si="34">L73+L74</f>
        <v>1337.7</v>
      </c>
      <c r="M75" s="102">
        <f t="shared" si="34"/>
        <v>1362.7</v>
      </c>
      <c r="N75" s="102">
        <f t="shared" si="34"/>
        <v>1393.97</v>
      </c>
      <c r="O75" s="102">
        <f t="shared" si="34"/>
        <v>1433.9919999999997</v>
      </c>
      <c r="P75" s="102">
        <f t="shared" si="34"/>
        <v>1475.5318249999996</v>
      </c>
      <c r="Q75" s="102">
        <f t="shared" si="34"/>
        <v>1518.6791481249995</v>
      </c>
      <c r="R75" s="102">
        <f t="shared" si="34"/>
        <v>1563.5310570781244</v>
      </c>
    </row>
    <row r="76" spans="2:18" x14ac:dyDescent="0.55000000000000004">
      <c r="B76" s="10" t="s">
        <v>317</v>
      </c>
      <c r="E76" s="4"/>
      <c r="F76" s="12">
        <f t="shared" ref="F76:R76" si="35">F75/F7</f>
        <v>5.0727834142037936E-3</v>
      </c>
      <c r="G76" s="12">
        <f t="shared" si="35"/>
        <v>1.1226303317535545E-2</v>
      </c>
      <c r="H76" s="12">
        <f t="shared" si="35"/>
        <v>4.6354825115887066E-2</v>
      </c>
      <c r="I76" s="12">
        <f t="shared" si="35"/>
        <v>7.1946475965791803E-2</v>
      </c>
      <c r="J76" s="12">
        <f t="shared" si="35"/>
        <v>7.6914439703570633E-2</v>
      </c>
      <c r="K76" s="12">
        <f t="shared" si="35"/>
        <v>8.2308629666555888E-2</v>
      </c>
      <c r="L76" s="12">
        <f t="shared" si="35"/>
        <v>0.13651256336558612</v>
      </c>
      <c r="M76" s="12">
        <f t="shared" si="35"/>
        <v>0.12129734662374372</v>
      </c>
      <c r="N76" s="12">
        <f t="shared" si="35"/>
        <v>0.11063506293079377</v>
      </c>
      <c r="O76" s="12">
        <f t="shared" si="35"/>
        <v>0.10515720646435098</v>
      </c>
      <c r="P76" s="12">
        <f t="shared" si="35"/>
        <v>0.10070323068821919</v>
      </c>
      <c r="Q76" s="12">
        <f t="shared" si="35"/>
        <v>9.7283218138123226E-2</v>
      </c>
      <c r="R76" s="12">
        <f t="shared" si="35"/>
        <v>9.5424580756655872E-2</v>
      </c>
    </row>
    <row r="77" spans="2:18" x14ac:dyDescent="0.55000000000000004">
      <c r="B77" s="10"/>
      <c r="E77" s="4"/>
      <c r="F77" s="4"/>
      <c r="G77" s="4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</row>
    <row r="78" spans="2:18" x14ac:dyDescent="0.55000000000000004">
      <c r="B78" s="10" t="s">
        <v>510</v>
      </c>
      <c r="F78" s="4">
        <f t="shared" ref="F78:K78" si="36">F72-F75</f>
        <v>83.9</v>
      </c>
      <c r="G78" s="4">
        <f t="shared" si="36"/>
        <v>90.299999999999983</v>
      </c>
      <c r="H78" s="4">
        <f t="shared" si="36"/>
        <v>167.3</v>
      </c>
      <c r="I78" s="4">
        <f t="shared" si="36"/>
        <v>280.65900000000005</v>
      </c>
      <c r="J78" s="4">
        <f t="shared" si="36"/>
        <v>446</v>
      </c>
      <c r="K78" s="4">
        <f t="shared" si="36"/>
        <v>612</v>
      </c>
      <c r="L78" s="4">
        <f t="shared" ref="L78:R78" si="37">L79*L12</f>
        <v>435.84706458419026</v>
      </c>
      <c r="M78" s="4">
        <f t="shared" si="37"/>
        <v>478.98148740091722</v>
      </c>
      <c r="N78" s="4">
        <f t="shared" si="37"/>
        <v>515.46875916838383</v>
      </c>
      <c r="O78" s="4">
        <f t="shared" si="37"/>
        <v>550.07655131137665</v>
      </c>
      <c r="P78" s="4">
        <f t="shared" si="37"/>
        <v>596.73568425580652</v>
      </c>
      <c r="Q78" s="4">
        <f t="shared" si="37"/>
        <v>642.16722701470144</v>
      </c>
      <c r="R78" s="4">
        <f t="shared" si="37"/>
        <v>680.25664142515063</v>
      </c>
    </row>
    <row r="79" spans="2:18" x14ac:dyDescent="0.55000000000000004">
      <c r="B79" t="s">
        <v>317</v>
      </c>
      <c r="G79" s="54">
        <f>G78/G$12</f>
        <v>1.5822119428090829E-2</v>
      </c>
      <c r="H79" s="54">
        <f>H78/H$12</f>
        <v>2.4549870133681598E-2</v>
      </c>
      <c r="I79" s="54">
        <f>I78/I$12</f>
        <v>2.6867604824813332E-2</v>
      </c>
      <c r="J79" s="54">
        <f>J78/J$12</f>
        <v>2.9084174557216267E-2</v>
      </c>
      <c r="K79" s="54">
        <f>K78/K$12</f>
        <v>3.8372311743682989E-2</v>
      </c>
      <c r="L79" s="42">
        <v>2.5000000000000001E-2</v>
      </c>
      <c r="M79" s="42">
        <v>2.5000000000000001E-2</v>
      </c>
      <c r="N79" s="42">
        <v>2.5000000000000001E-2</v>
      </c>
      <c r="O79" s="42">
        <v>2.5000000000000001E-2</v>
      </c>
      <c r="P79" s="42">
        <v>2.5000000000000001E-2</v>
      </c>
      <c r="Q79" s="42">
        <v>2.5000000000000001E-2</v>
      </c>
      <c r="R79" s="42">
        <v>2.5000000000000001E-2</v>
      </c>
    </row>
    <row r="80" spans="2:18" x14ac:dyDescent="0.55000000000000004">
      <c r="B80" t="s">
        <v>1110</v>
      </c>
    </row>
    <row r="81" spans="2:20" x14ac:dyDescent="0.55000000000000004">
      <c r="B81" t="s">
        <v>2151</v>
      </c>
      <c r="J81" s="31">
        <v>199.9</v>
      </c>
      <c r="K81" s="31">
        <v>247.6</v>
      </c>
      <c r="L81" s="51">
        <v>200</v>
      </c>
      <c r="M81" s="51">
        <v>150</v>
      </c>
      <c r="N81" s="51">
        <v>150</v>
      </c>
      <c r="O81" s="51">
        <v>150</v>
      </c>
      <c r="P81" s="51">
        <v>150</v>
      </c>
      <c r="Q81" s="51">
        <v>150</v>
      </c>
      <c r="R81" s="51">
        <v>150</v>
      </c>
    </row>
    <row r="83" spans="2:20" x14ac:dyDescent="0.55000000000000004">
      <c r="B83" t="s">
        <v>313</v>
      </c>
      <c r="G83" s="31">
        <v>273.39999999999998</v>
      </c>
      <c r="H83" s="31">
        <v>362.9</v>
      </c>
      <c r="I83" s="31">
        <v>550.70000000000005</v>
      </c>
      <c r="J83" s="31">
        <f>991-J81</f>
        <v>791.1</v>
      </c>
      <c r="K83" s="31">
        <f>1100-K81</f>
        <v>852.4</v>
      </c>
      <c r="L83" s="4">
        <f t="shared" ref="L83:R83" si="38">L84*L$12</f>
        <v>871.69412916838053</v>
      </c>
      <c r="M83" s="4">
        <f t="shared" si="38"/>
        <v>957.96297480183443</v>
      </c>
      <c r="N83" s="4">
        <f t="shared" si="38"/>
        <v>1030.9375183367677</v>
      </c>
      <c r="O83" s="4">
        <f t="shared" si="38"/>
        <v>880.12248209820257</v>
      </c>
      <c r="P83" s="4">
        <f t="shared" si="38"/>
        <v>954.77709480929047</v>
      </c>
      <c r="Q83" s="4">
        <f t="shared" si="38"/>
        <v>1027.4675632235223</v>
      </c>
      <c r="R83" s="4">
        <f t="shared" si="38"/>
        <v>1088.4106262802411</v>
      </c>
    </row>
    <row r="84" spans="2:20" x14ac:dyDescent="0.55000000000000004">
      <c r="B84" t="s">
        <v>317</v>
      </c>
      <c r="G84" s="54">
        <f>G83/G$12</f>
        <v>4.790440145780768E-2</v>
      </c>
      <c r="H84" s="54">
        <f>H83/H$12</f>
        <v>5.3252527624106705E-2</v>
      </c>
      <c r="I84" s="54">
        <f>I83/I$12</f>
        <v>5.2718744016848562E-2</v>
      </c>
      <c r="J84" s="54">
        <f>J83/J$12</f>
        <v>5.1588543704515225E-2</v>
      </c>
      <c r="K84" s="54">
        <f>K83/K$12</f>
        <v>5.3445357075678726E-2</v>
      </c>
      <c r="L84" s="42">
        <v>0.05</v>
      </c>
      <c r="M84" s="42">
        <v>0.05</v>
      </c>
      <c r="N84" s="42">
        <v>0.05</v>
      </c>
      <c r="O84" s="42">
        <v>0.04</v>
      </c>
      <c r="P84" s="42">
        <v>0.04</v>
      </c>
      <c r="Q84" s="42">
        <v>0.04</v>
      </c>
      <c r="R84" s="42">
        <v>0.04</v>
      </c>
    </row>
    <row r="85" spans="2:20" x14ac:dyDescent="0.55000000000000004">
      <c r="G85" s="54"/>
      <c r="H85" s="54"/>
      <c r="I85" s="42"/>
      <c r="J85" s="42"/>
      <c r="K85" s="42"/>
      <c r="L85" s="42"/>
      <c r="M85" s="42"/>
      <c r="N85" s="42"/>
      <c r="O85" s="42"/>
      <c r="P85" s="42"/>
      <c r="Q85" s="42"/>
      <c r="R85" s="42"/>
    </row>
    <row r="86" spans="2:20" ht="14.7" thickBot="1" x14ac:dyDescent="0.6">
      <c r="B86" s="24" t="s">
        <v>808</v>
      </c>
      <c r="C86" s="24"/>
      <c r="D86" s="24"/>
      <c r="E86" s="24"/>
      <c r="F86" s="24"/>
      <c r="G86" s="97">
        <f>G46+G48+G51+G62+G69+G72+G83+G22+G29</f>
        <v>3836.2000000000003</v>
      </c>
      <c r="H86" s="97">
        <f>H46+H48+H51+H62+H69+H72+H83+H22+H29</f>
        <v>5039.8000000000011</v>
      </c>
      <c r="I86" s="97">
        <f>I46+I48+I51+I62+I69+I72+I83+I22+I29</f>
        <v>8960.6</v>
      </c>
      <c r="J86" s="97">
        <f>J46+J48+J51+J62+J69+J72+J81+J83+J22+J29</f>
        <v>13573</v>
      </c>
      <c r="K86" s="97">
        <f>K46+K48+K51+K62+K69+K72+K81+K83+K22+K29</f>
        <v>13920.1</v>
      </c>
      <c r="L86" s="97">
        <f>L46+L48+L51+L62+L69+L72+L81+L83+L22+L29</f>
        <v>14859.443978763977</v>
      </c>
      <c r="M86" s="97">
        <f>M46+M48+M51+M62+M69+M72+M81+M83+M22+M29</f>
        <v>15903.586693434443</v>
      </c>
      <c r="N86" s="97">
        <f>N46+N48+N51+N62+N69+N72+N81+N83+N22+N29</f>
        <v>17186.599559744303</v>
      </c>
      <c r="O86" s="97">
        <f t="shared" ref="O86:R86" si="39">O46+O48+O51+O62+O69+O72+O81+O83+O22+O29</f>
        <v>18350.22974670602</v>
      </c>
      <c r="P86" s="97">
        <f t="shared" si="39"/>
        <v>19766.704126523269</v>
      </c>
      <c r="Q86" s="97">
        <f t="shared" si="39"/>
        <v>21312.923690981221</v>
      </c>
      <c r="R86" s="97">
        <f t="shared" si="39"/>
        <v>22645.767515570264</v>
      </c>
    </row>
    <row r="87" spans="2:20" ht="14.7" thickTop="1" x14ac:dyDescent="0.55000000000000004">
      <c r="B87" t="s">
        <v>320</v>
      </c>
      <c r="G87" s="4">
        <f t="shared" ref="G87:R87" si="40">G86-G22</f>
        <v>2153.2000000000003</v>
      </c>
      <c r="H87" s="4">
        <f t="shared" si="40"/>
        <v>2922.0000000000009</v>
      </c>
      <c r="I87" s="4">
        <f>I86-I22</f>
        <v>5263.6</v>
      </c>
      <c r="J87" s="4">
        <f t="shared" si="40"/>
        <v>8188</v>
      </c>
      <c r="K87" s="4">
        <f t="shared" si="40"/>
        <v>8146.1</v>
      </c>
      <c r="L87" s="4">
        <f t="shared" si="40"/>
        <v>8261.185947919912</v>
      </c>
      <c r="M87" s="4">
        <f t="shared" si="40"/>
        <v>8495.4364796575028</v>
      </c>
      <c r="N87" s="4">
        <f t="shared" si="40"/>
        <v>9037.9643157259288</v>
      </c>
      <c r="O87" s="4">
        <f>O86-O22</f>
        <v>9493.5683183082456</v>
      </c>
      <c r="P87" s="4">
        <f>P86-P22</f>
        <v>10187.218050789734</v>
      </c>
      <c r="Q87" s="4">
        <f t="shared" si="40"/>
        <v>10863.943387283714</v>
      </c>
      <c r="R87" s="4">
        <f t="shared" si="40"/>
        <v>11441.59889255792</v>
      </c>
    </row>
    <row r="89" spans="2:20" x14ac:dyDescent="0.55000000000000004">
      <c r="B89" t="s">
        <v>812</v>
      </c>
      <c r="G89" s="4">
        <f t="shared" ref="G89:R89" si="41">G26-G87</f>
        <v>1870.9999999999995</v>
      </c>
      <c r="H89" s="4">
        <f>H26-H87</f>
        <v>1774.8999999999996</v>
      </c>
      <c r="I89" s="4">
        <f t="shared" si="41"/>
        <v>1485.3999999999996</v>
      </c>
      <c r="J89" s="4">
        <f t="shared" si="41"/>
        <v>1761.7999999999993</v>
      </c>
      <c r="K89" s="4">
        <f t="shared" si="41"/>
        <v>2028.8999999999996</v>
      </c>
      <c r="L89" s="4">
        <f t="shared" si="41"/>
        <v>2574.4386046036307</v>
      </c>
      <c r="M89" s="4">
        <f t="shared" si="41"/>
        <v>3255.6728026022447</v>
      </c>
      <c r="N89" s="4">
        <f t="shared" si="41"/>
        <v>3432.1508069910487</v>
      </c>
      <c r="O89" s="4">
        <f t="shared" si="41"/>
        <v>3652.8323057490452</v>
      </c>
      <c r="P89" s="4">
        <f t="shared" si="41"/>
        <v>4102.7232437089915</v>
      </c>
      <c r="Q89" s="4">
        <f t="shared" si="41"/>
        <v>4373.7653896068368</v>
      </c>
      <c r="R89" s="4">
        <f t="shared" si="41"/>
        <v>4564.4981414357608</v>
      </c>
    </row>
    <row r="91" spans="2:20" x14ac:dyDescent="0.55000000000000004">
      <c r="B91" t="s">
        <v>321</v>
      </c>
      <c r="G91" s="31">
        <v>545.5</v>
      </c>
      <c r="H91" s="31">
        <v>482.4</v>
      </c>
      <c r="I91" s="31">
        <v>321.7</v>
      </c>
      <c r="J91" s="31">
        <v>255</v>
      </c>
      <c r="K91" s="31">
        <v>391</v>
      </c>
      <c r="L91" s="4">
        <f t="shared" ref="L91:R91" si="42">L92*L89</f>
        <v>514.88772092072611</v>
      </c>
      <c r="M91" s="4">
        <f t="shared" si="42"/>
        <v>651.13456052044899</v>
      </c>
      <c r="N91" s="4">
        <f t="shared" si="42"/>
        <v>686.43016139820975</v>
      </c>
      <c r="O91" s="4">
        <f t="shared" si="42"/>
        <v>767.09478420729943</v>
      </c>
      <c r="P91" s="4">
        <f t="shared" si="42"/>
        <v>902.59911361597813</v>
      </c>
      <c r="Q91" s="4">
        <f t="shared" si="42"/>
        <v>1049.7036935056408</v>
      </c>
      <c r="R91" s="4">
        <f t="shared" si="42"/>
        <v>1141.1245353589402</v>
      </c>
    </row>
    <row r="92" spans="2:20" x14ac:dyDescent="0.55000000000000004">
      <c r="B92" t="s">
        <v>322</v>
      </c>
      <c r="G92" s="2">
        <f>G91/G89</f>
        <v>0.29155531801175849</v>
      </c>
      <c r="H92" s="2">
        <f>H91/H89</f>
        <v>0.27178995999774641</v>
      </c>
      <c r="I92" s="2">
        <f>I91/I89</f>
        <v>0.21657466002423595</v>
      </c>
      <c r="J92" s="2">
        <f>J91/J89</f>
        <v>0.1447383357929391</v>
      </c>
      <c r="K92" s="2">
        <f>K91/K89</f>
        <v>0.19271526442900097</v>
      </c>
      <c r="L92" s="5">
        <v>0.2</v>
      </c>
      <c r="M92" s="5">
        <v>0.2</v>
      </c>
      <c r="N92" s="5">
        <v>0.2</v>
      </c>
      <c r="O92" s="5">
        <v>0.21</v>
      </c>
      <c r="P92" s="5">
        <v>0.22</v>
      </c>
      <c r="Q92" s="5">
        <v>0.24</v>
      </c>
      <c r="R92" s="5">
        <v>0.25</v>
      </c>
    </row>
    <row r="93" spans="2:20" x14ac:dyDescent="0.55000000000000004">
      <c r="G93" s="4"/>
    </row>
    <row r="94" spans="2:20" x14ac:dyDescent="0.55000000000000004">
      <c r="B94" t="s">
        <v>807</v>
      </c>
      <c r="G94" s="4">
        <f>G89-G91</f>
        <v>1325.4999999999995</v>
      </c>
      <c r="H94" s="4">
        <f t="shared" ref="H94:R94" si="43">H89-H91</f>
        <v>1292.4999999999995</v>
      </c>
      <c r="I94" s="4">
        <f t="shared" si="43"/>
        <v>1163.6999999999996</v>
      </c>
      <c r="J94" s="4">
        <f>J89-J91</f>
        <v>1506.7999999999993</v>
      </c>
      <c r="K94" s="4">
        <f t="shared" si="43"/>
        <v>1637.8999999999996</v>
      </c>
      <c r="L94" s="4">
        <f>L89-L91</f>
        <v>2059.5508836829044</v>
      </c>
      <c r="M94" s="4">
        <f t="shared" si="43"/>
        <v>2604.5382420817959</v>
      </c>
      <c r="N94" s="4">
        <f t="shared" si="43"/>
        <v>2745.720645592839</v>
      </c>
      <c r="O94" s="4">
        <f t="shared" si="43"/>
        <v>2885.737521541746</v>
      </c>
      <c r="P94" s="4">
        <f t="shared" si="43"/>
        <v>3200.1241300930133</v>
      </c>
      <c r="Q94" s="4">
        <f>Q89-Q91</f>
        <v>3324.061696101196</v>
      </c>
      <c r="R94" s="4">
        <f t="shared" si="43"/>
        <v>3423.3736060768206</v>
      </c>
      <c r="T94" s="12">
        <f>(N94/L94)^(1/2)-1</f>
        <v>0.15462753874216517</v>
      </c>
    </row>
    <row r="95" spans="2:20" x14ac:dyDescent="0.55000000000000004">
      <c r="B95" t="s">
        <v>464</v>
      </c>
      <c r="G95" s="2">
        <f t="shared" ref="G95:R95" si="44">G94/G12</f>
        <v>0.23225049060835429</v>
      </c>
      <c r="H95" s="2">
        <f t="shared" si="44"/>
        <v>0.18966352150498178</v>
      </c>
      <c r="I95" s="2">
        <f t="shared" si="44"/>
        <v>0.11140149339460076</v>
      </c>
      <c r="J95" s="2">
        <f t="shared" si="44"/>
        <v>9.8260166418864245E-2</v>
      </c>
      <c r="K95" s="2">
        <f t="shared" si="44"/>
        <v>0.10269609379898424</v>
      </c>
      <c r="L95" s="2">
        <f t="shared" si="44"/>
        <v>0.11813495208736642</v>
      </c>
      <c r="M95" s="2">
        <f t="shared" si="44"/>
        <v>0.13594148785450577</v>
      </c>
      <c r="N95" s="2">
        <f t="shared" si="44"/>
        <v>0.13316620050954037</v>
      </c>
      <c r="O95" s="2">
        <f t="shared" si="44"/>
        <v>0.13115163310734562</v>
      </c>
      <c r="P95" s="2">
        <f t="shared" si="44"/>
        <v>0.13406790537773486</v>
      </c>
      <c r="Q95" s="2">
        <f t="shared" si="44"/>
        <v>0.12940794688145527</v>
      </c>
      <c r="R95" s="2">
        <f t="shared" si="44"/>
        <v>0.12581184062035719</v>
      </c>
      <c r="T95" s="12"/>
    </row>
    <row r="96" spans="2:20" x14ac:dyDescent="0.55000000000000004">
      <c r="B96" t="s">
        <v>1161</v>
      </c>
      <c r="G96" s="2">
        <f t="shared" ref="G96:R96" si="45">G94/G26</f>
        <v>0.32938223746334666</v>
      </c>
      <c r="H96" s="2">
        <f t="shared" si="45"/>
        <v>0.27518150269326563</v>
      </c>
      <c r="I96" s="2">
        <f t="shared" si="45"/>
        <v>0.17242554452511477</v>
      </c>
      <c r="J96" s="2">
        <f t="shared" si="45"/>
        <v>0.15144022995437087</v>
      </c>
      <c r="K96" s="2">
        <f t="shared" si="45"/>
        <v>0.16097297297297294</v>
      </c>
      <c r="L96" s="2">
        <f>L94/L26</f>
        <v>0.19007218953551222</v>
      </c>
      <c r="M96" s="2">
        <f t="shared" si="45"/>
        <v>0.22164190456587612</v>
      </c>
      <c r="N96" s="2">
        <f t="shared" si="45"/>
        <v>0.22018406554971753</v>
      </c>
      <c r="O96" s="2">
        <f t="shared" si="45"/>
        <v>0.21950780324319213</v>
      </c>
      <c r="P96" s="2">
        <f t="shared" si="45"/>
        <v>0.22394242664418657</v>
      </c>
      <c r="Q96" s="2">
        <f t="shared" si="45"/>
        <v>0.21814708134745658</v>
      </c>
      <c r="R96" s="2">
        <f t="shared" si="45"/>
        <v>0.2138793485261444</v>
      </c>
      <c r="T96" s="12"/>
    </row>
    <row r="97" spans="2:20" x14ac:dyDescent="0.55000000000000004">
      <c r="J97" s="2"/>
      <c r="T97" s="12"/>
    </row>
    <row r="98" spans="2:20" x14ac:dyDescent="0.55000000000000004">
      <c r="B98" s="9" t="s">
        <v>837</v>
      </c>
      <c r="T98" s="12"/>
    </row>
    <row r="99" spans="2:20" x14ac:dyDescent="0.55000000000000004">
      <c r="B99" t="s">
        <v>811</v>
      </c>
      <c r="G99" s="31">
        <f>2762-2734</f>
        <v>28</v>
      </c>
      <c r="H99" s="31">
        <f>3772-3752</f>
        <v>20</v>
      </c>
      <c r="I99" s="51">
        <f>H99*1.1</f>
        <v>22</v>
      </c>
      <c r="J99" s="51">
        <f>I99*1.1</f>
        <v>24.200000000000003</v>
      </c>
      <c r="K99" s="51">
        <f>J99*1.1</f>
        <v>26.620000000000005</v>
      </c>
      <c r="L99" s="51">
        <f>K99*1.05</f>
        <v>27.951000000000008</v>
      </c>
      <c r="M99" s="51">
        <f t="shared" ref="M99:R99" si="46">L99*1.05</f>
        <v>29.34855000000001</v>
      </c>
      <c r="N99" s="51">
        <f t="shared" si="46"/>
        <v>30.815977500000013</v>
      </c>
      <c r="O99" s="51">
        <f t="shared" si="46"/>
        <v>32.356776375000017</v>
      </c>
      <c r="P99" s="51">
        <f t="shared" si="46"/>
        <v>33.974615193750019</v>
      </c>
      <c r="Q99" s="51">
        <f t="shared" si="46"/>
        <v>35.673345953437519</v>
      </c>
      <c r="R99" s="51">
        <f t="shared" si="46"/>
        <v>37.457013251109395</v>
      </c>
      <c r="T99" s="12"/>
    </row>
    <row r="100" spans="2:20" x14ac:dyDescent="0.55000000000000004">
      <c r="B100" s="1" t="s">
        <v>810</v>
      </c>
      <c r="C100" s="1"/>
      <c r="D100" s="1"/>
      <c r="E100" s="1"/>
      <c r="F100" s="1"/>
      <c r="G100" s="49">
        <f>427-299</f>
        <v>128</v>
      </c>
      <c r="H100" s="49">
        <f>564-370</f>
        <v>194</v>
      </c>
      <c r="I100" s="45">
        <f>392.4-I99</f>
        <v>370.4</v>
      </c>
      <c r="J100" s="45">
        <f>140.1-J99</f>
        <v>115.89999999999999</v>
      </c>
      <c r="K100" s="45">
        <v>130</v>
      </c>
      <c r="L100" s="50">
        <f>K100*1.05</f>
        <v>136.5</v>
      </c>
      <c r="M100" s="50">
        <f t="shared" ref="M100:R100" si="47">L100*1.05</f>
        <v>143.32500000000002</v>
      </c>
      <c r="N100" s="50">
        <f t="shared" si="47"/>
        <v>150.49125000000004</v>
      </c>
      <c r="O100" s="50">
        <f t="shared" si="47"/>
        <v>158.01581250000004</v>
      </c>
      <c r="P100" s="50">
        <f t="shared" si="47"/>
        <v>165.91660312500005</v>
      </c>
      <c r="Q100" s="50">
        <f t="shared" si="47"/>
        <v>174.21243328125007</v>
      </c>
      <c r="R100" s="50">
        <f t="shared" si="47"/>
        <v>182.92305494531257</v>
      </c>
      <c r="T100" s="12"/>
    </row>
    <row r="101" spans="2:20" x14ac:dyDescent="0.55000000000000004">
      <c r="B101" t="s">
        <v>813</v>
      </c>
      <c r="G101" s="4">
        <f>G89+G99+G100</f>
        <v>2026.9999999999995</v>
      </c>
      <c r="H101" s="4">
        <f>H89+H99+H100</f>
        <v>1988.8999999999996</v>
      </c>
      <c r="I101" s="4">
        <f t="shared" ref="I101:R101" si="48">I89+I99+I100</f>
        <v>1877.7999999999997</v>
      </c>
      <c r="J101" s="4">
        <f t="shared" si="48"/>
        <v>1901.8999999999994</v>
      </c>
      <c r="K101" s="4">
        <f t="shared" si="48"/>
        <v>2185.5199999999995</v>
      </c>
      <c r="L101" s="4">
        <f t="shared" si="48"/>
        <v>2738.8896046036307</v>
      </c>
      <c r="M101" s="4">
        <f t="shared" si="48"/>
        <v>3428.3463526022447</v>
      </c>
      <c r="N101" s="4">
        <f t="shared" si="48"/>
        <v>3613.4580344910487</v>
      </c>
      <c r="O101" s="4">
        <f t="shared" si="48"/>
        <v>3843.2048946240457</v>
      </c>
      <c r="P101" s="4">
        <f t="shared" si="48"/>
        <v>4302.614462027741</v>
      </c>
      <c r="Q101" s="4">
        <f t="shared" si="48"/>
        <v>4583.6511688415239</v>
      </c>
      <c r="R101" s="4">
        <f t="shared" si="48"/>
        <v>4784.878209632182</v>
      </c>
      <c r="T101" s="12"/>
    </row>
    <row r="102" spans="2:20" x14ac:dyDescent="0.55000000000000004">
      <c r="B102" s="1" t="s">
        <v>321</v>
      </c>
      <c r="C102" s="1"/>
      <c r="D102" s="1"/>
      <c r="E102" s="1"/>
      <c r="F102" s="1"/>
      <c r="G102" s="49">
        <f>G91-598.7</f>
        <v>-53.200000000000045</v>
      </c>
      <c r="H102" s="49">
        <f>H91-555.5</f>
        <v>-73.100000000000023</v>
      </c>
      <c r="I102" s="49">
        <v>-133</v>
      </c>
      <c r="J102" s="49">
        <v>-49</v>
      </c>
      <c r="K102" s="50">
        <f>J102*1.1</f>
        <v>-53.900000000000006</v>
      </c>
      <c r="L102" s="50">
        <f>K102*1.05</f>
        <v>-56.595000000000006</v>
      </c>
      <c r="M102" s="50">
        <f t="shared" ref="M102:R102" si="49">L102*1.05</f>
        <v>-59.42475000000001</v>
      </c>
      <c r="N102" s="50">
        <f t="shared" si="49"/>
        <v>-62.395987500000011</v>
      </c>
      <c r="O102" s="50">
        <f t="shared" si="49"/>
        <v>-65.515786875000018</v>
      </c>
      <c r="P102" s="50">
        <f t="shared" si="49"/>
        <v>-68.791576218750023</v>
      </c>
      <c r="Q102" s="50">
        <f t="shared" si="49"/>
        <v>-72.231155029687528</v>
      </c>
      <c r="R102" s="50">
        <f t="shared" si="49"/>
        <v>-75.842712781171912</v>
      </c>
      <c r="T102" s="12"/>
    </row>
    <row r="103" spans="2:20" x14ac:dyDescent="0.55000000000000004">
      <c r="B103" t="s">
        <v>809</v>
      </c>
      <c r="G103" s="4">
        <f>G94+G99+G100+G102</f>
        <v>1428.2999999999995</v>
      </c>
      <c r="H103" s="4">
        <f>H94+H99+H100+H102</f>
        <v>1433.3999999999996</v>
      </c>
      <c r="I103" s="4">
        <f>I94+I99+I100+I102</f>
        <v>1423.0999999999995</v>
      </c>
      <c r="J103" s="4">
        <f>J94+J99+J100+J102</f>
        <v>1597.8999999999994</v>
      </c>
      <c r="K103" s="4">
        <f t="shared" ref="K103:R103" si="50">K94+K99+K100+K102</f>
        <v>1740.6199999999994</v>
      </c>
      <c r="L103" s="4">
        <f t="shared" si="50"/>
        <v>2167.4068836829047</v>
      </c>
      <c r="M103" s="4">
        <f t="shared" si="50"/>
        <v>2717.7870420817958</v>
      </c>
      <c r="N103" s="4">
        <f t="shared" si="50"/>
        <v>2864.6318855928389</v>
      </c>
      <c r="O103" s="4">
        <f t="shared" si="50"/>
        <v>3010.5943235417462</v>
      </c>
      <c r="P103" s="4">
        <f t="shared" si="50"/>
        <v>3331.2237721930137</v>
      </c>
      <c r="Q103" s="4">
        <f t="shared" si="50"/>
        <v>3461.7163203061959</v>
      </c>
      <c r="R103" s="4">
        <f t="shared" si="50"/>
        <v>3567.9109614920708</v>
      </c>
      <c r="T103" s="12">
        <f>(N103/L103)^(1/2)-1</f>
        <v>0.14964614307131519</v>
      </c>
    </row>
    <row r="104" spans="2:20" x14ac:dyDescent="0.55000000000000004">
      <c r="B104" t="s">
        <v>3358</v>
      </c>
      <c r="G104" s="13"/>
      <c r="H104" s="13"/>
      <c r="I104" s="13"/>
      <c r="J104" s="13">
        <f t="shared" ref="J104" si="51">J103/J247</f>
        <v>4.936818364383476</v>
      </c>
      <c r="K104" s="13">
        <f>K103/K247</f>
        <v>5.4440138741629669</v>
      </c>
      <c r="L104" s="13">
        <f t="shared" ref="L104:R104" si="52">L103/L247</f>
        <v>6.8865376581363282</v>
      </c>
      <c r="M104" s="13">
        <f t="shared" si="52"/>
        <v>8.7183727062172061</v>
      </c>
      <c r="N104" s="13">
        <f t="shared" si="52"/>
        <v>9.1894353965208424</v>
      </c>
      <c r="O104" s="13">
        <f t="shared" si="52"/>
        <v>9.657667423328915</v>
      </c>
      <c r="P104" s="13">
        <f t="shared" si="52"/>
        <v>10.686212703237771</v>
      </c>
      <c r="Q104" s="13">
        <f t="shared" si="52"/>
        <v>11.104818963485172</v>
      </c>
      <c r="R104" s="13">
        <f t="shared" si="52"/>
        <v>11.445480114239748</v>
      </c>
      <c r="T104" s="12">
        <f>(N104/L104)^(1/2)-1</f>
        <v>0.15516481180664643</v>
      </c>
    </row>
    <row r="105" spans="2:20" x14ac:dyDescent="0.55000000000000004">
      <c r="G105" s="4"/>
      <c r="H105" s="4"/>
      <c r="I105" s="4"/>
      <c r="J105" s="4"/>
      <c r="K105" s="13"/>
      <c r="L105" s="4"/>
      <c r="M105" s="4"/>
      <c r="N105" s="4"/>
      <c r="O105" s="4"/>
      <c r="P105" s="4"/>
      <c r="Q105" s="4"/>
      <c r="R105" s="4"/>
      <c r="T105" s="2"/>
    </row>
    <row r="106" spans="2:20" x14ac:dyDescent="0.55000000000000004">
      <c r="B106" t="s">
        <v>464</v>
      </c>
      <c r="G106" s="2">
        <f t="shared" ref="G106:R106" si="53">G103/G12</f>
        <v>0.25026282590412102</v>
      </c>
      <c r="H106" s="2">
        <f t="shared" si="53"/>
        <v>0.21033941332707229</v>
      </c>
      <c r="I106" s="2">
        <f t="shared" si="53"/>
        <v>0.13623396515412592</v>
      </c>
      <c r="J106" s="2">
        <f t="shared" si="53"/>
        <v>0.1042009025223674</v>
      </c>
      <c r="K106" s="2">
        <f t="shared" si="53"/>
        <v>0.1091366229857671</v>
      </c>
      <c r="L106" s="2">
        <f t="shared" si="53"/>
        <v>0.12432152581724217</v>
      </c>
      <c r="M106" s="2">
        <f t="shared" si="53"/>
        <v>0.14185240523747805</v>
      </c>
      <c r="N106" s="2">
        <f t="shared" si="53"/>
        <v>0.13893334148001557</v>
      </c>
      <c r="O106" s="2">
        <f t="shared" si="53"/>
        <v>0.13682615248570956</v>
      </c>
      <c r="P106" s="2">
        <f t="shared" si="53"/>
        <v>0.13956027182903463</v>
      </c>
      <c r="Q106" s="2">
        <f t="shared" si="53"/>
        <v>0.1347669335446694</v>
      </c>
      <c r="R106" s="2">
        <f t="shared" si="53"/>
        <v>0.13112370920838162</v>
      </c>
    </row>
    <row r="107" spans="2:20" x14ac:dyDescent="0.55000000000000004">
      <c r="B107" t="s">
        <v>1161</v>
      </c>
      <c r="G107" s="2">
        <f t="shared" ref="G107:R107" si="54">G103/G26</f>
        <v>0.35492768749068127</v>
      </c>
      <c r="H107" s="2">
        <f t="shared" si="54"/>
        <v>0.30518001234857023</v>
      </c>
      <c r="I107" s="2">
        <f t="shared" si="54"/>
        <v>0.21086086827678166</v>
      </c>
      <c r="J107" s="2">
        <f t="shared" si="54"/>
        <v>0.16059619288829921</v>
      </c>
      <c r="K107" s="2">
        <f t="shared" si="54"/>
        <v>0.17106830466830461</v>
      </c>
      <c r="L107" s="2">
        <f t="shared" si="54"/>
        <v>0.20002602278962595</v>
      </c>
      <c r="M107" s="2">
        <f t="shared" si="54"/>
        <v>0.23127919048329734</v>
      </c>
      <c r="N107" s="2">
        <f t="shared" si="54"/>
        <v>0.22971976260061147</v>
      </c>
      <c r="O107" s="2">
        <f t="shared" si="54"/>
        <v>0.22900521668512833</v>
      </c>
      <c r="P107" s="2">
        <f t="shared" si="54"/>
        <v>0.23311668701364452</v>
      </c>
      <c r="Q107" s="2">
        <f t="shared" si="54"/>
        <v>0.22718089517212858</v>
      </c>
      <c r="R107" s="2">
        <f t="shared" si="54"/>
        <v>0.22290949217129927</v>
      </c>
    </row>
    <row r="108" spans="2:20" x14ac:dyDescent="0.55000000000000004">
      <c r="I108" s="12"/>
      <c r="J108" s="42"/>
      <c r="K108" s="2"/>
    </row>
    <row r="109" spans="2:20" x14ac:dyDescent="0.55000000000000004">
      <c r="B109" t="s">
        <v>838</v>
      </c>
      <c r="G109" s="4">
        <f>G103-G94</f>
        <v>102.79999999999995</v>
      </c>
      <c r="H109" s="4">
        <f t="shared" ref="H109:R109" si="55">H103-H94</f>
        <v>140.90000000000009</v>
      </c>
      <c r="I109" s="4">
        <f>I103-I94</f>
        <v>259.39999999999986</v>
      </c>
      <c r="J109" s="4">
        <f t="shared" si="55"/>
        <v>91.100000000000136</v>
      </c>
      <c r="K109" s="4">
        <f t="shared" si="55"/>
        <v>102.7199999999998</v>
      </c>
      <c r="L109" s="4">
        <f t="shared" si="55"/>
        <v>107.85600000000022</v>
      </c>
      <c r="M109" s="4">
        <f t="shared" si="55"/>
        <v>113.24879999999985</v>
      </c>
      <c r="N109" s="4">
        <f t="shared" si="55"/>
        <v>118.91123999999991</v>
      </c>
      <c r="O109" s="4">
        <f t="shared" si="55"/>
        <v>124.85680200000024</v>
      </c>
      <c r="P109" s="4">
        <f t="shared" si="55"/>
        <v>131.09964210000044</v>
      </c>
      <c r="Q109" s="4">
        <f t="shared" si="55"/>
        <v>137.65462420499989</v>
      </c>
      <c r="R109" s="4">
        <f t="shared" si="55"/>
        <v>144.5373554152502</v>
      </c>
    </row>
    <row r="110" spans="2:20" x14ac:dyDescent="0.55000000000000004">
      <c r="I110" s="4"/>
      <c r="J110" s="4"/>
      <c r="K110" s="4"/>
    </row>
    <row r="111" spans="2:20" x14ac:dyDescent="0.55000000000000004">
      <c r="B111" t="s">
        <v>1941</v>
      </c>
      <c r="H111" s="4">
        <f>H94</f>
        <v>1292.4999999999995</v>
      </c>
      <c r="I111" s="4">
        <f>I94</f>
        <v>1163.6999999999996</v>
      </c>
      <c r="J111" s="4">
        <f t="shared" ref="J111:R111" si="56">J94</f>
        <v>1506.7999999999993</v>
      </c>
      <c r="K111" s="4">
        <f t="shared" si="56"/>
        <v>1637.8999999999996</v>
      </c>
      <c r="L111" s="4">
        <f>L94</f>
        <v>2059.5508836829044</v>
      </c>
      <c r="M111" s="4">
        <f t="shared" si="56"/>
        <v>2604.5382420817959</v>
      </c>
      <c r="N111" s="4">
        <f t="shared" si="56"/>
        <v>2745.720645592839</v>
      </c>
      <c r="O111" s="4">
        <f t="shared" si="56"/>
        <v>2885.737521541746</v>
      </c>
      <c r="P111" s="4">
        <f t="shared" si="56"/>
        <v>3200.1241300930133</v>
      </c>
      <c r="Q111" s="4">
        <f t="shared" si="56"/>
        <v>3324.061696101196</v>
      </c>
      <c r="R111" s="4">
        <f t="shared" si="56"/>
        <v>3423.3736060768206</v>
      </c>
    </row>
    <row r="112" spans="2:20" x14ac:dyDescent="0.55000000000000004">
      <c r="B112" t="s">
        <v>1942</v>
      </c>
      <c r="H112">
        <f>H91</f>
        <v>482.4</v>
      </c>
      <c r="I112">
        <f>I91</f>
        <v>321.7</v>
      </c>
      <c r="J112" s="13">
        <f t="shared" ref="J112:R112" si="57">J91</f>
        <v>255</v>
      </c>
      <c r="K112" s="13">
        <f t="shared" si="57"/>
        <v>391</v>
      </c>
      <c r="L112" s="13">
        <f t="shared" si="57"/>
        <v>514.88772092072611</v>
      </c>
      <c r="M112" s="13">
        <f t="shared" si="57"/>
        <v>651.13456052044899</v>
      </c>
      <c r="N112" s="13">
        <f t="shared" si="57"/>
        <v>686.43016139820975</v>
      </c>
      <c r="O112" s="13">
        <f t="shared" si="57"/>
        <v>767.09478420729943</v>
      </c>
      <c r="P112" s="13">
        <f t="shared" si="57"/>
        <v>902.59911361597813</v>
      </c>
      <c r="Q112" s="13">
        <f t="shared" si="57"/>
        <v>1049.7036935056408</v>
      </c>
      <c r="R112" s="13">
        <f t="shared" si="57"/>
        <v>1141.1245353589402</v>
      </c>
    </row>
    <row r="113" spans="2:18" x14ac:dyDescent="0.55000000000000004">
      <c r="B113" t="s">
        <v>312</v>
      </c>
      <c r="H113">
        <f>H72</f>
        <v>376.3</v>
      </c>
      <c r="I113">
        <f>I72</f>
        <v>768.6</v>
      </c>
      <c r="J113" s="13">
        <f t="shared" ref="J113:R113" si="58">J72</f>
        <v>1131</v>
      </c>
      <c r="K113" s="13">
        <f t="shared" si="58"/>
        <v>1355</v>
      </c>
      <c r="L113" s="13">
        <f t="shared" si="58"/>
        <v>1773.5470645841904</v>
      </c>
      <c r="M113" s="13">
        <f t="shared" si="58"/>
        <v>1841.6814874009174</v>
      </c>
      <c r="N113" s="13">
        <f t="shared" si="58"/>
        <v>1909.438759168384</v>
      </c>
      <c r="O113" s="13">
        <f t="shared" si="58"/>
        <v>1984.0685513113763</v>
      </c>
      <c r="P113" s="13">
        <f t="shared" si="58"/>
        <v>2072.2675092558061</v>
      </c>
      <c r="Q113" s="13">
        <f t="shared" si="58"/>
        <v>2160.8463751397012</v>
      </c>
      <c r="R113" s="13">
        <f t="shared" si="58"/>
        <v>2243.7876985032749</v>
      </c>
    </row>
    <row r="114" spans="2:18" x14ac:dyDescent="0.55000000000000004">
      <c r="B114" t="s">
        <v>1943</v>
      </c>
      <c r="H114" s="4">
        <f>H115-H111-H112-H113</f>
        <v>-128.89407949386799</v>
      </c>
      <c r="I114" s="4">
        <f>I115-I111-I112-I113</f>
        <v>-74.631981392838156</v>
      </c>
      <c r="J114" s="4">
        <f>J115-J111-J112-J113</f>
        <v>-129.79999999999927</v>
      </c>
      <c r="K114" s="4">
        <f t="shared" ref="K114:R114" si="59">J114/J11*K11</f>
        <v>-198.61319681456087</v>
      </c>
      <c r="L114" s="4">
        <f t="shared" si="59"/>
        <v>-178.75187713310478</v>
      </c>
      <c r="M114" s="4">
        <f t="shared" si="59"/>
        <v>-169.81428327644954</v>
      </c>
      <c r="N114" s="4">
        <f t="shared" si="59"/>
        <v>-161.32356911262707</v>
      </c>
      <c r="O114" s="4">
        <f t="shared" si="59"/>
        <v>-153.25739065699571</v>
      </c>
      <c r="P114" s="4">
        <f t="shared" si="59"/>
        <v>-145.5945211241459</v>
      </c>
      <c r="Q114" s="4">
        <f t="shared" si="59"/>
        <v>-138.3147950679386</v>
      </c>
      <c r="R114" s="4">
        <f t="shared" si="59"/>
        <v>-131.39905531454167</v>
      </c>
    </row>
    <row r="115" spans="2:18" x14ac:dyDescent="0.55000000000000004">
      <c r="B115" s="18" t="s">
        <v>1936</v>
      </c>
      <c r="C115" s="18"/>
      <c r="D115" s="18"/>
      <c r="E115" s="18"/>
      <c r="F115" s="18"/>
      <c r="G115" s="18"/>
      <c r="H115" s="95">
        <v>2022.3059205061315</v>
      </c>
      <c r="I115" s="95">
        <v>2179.3680186071615</v>
      </c>
      <c r="J115" s="95">
        <v>2763</v>
      </c>
      <c r="K115" s="95">
        <f t="shared" ref="K115:R115" si="60">K111+K112+K113+K114</f>
        <v>3185.2868031854387</v>
      </c>
      <c r="L115" s="95">
        <f t="shared" si="60"/>
        <v>4169.2337920547161</v>
      </c>
      <c r="M115" s="95">
        <f t="shared" si="60"/>
        <v>4927.5400067267128</v>
      </c>
      <c r="N115" s="95">
        <f t="shared" si="60"/>
        <v>5180.2659970468058</v>
      </c>
      <c r="O115" s="95">
        <f t="shared" si="60"/>
        <v>5483.6434664034259</v>
      </c>
      <c r="P115" s="95">
        <f t="shared" si="60"/>
        <v>6029.3962318406511</v>
      </c>
      <c r="Q115" s="95">
        <f t="shared" si="60"/>
        <v>6396.2969696785995</v>
      </c>
      <c r="R115" s="95">
        <f t="shared" si="60"/>
        <v>6676.8867846244939</v>
      </c>
    </row>
    <row r="116" spans="2:18" x14ac:dyDescent="0.55000000000000004">
      <c r="B116" t="s">
        <v>1944</v>
      </c>
      <c r="H116" s="4">
        <v>215.22220291239529</v>
      </c>
      <c r="I116" s="4">
        <v>375.96990347327238</v>
      </c>
      <c r="J116" s="102">
        <v>290</v>
      </c>
      <c r="K116" s="102">
        <f t="shared" ref="K116:R116" si="61">J116/J100*K100</f>
        <v>325.28041415012945</v>
      </c>
      <c r="L116" s="102">
        <f t="shared" si="61"/>
        <v>341.54443485763591</v>
      </c>
      <c r="M116" s="102">
        <f t="shared" si="61"/>
        <v>358.62165660051778</v>
      </c>
      <c r="N116" s="102">
        <f t="shared" si="61"/>
        <v>376.55273943054368</v>
      </c>
      <c r="O116" s="102">
        <f t="shared" si="61"/>
        <v>395.38037640207085</v>
      </c>
      <c r="P116" s="102">
        <f t="shared" si="61"/>
        <v>415.14939522217446</v>
      </c>
      <c r="Q116" s="102">
        <f t="shared" si="61"/>
        <v>435.90686498328324</v>
      </c>
      <c r="R116" s="102">
        <f t="shared" si="61"/>
        <v>457.70220823244739</v>
      </c>
    </row>
    <row r="117" spans="2:18" x14ac:dyDescent="0.55000000000000004">
      <c r="B117" s="18" t="s">
        <v>1937</v>
      </c>
      <c r="C117" s="18"/>
      <c r="D117" s="18"/>
      <c r="E117" s="18"/>
      <c r="F117" s="18"/>
      <c r="G117" s="18"/>
      <c r="H117" s="95">
        <f>H115+H116</f>
        <v>2237.5281234185268</v>
      </c>
      <c r="I117" s="95">
        <f>I115+I116</f>
        <v>2555.3379220804341</v>
      </c>
      <c r="J117" s="95">
        <f t="shared" ref="J117:R117" si="62">J115+J116</f>
        <v>3053</v>
      </c>
      <c r="K117" s="95">
        <f t="shared" si="62"/>
        <v>3510.5672173355679</v>
      </c>
      <c r="L117" s="95">
        <f t="shared" si="62"/>
        <v>4510.7782269123518</v>
      </c>
      <c r="M117" s="95">
        <f t="shared" si="62"/>
        <v>5286.1616633272306</v>
      </c>
      <c r="N117" s="95">
        <f t="shared" si="62"/>
        <v>5556.8187364773494</v>
      </c>
      <c r="O117" s="95">
        <f t="shared" si="62"/>
        <v>5879.0238428054963</v>
      </c>
      <c r="P117" s="95">
        <f t="shared" si="62"/>
        <v>6444.5456270628256</v>
      </c>
      <c r="Q117" s="95">
        <f t="shared" si="62"/>
        <v>6832.2038346618829</v>
      </c>
      <c r="R117" s="95">
        <f t="shared" si="62"/>
        <v>7134.5889928569413</v>
      </c>
    </row>
    <row r="118" spans="2:18" x14ac:dyDescent="0.55000000000000004">
      <c r="B118" s="1" t="s">
        <v>1940</v>
      </c>
      <c r="C118" s="1"/>
      <c r="D118" s="1"/>
      <c r="E118" s="1"/>
      <c r="F118" s="1"/>
      <c r="G118" s="1"/>
      <c r="H118" s="49">
        <v>-84.3</v>
      </c>
      <c r="I118" s="45">
        <v>183.05537367999997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</row>
    <row r="119" spans="2:18" x14ac:dyDescent="0.55000000000000004">
      <c r="B119" s="18" t="s">
        <v>1939</v>
      </c>
      <c r="C119" s="18"/>
      <c r="D119" s="18"/>
      <c r="E119" s="18"/>
      <c r="F119" s="18"/>
      <c r="G119" s="18"/>
      <c r="H119" s="95">
        <f>H117+H118</f>
        <v>2153.2281234185266</v>
      </c>
      <c r="I119" s="95">
        <f>I117+I118</f>
        <v>2738.3932957604338</v>
      </c>
      <c r="J119" s="95">
        <f t="shared" ref="J119:R119" si="63">J117+J118</f>
        <v>3053</v>
      </c>
      <c r="K119" s="95">
        <f t="shared" si="63"/>
        <v>3510.5672173355679</v>
      </c>
      <c r="L119" s="95">
        <f t="shared" si="63"/>
        <v>4510.7782269123518</v>
      </c>
      <c r="M119" s="95">
        <f t="shared" si="63"/>
        <v>5286.1616633272306</v>
      </c>
      <c r="N119" s="95">
        <f t="shared" si="63"/>
        <v>5556.8187364773494</v>
      </c>
      <c r="O119" s="95">
        <f t="shared" si="63"/>
        <v>5879.0238428054963</v>
      </c>
      <c r="P119" s="95">
        <f t="shared" si="63"/>
        <v>6444.5456270628256</v>
      </c>
      <c r="Q119" s="95">
        <f t="shared" si="63"/>
        <v>6832.2038346618829</v>
      </c>
      <c r="R119" s="95">
        <f t="shared" si="63"/>
        <v>7134.5889928569413</v>
      </c>
    </row>
    <row r="120" spans="2:18" x14ac:dyDescent="0.55000000000000004">
      <c r="B120" t="s">
        <v>1938</v>
      </c>
      <c r="H120" s="12">
        <f>H119/H26</f>
        <v>0.45843601597192324</v>
      </c>
      <c r="I120" s="12">
        <f>I119/I26</f>
        <v>0.40574800648398784</v>
      </c>
      <c r="J120" s="12">
        <f t="shared" ref="J120:R120" si="64">J119/J26</f>
        <v>0.30684033849926634</v>
      </c>
      <c r="K120" s="12">
        <f t="shared" si="64"/>
        <v>0.34501889113863077</v>
      </c>
      <c r="L120" s="12">
        <f t="shared" si="64"/>
        <v>0.41629148417308559</v>
      </c>
      <c r="M120" s="12">
        <f t="shared" si="64"/>
        <v>0.44984363061856381</v>
      </c>
      <c r="N120" s="12">
        <f t="shared" si="64"/>
        <v>0.4456108609899212</v>
      </c>
      <c r="O120" s="12">
        <f t="shared" si="64"/>
        <v>0.44719646167234256</v>
      </c>
      <c r="P120" s="12">
        <f t="shared" si="64"/>
        <v>0.45098475173889041</v>
      </c>
      <c r="Q120" s="12">
        <f t="shared" si="64"/>
        <v>0.44837474811328432</v>
      </c>
      <c r="R120" s="12">
        <f t="shared" si="64"/>
        <v>0.44574195556259166</v>
      </c>
    </row>
    <row r="121" spans="2:18" x14ac:dyDescent="0.55000000000000004">
      <c r="I121" s="4"/>
      <c r="J121" s="4"/>
      <c r="K121" s="4"/>
    </row>
    <row r="122" spans="2:18" x14ac:dyDescent="0.55000000000000004">
      <c r="B122" s="18" t="s">
        <v>1947</v>
      </c>
      <c r="C122" s="18"/>
      <c r="D122" s="18"/>
      <c r="E122" s="18"/>
      <c r="F122" s="18"/>
      <c r="G122" s="95">
        <f t="shared" ref="G122:R122" si="65">G12-G11-G22-G46-G48-G51-G62-G69-G83+G118</f>
        <v>2047.2000000000003</v>
      </c>
      <c r="H122" s="95">
        <f t="shared" si="65"/>
        <v>2593.9</v>
      </c>
      <c r="I122" s="95">
        <f t="shared" si="65"/>
        <v>2911.1553736800001</v>
      </c>
      <c r="J122" s="95">
        <f t="shared" si="65"/>
        <v>3096.4</v>
      </c>
      <c r="K122" s="95">
        <f t="shared" si="65"/>
        <v>3543.9999999999995</v>
      </c>
      <c r="L122" s="95">
        <f t="shared" si="65"/>
        <v>4481.5356691878224</v>
      </c>
      <c r="M122" s="95">
        <f t="shared" si="65"/>
        <v>5188.0742900031628</v>
      </c>
      <c r="N122" s="95">
        <f t="shared" si="65"/>
        <v>5437.7379590165765</v>
      </c>
      <c r="O122" s="95">
        <f t="shared" si="65"/>
        <v>5756.1526624175604</v>
      </c>
      <c r="P122" s="95">
        <f t="shared" si="65"/>
        <v>6318.0175976969413</v>
      </c>
      <c r="Q122" s="95">
        <f t="shared" si="65"/>
        <v>6702.2343741349332</v>
      </c>
      <c r="R122" s="95">
        <f t="shared" si="65"/>
        <v>7001.4848507258648</v>
      </c>
    </row>
    <row r="123" spans="2:18" x14ac:dyDescent="0.55000000000000004">
      <c r="B123" s="18" t="s">
        <v>477</v>
      </c>
      <c r="C123" s="18"/>
      <c r="D123" s="18"/>
      <c r="E123" s="18"/>
      <c r="F123" s="18"/>
      <c r="G123" s="12">
        <f>G122/G26</f>
        <v>0.50872223050544219</v>
      </c>
      <c r="H123" s="12">
        <f t="shared" ref="H123:R123" si="66">H122/H26</f>
        <v>0.55225787221358769</v>
      </c>
      <c r="I123" s="12">
        <f t="shared" si="66"/>
        <v>0.43134618072010672</v>
      </c>
      <c r="J123" s="12">
        <f t="shared" si="66"/>
        <v>0.31120223522080848</v>
      </c>
      <c r="K123" s="12">
        <f t="shared" si="66"/>
        <v>0.34830466830466827</v>
      </c>
      <c r="L123" s="12">
        <f t="shared" si="66"/>
        <v>0.41359274192866929</v>
      </c>
      <c r="M123" s="12">
        <f t="shared" si="66"/>
        <v>0.44149655708124708</v>
      </c>
      <c r="N123" s="12">
        <f t="shared" si="66"/>
        <v>0.43606156843817551</v>
      </c>
      <c r="O123" s="12">
        <f t="shared" si="66"/>
        <v>0.43785008741359011</v>
      </c>
      <c r="P123" s="12">
        <f t="shared" si="66"/>
        <v>0.44213040960001859</v>
      </c>
      <c r="Q123" s="12">
        <f t="shared" si="66"/>
        <v>0.43984528594610728</v>
      </c>
      <c r="R123" s="12">
        <f t="shared" si="66"/>
        <v>0.43742611555185135</v>
      </c>
    </row>
    <row r="124" spans="2:18" x14ac:dyDescent="0.55000000000000004"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</row>
    <row r="125" spans="2:18" x14ac:dyDescent="0.55000000000000004">
      <c r="B125" s="9" t="s">
        <v>470</v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</row>
    <row r="126" spans="2:18" x14ac:dyDescent="0.55000000000000004">
      <c r="B126" t="s">
        <v>471</v>
      </c>
      <c r="G126" s="4">
        <f t="shared" ref="G126:R126" si="67">G10</f>
        <v>2031</v>
      </c>
      <c r="H126" s="4">
        <f t="shared" si="67"/>
        <v>2177.4</v>
      </c>
      <c r="I126" s="4">
        <f t="shared" si="67"/>
        <v>3514</v>
      </c>
      <c r="J126" s="4">
        <f t="shared" si="67"/>
        <v>6253</v>
      </c>
      <c r="K126" s="4">
        <f t="shared" si="67"/>
        <v>6653</v>
      </c>
      <c r="L126" s="4">
        <f t="shared" si="67"/>
        <v>7392.6844855787203</v>
      </c>
      <c r="M126" s="4">
        <f t="shared" si="67"/>
        <v>7694.8884941691067</v>
      </c>
      <c r="N126" s="4">
        <f t="shared" si="67"/>
        <v>7800.5424842945995</v>
      </c>
      <c r="O126" s="4">
        <f t="shared" si="67"/>
        <v>8158.8417506968935</v>
      </c>
      <c r="P126" s="4">
        <f t="shared" si="67"/>
        <v>9019.9564790528184</v>
      </c>
      <c r="Q126" s="4">
        <f t="shared" si="67"/>
        <v>9888.4509788377491</v>
      </c>
      <c r="R126" s="4">
        <f t="shared" si="67"/>
        <v>10647.307231456802</v>
      </c>
    </row>
    <row r="127" spans="2:18" x14ac:dyDescent="0.55000000000000004">
      <c r="B127" t="s">
        <v>472</v>
      </c>
      <c r="G127" s="4">
        <f t="shared" ref="G127:R127" si="68">G11</f>
        <v>126</v>
      </c>
      <c r="H127" s="4">
        <f t="shared" si="68"/>
        <v>128.6</v>
      </c>
      <c r="I127" s="4">
        <f t="shared" si="68"/>
        <v>150</v>
      </c>
      <c r="J127" s="4">
        <f t="shared" si="68"/>
        <v>175.8</v>
      </c>
      <c r="K127" s="4">
        <f t="shared" si="68"/>
        <v>269</v>
      </c>
      <c r="L127" s="4">
        <f t="shared" si="68"/>
        <v>242.1</v>
      </c>
      <c r="M127" s="4">
        <f t="shared" si="68"/>
        <v>229.99499999999998</v>
      </c>
      <c r="N127" s="4">
        <f t="shared" si="68"/>
        <v>218.49524999999997</v>
      </c>
      <c r="O127" s="4">
        <f t="shared" si="68"/>
        <v>207.57048749999996</v>
      </c>
      <c r="P127" s="4">
        <f t="shared" si="68"/>
        <v>197.19196312499994</v>
      </c>
      <c r="Q127" s="4">
        <f t="shared" si="68"/>
        <v>187.33236496874994</v>
      </c>
      <c r="R127" s="4">
        <f t="shared" si="68"/>
        <v>177.96574672031244</v>
      </c>
    </row>
    <row r="128" spans="2:18" x14ac:dyDescent="0.55000000000000004">
      <c r="B128" s="1" t="s">
        <v>473</v>
      </c>
      <c r="C128" s="1"/>
      <c r="D128" s="1"/>
      <c r="E128" s="1"/>
      <c r="F128" s="1"/>
      <c r="G128" s="6">
        <f t="shared" ref="G128:R128" si="69">-G62-G69</f>
        <v>-238.8</v>
      </c>
      <c r="H128" s="6">
        <f t="shared" si="69"/>
        <v>-397.5</v>
      </c>
      <c r="I128" s="6">
        <f t="shared" si="69"/>
        <v>-1454.9</v>
      </c>
      <c r="J128" s="6">
        <f t="shared" si="69"/>
        <v>-4136.1000000000004</v>
      </c>
      <c r="K128" s="6">
        <f t="shared" si="69"/>
        <v>-3806.6</v>
      </c>
      <c r="L128" s="6">
        <f t="shared" si="69"/>
        <v>-3348.7184938719538</v>
      </c>
      <c r="M128" s="6">
        <f t="shared" si="69"/>
        <v>-3296.297362134771</v>
      </c>
      <c r="N128" s="6">
        <f t="shared" si="69"/>
        <v>-3545.809980572848</v>
      </c>
      <c r="O128" s="6">
        <f t="shared" si="69"/>
        <v>-3915.222759350152</v>
      </c>
      <c r="P128" s="6">
        <f t="shared" si="69"/>
        <v>-4230.1217691972952</v>
      </c>
      <c r="Q128" s="6">
        <f t="shared" si="69"/>
        <v>-4533.6687093195433</v>
      </c>
      <c r="R128" s="6">
        <f t="shared" si="69"/>
        <v>-4785.9219864821071</v>
      </c>
    </row>
    <row r="129" spans="2:18" x14ac:dyDescent="0.55000000000000004">
      <c r="B129" t="s">
        <v>243</v>
      </c>
      <c r="G129" s="4">
        <f>SUM(G126:G128)</f>
        <v>1918.2</v>
      </c>
      <c r="H129" s="4">
        <f t="shared" ref="H129:R129" si="70">SUM(H126:H128)</f>
        <v>1908.5</v>
      </c>
      <c r="I129" s="4">
        <f t="shared" si="70"/>
        <v>2209.1</v>
      </c>
      <c r="J129" s="4">
        <f t="shared" si="70"/>
        <v>2292.6999999999998</v>
      </c>
      <c r="K129" s="4">
        <f t="shared" si="70"/>
        <v>3115.4</v>
      </c>
      <c r="L129" s="4">
        <f t="shared" si="70"/>
        <v>4286.0659917067669</v>
      </c>
      <c r="M129" s="4">
        <f t="shared" si="70"/>
        <v>4628.5861320343356</v>
      </c>
      <c r="N129" s="4">
        <f t="shared" si="70"/>
        <v>4473.2277537217515</v>
      </c>
      <c r="O129" s="4">
        <f t="shared" si="70"/>
        <v>4451.1894788467416</v>
      </c>
      <c r="P129" s="4">
        <f t="shared" si="70"/>
        <v>4987.0266729805235</v>
      </c>
      <c r="Q129" s="4">
        <f t="shared" si="70"/>
        <v>5542.1146344869558</v>
      </c>
      <c r="R129" s="4">
        <f t="shared" si="70"/>
        <v>6039.350991695007</v>
      </c>
    </row>
    <row r="130" spans="2:18" x14ac:dyDescent="0.55000000000000004">
      <c r="G130" s="4"/>
    </row>
    <row r="131" spans="2:18" x14ac:dyDescent="0.55000000000000004">
      <c r="B131" t="s">
        <v>498</v>
      </c>
      <c r="G131" s="2">
        <f>G132/G94</f>
        <v>0</v>
      </c>
      <c r="H131" s="2">
        <f>H132/H94</f>
        <v>0</v>
      </c>
      <c r="I131" s="2">
        <f>I132/I94</f>
        <v>0</v>
      </c>
      <c r="J131" s="2">
        <f>J132/J94</f>
        <v>0</v>
      </c>
      <c r="K131" s="2">
        <f>K132/K94</f>
        <v>0</v>
      </c>
      <c r="L131" s="5">
        <v>0</v>
      </c>
      <c r="M131" s="5">
        <v>0</v>
      </c>
      <c r="N131" s="5">
        <v>0.35</v>
      </c>
      <c r="O131" s="5">
        <v>0.35</v>
      </c>
      <c r="P131" s="5">
        <v>0.35</v>
      </c>
      <c r="Q131" s="5">
        <v>0.35</v>
      </c>
      <c r="R131" s="5">
        <v>0.35</v>
      </c>
    </row>
    <row r="132" spans="2:18" x14ac:dyDescent="0.55000000000000004">
      <c r="B132" t="s">
        <v>497</v>
      </c>
      <c r="G132" s="100">
        <f>F132</f>
        <v>0</v>
      </c>
      <c r="H132" s="100">
        <f>G132</f>
        <v>0</v>
      </c>
      <c r="I132" s="100">
        <f>H132</f>
        <v>0</v>
      </c>
      <c r="J132" s="100">
        <f>I132</f>
        <v>0</v>
      </c>
      <c r="K132" s="100">
        <f>J132</f>
        <v>0</v>
      </c>
      <c r="L132" s="101">
        <f t="shared" ref="L132:R132" si="71">L131*L94</f>
        <v>0</v>
      </c>
      <c r="M132" s="101">
        <f t="shared" si="71"/>
        <v>0</v>
      </c>
      <c r="N132" s="101">
        <f t="shared" si="71"/>
        <v>961.00222595749358</v>
      </c>
      <c r="O132" s="101">
        <f t="shared" si="71"/>
        <v>1010.008132539611</v>
      </c>
      <c r="P132" s="101">
        <f t="shared" si="71"/>
        <v>1120.0434455325546</v>
      </c>
      <c r="Q132" s="101">
        <f t="shared" si="71"/>
        <v>1163.4215936354185</v>
      </c>
      <c r="R132" s="101">
        <f t="shared" si="71"/>
        <v>1198.1807621268872</v>
      </c>
    </row>
    <row r="133" spans="2:18" x14ac:dyDescent="0.55000000000000004">
      <c r="B133" t="s">
        <v>720</v>
      </c>
      <c r="G133">
        <f t="shared" ref="G133:R133" si="72">G132/G224</f>
        <v>0</v>
      </c>
      <c r="H133">
        <f t="shared" si="72"/>
        <v>0</v>
      </c>
      <c r="I133">
        <f>I132/I224</f>
        <v>0</v>
      </c>
      <c r="J133">
        <f>J132/J224</f>
        <v>0</v>
      </c>
      <c r="K133">
        <f>K132/K224</f>
        <v>0</v>
      </c>
      <c r="L133" s="13">
        <f t="shared" si="72"/>
        <v>0</v>
      </c>
      <c r="M133" s="13">
        <f t="shared" si="72"/>
        <v>0</v>
      </c>
      <c r="N133" s="13">
        <f t="shared" si="72"/>
        <v>2.9155913265378679</v>
      </c>
      <c r="O133" s="13">
        <f t="shared" si="72"/>
        <v>3.0642706868146736</v>
      </c>
      <c r="P133" s="13">
        <f t="shared" si="72"/>
        <v>3.3981075869898625</v>
      </c>
      <c r="Q133" s="13">
        <f t="shared" si="72"/>
        <v>3.5297128517372713</v>
      </c>
      <c r="R133" s="13">
        <f t="shared" si="72"/>
        <v>3.63516893439142</v>
      </c>
    </row>
    <row r="134" spans="2:18" x14ac:dyDescent="0.55000000000000004">
      <c r="G134" s="4"/>
    </row>
    <row r="135" spans="2:18" x14ac:dyDescent="0.55000000000000004">
      <c r="B135" t="s">
        <v>449</v>
      </c>
      <c r="E135" s="31">
        <v>107.5</v>
      </c>
      <c r="F135" s="31">
        <v>253.6</v>
      </c>
      <c r="G135" s="31">
        <v>693.4</v>
      </c>
      <c r="H135" s="44">
        <v>2057</v>
      </c>
      <c r="I135" s="44">
        <v>1751.8</v>
      </c>
      <c r="J135" s="44">
        <v>2136</v>
      </c>
      <c r="K135" s="44">
        <v>1988.4</v>
      </c>
      <c r="L135" s="4">
        <f t="shared" ref="L135:R135" si="73">L136*L12</f>
        <v>2004.8964970872751</v>
      </c>
      <c r="M135" s="4">
        <f t="shared" si="73"/>
        <v>2061.5363217735476</v>
      </c>
      <c r="N135" s="4">
        <f t="shared" si="73"/>
        <v>2164.9687885072117</v>
      </c>
      <c r="O135" s="4">
        <f t="shared" si="73"/>
        <v>2200.3062052455066</v>
      </c>
      <c r="P135" s="4">
        <f t="shared" si="73"/>
        <v>2386.9427370232261</v>
      </c>
      <c r="Q135" s="4">
        <f t="shared" si="73"/>
        <v>2568.6689080588058</v>
      </c>
      <c r="R135" s="4">
        <f t="shared" si="73"/>
        <v>2721.0265657006025</v>
      </c>
    </row>
    <row r="136" spans="2:18" x14ac:dyDescent="0.55000000000000004">
      <c r="B136" t="s">
        <v>503</v>
      </c>
      <c r="E136" s="12">
        <f t="shared" ref="E136:K136" si="74">E135/E12</f>
        <v>4.2592812710487739E-2</v>
      </c>
      <c r="F136" s="12">
        <f t="shared" si="74"/>
        <v>5.8505975176486869E-2</v>
      </c>
      <c r="G136" s="12">
        <f t="shared" si="74"/>
        <v>0.12149565461171853</v>
      </c>
      <c r="H136" s="12">
        <f t="shared" si="74"/>
        <v>0.30184747677814133</v>
      </c>
      <c r="I136" s="12">
        <f t="shared" si="74"/>
        <v>0.16770055523645414</v>
      </c>
      <c r="J136" s="12">
        <f t="shared" si="74"/>
        <v>0.13929102433680257</v>
      </c>
      <c r="K136" s="12">
        <f t="shared" si="74"/>
        <v>0.12467239325349552</v>
      </c>
      <c r="L136" s="42">
        <v>0.115</v>
      </c>
      <c r="M136" s="42">
        <v>0.1076</v>
      </c>
      <c r="N136" s="42">
        <v>0.105</v>
      </c>
      <c r="O136" s="42">
        <v>0.1</v>
      </c>
      <c r="P136" s="42">
        <v>0.1</v>
      </c>
      <c r="Q136" s="42">
        <v>0.1</v>
      </c>
      <c r="R136" s="42">
        <v>0.1</v>
      </c>
    </row>
    <row r="137" spans="2:18" x14ac:dyDescent="0.55000000000000004">
      <c r="B137" s="10" t="s">
        <v>501</v>
      </c>
      <c r="E137" s="4">
        <f t="shared" ref="E137:J137" si="75">E135-E141</f>
        <v>7.7999999999999972</v>
      </c>
      <c r="F137" s="4">
        <f t="shared" si="75"/>
        <v>61.599999999999994</v>
      </c>
      <c r="G137" s="4">
        <f t="shared" si="75"/>
        <v>328.29999999999995</v>
      </c>
      <c r="H137" s="4">
        <f t="shared" si="75"/>
        <v>1533.2</v>
      </c>
      <c r="I137" s="4">
        <f t="shared" si="75"/>
        <v>971.8</v>
      </c>
      <c r="J137" s="4">
        <f t="shared" si="75"/>
        <v>1068</v>
      </c>
      <c r="K137" s="4">
        <f t="shared" ref="K137:R137" ca="1" si="76">K138+K139</f>
        <v>1022.2</v>
      </c>
      <c r="L137" s="4">
        <f t="shared" ca="1" si="76"/>
        <v>1313.9064000000003</v>
      </c>
      <c r="M137" s="4">
        <f t="shared" ca="1" si="76"/>
        <v>1547.939664</v>
      </c>
      <c r="N137" s="4">
        <f t="shared" ca="1" si="76"/>
        <v>1614.9929904000001</v>
      </c>
      <c r="O137" s="4">
        <f t="shared" ca="1" si="76"/>
        <v>1684.1370569904</v>
      </c>
      <c r="P137" s="4">
        <f t="shared" ca="1" si="76"/>
        <v>1755.430061198256</v>
      </c>
      <c r="Q137" s="4">
        <f t="shared" ca="1" si="76"/>
        <v>1828.9317615091302</v>
      </c>
      <c r="R137" s="4">
        <f t="shared" ca="1" si="76"/>
        <v>1904.703520103335</v>
      </c>
    </row>
    <row r="138" spans="2:18" x14ac:dyDescent="0.55000000000000004">
      <c r="B138" s="10" t="s">
        <v>505</v>
      </c>
      <c r="E138" s="4"/>
      <c r="F138" s="4"/>
      <c r="G138" s="4">
        <f>Acquirer!H159</f>
        <v>355</v>
      </c>
      <c r="H138" s="44">
        <f>0.72*H135</f>
        <v>1481.04</v>
      </c>
      <c r="I138" s="44">
        <f>0.5*I135</f>
        <v>875.9</v>
      </c>
      <c r="J138" s="44">
        <f>0.5*J135</f>
        <v>1068</v>
      </c>
      <c r="K138" s="44">
        <f>0.5*K135</f>
        <v>994.2</v>
      </c>
      <c r="L138" s="4">
        <f>Acquirer!M159</f>
        <v>1284.5064000000002</v>
      </c>
      <c r="M138" s="4">
        <f>Acquirer!N159</f>
        <v>1517.0696640000001</v>
      </c>
      <c r="N138" s="4">
        <f>Acquirer!O159</f>
        <v>1582.5794903999999</v>
      </c>
      <c r="O138" s="4">
        <f>Acquirer!P159</f>
        <v>1650.1028819904</v>
      </c>
      <c r="P138" s="4">
        <f>Acquirer!Q159</f>
        <v>1719.6941774482559</v>
      </c>
      <c r="Q138" s="4">
        <f>Acquirer!R159</f>
        <v>1791.4090835716302</v>
      </c>
      <c r="R138" s="4">
        <f>Acquirer!S159</f>
        <v>1865.30470826896</v>
      </c>
    </row>
    <row r="139" spans="2:18" x14ac:dyDescent="0.55000000000000004">
      <c r="B139" s="10" t="s">
        <v>506</v>
      </c>
      <c r="F139" s="4"/>
      <c r="G139" s="4">
        <f>G137-G138</f>
        <v>-26.700000000000045</v>
      </c>
      <c r="H139" s="4">
        <f>H137-H138</f>
        <v>52.160000000000082</v>
      </c>
      <c r="I139" s="4">
        <f>I137-I138</f>
        <v>95.899999999999977</v>
      </c>
      <c r="J139" s="4">
        <f>J137-J138</f>
        <v>0</v>
      </c>
      <c r="K139" s="4">
        <f ca="1">K137-K138</f>
        <v>28</v>
      </c>
      <c r="L139" s="51">
        <f t="shared" ref="L139:R139" ca="1" si="77">K139*1.05</f>
        <v>29.400000000000002</v>
      </c>
      <c r="M139" s="51">
        <f t="shared" ca="1" si="77"/>
        <v>30.870000000000005</v>
      </c>
      <c r="N139" s="51">
        <f t="shared" ca="1" si="77"/>
        <v>32.413500000000006</v>
      </c>
      <c r="O139" s="51">
        <f t="shared" ca="1" si="77"/>
        <v>34.034175000000005</v>
      </c>
      <c r="P139" s="51">
        <f t="shared" ca="1" si="77"/>
        <v>35.735883750000006</v>
      </c>
      <c r="Q139" s="51">
        <f t="shared" ca="1" si="77"/>
        <v>37.522677937500006</v>
      </c>
      <c r="R139" s="51">
        <f t="shared" ca="1" si="77"/>
        <v>39.39881183437501</v>
      </c>
    </row>
    <row r="140" spans="2:18" x14ac:dyDescent="0.55000000000000004">
      <c r="B140" s="10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</row>
    <row r="141" spans="2:18" x14ac:dyDescent="0.55000000000000004">
      <c r="B141" s="10" t="s">
        <v>502</v>
      </c>
      <c r="E141" s="31">
        <v>99.7</v>
      </c>
      <c r="F141" s="31">
        <v>192</v>
      </c>
      <c r="G141" s="31">
        <v>365.1</v>
      </c>
      <c r="H141" s="31">
        <v>523.79999999999995</v>
      </c>
      <c r="I141" s="31">
        <v>780</v>
      </c>
      <c r="J141" s="4">
        <f>J135-J138</f>
        <v>1068</v>
      </c>
      <c r="K141" s="4">
        <f>K135-K138</f>
        <v>994.2</v>
      </c>
      <c r="L141" s="13">
        <f t="shared" ref="L141:R141" si="78">L135-L138</f>
        <v>720.39009708727485</v>
      </c>
      <c r="M141" s="13">
        <f t="shared" si="78"/>
        <v>544.46665777354747</v>
      </c>
      <c r="N141" s="13">
        <f t="shared" si="78"/>
        <v>582.38929810721174</v>
      </c>
      <c r="O141" s="13">
        <f t="shared" si="78"/>
        <v>550.20332325510662</v>
      </c>
      <c r="P141" s="13">
        <f t="shared" si="78"/>
        <v>667.24855957497016</v>
      </c>
      <c r="Q141" s="13">
        <f t="shared" si="78"/>
        <v>777.25982448717559</v>
      </c>
      <c r="R141" s="13">
        <f t="shared" si="78"/>
        <v>855.72185743164255</v>
      </c>
    </row>
    <row r="142" spans="2:18" x14ac:dyDescent="0.55000000000000004">
      <c r="B142" t="s">
        <v>507</v>
      </c>
      <c r="E142" s="2">
        <f t="shared" ref="E142:J142" si="79">E141/E26</f>
        <v>5.1474004853115804E-2</v>
      </c>
      <c r="F142" s="2">
        <f t="shared" si="79"/>
        <v>6.0537268255769952E-2</v>
      </c>
      <c r="G142" s="2">
        <f t="shared" si="79"/>
        <v>9.0726107052333388E-2</v>
      </c>
      <c r="H142" s="2">
        <f t="shared" si="79"/>
        <v>0.1115203644957312</v>
      </c>
      <c r="I142" s="2">
        <f t="shared" si="79"/>
        <v>0.11557267743369389</v>
      </c>
      <c r="J142" s="2">
        <f t="shared" si="79"/>
        <v>0.10733884098172829</v>
      </c>
      <c r="K142" s="2">
        <f t="shared" ref="K142:R142" si="80">K141/K26</f>
        <v>9.7710073710073717E-2</v>
      </c>
      <c r="L142" s="2">
        <f t="shared" si="80"/>
        <v>6.6483486355154386E-2</v>
      </c>
      <c r="M142" s="2">
        <f t="shared" si="80"/>
        <v>4.633321371587535E-2</v>
      </c>
      <c r="N142" s="2">
        <f t="shared" si="80"/>
        <v>4.6702800445383642E-2</v>
      </c>
      <c r="O142" s="2">
        <f t="shared" si="80"/>
        <v>4.1852012500536502E-2</v>
      </c>
      <c r="P142" s="2">
        <f t="shared" si="80"/>
        <v>4.6693582977268382E-2</v>
      </c>
      <c r="Q142" s="2">
        <f t="shared" si="80"/>
        <v>5.1008969646799178E-2</v>
      </c>
      <c r="R142" s="2">
        <f t="shared" si="80"/>
        <v>5.3462243519720273E-2</v>
      </c>
    </row>
    <row r="144" spans="2:18" x14ac:dyDescent="0.55000000000000004">
      <c r="B144" t="s">
        <v>504</v>
      </c>
      <c r="E144" s="2">
        <f t="shared" ref="E144:R144" si="81">E135/E72</f>
        <v>2.0833333333333335</v>
      </c>
      <c r="F144" s="2">
        <f t="shared" si="81"/>
        <v>2.6582809224318655</v>
      </c>
      <c r="G144" s="2">
        <f t="shared" si="81"/>
        <v>5.4087363494539789</v>
      </c>
      <c r="H144" s="2">
        <f t="shared" si="81"/>
        <v>5.4663832048897154</v>
      </c>
      <c r="I144" s="2">
        <f t="shared" si="81"/>
        <v>2.2792089513400988</v>
      </c>
      <c r="J144" s="2">
        <f t="shared" si="81"/>
        <v>1.8885941644562334</v>
      </c>
      <c r="K144" s="2">
        <f t="shared" si="81"/>
        <v>1.4674538745387455</v>
      </c>
      <c r="L144" s="2">
        <f t="shared" si="81"/>
        <v>1.1304444844587898</v>
      </c>
      <c r="M144" s="2">
        <f t="shared" si="81"/>
        <v>1.1193772299263873</v>
      </c>
      <c r="N144" s="2">
        <f t="shared" si="81"/>
        <v>1.1338246791691389</v>
      </c>
      <c r="O144" s="2">
        <f t="shared" si="81"/>
        <v>1.1089869872647331</v>
      </c>
      <c r="P144" s="2">
        <f t="shared" si="81"/>
        <v>1.1518506787188041</v>
      </c>
      <c r="Q144" s="2">
        <f t="shared" si="81"/>
        <v>1.1887327750880663</v>
      </c>
      <c r="R144" s="2">
        <f t="shared" si="81"/>
        <v>1.2126934145844863</v>
      </c>
    </row>
    <row r="146" spans="2:18" x14ac:dyDescent="0.55000000000000004">
      <c r="B146" s="20" t="s">
        <v>530</v>
      </c>
      <c r="C146" s="20"/>
      <c r="D146" s="20"/>
      <c r="E146" s="20"/>
      <c r="F146" s="20">
        <f>F162</f>
        <v>2018</v>
      </c>
      <c r="G146" s="20">
        <f t="shared" ref="G146:R146" si="82">G162</f>
        <v>2019</v>
      </c>
      <c r="H146" s="20">
        <f t="shared" si="82"/>
        <v>2020</v>
      </c>
      <c r="I146" s="20">
        <f t="shared" si="82"/>
        <v>2021</v>
      </c>
      <c r="J146" s="20">
        <f t="shared" si="82"/>
        <v>2022</v>
      </c>
      <c r="K146" s="20">
        <f t="shared" si="82"/>
        <v>2023</v>
      </c>
      <c r="L146" s="20">
        <f t="shared" si="82"/>
        <v>2024</v>
      </c>
      <c r="M146" s="20">
        <f t="shared" si="82"/>
        <v>2025</v>
      </c>
      <c r="N146" s="20">
        <f t="shared" si="82"/>
        <v>2026</v>
      </c>
      <c r="O146" s="20">
        <f t="shared" si="82"/>
        <v>2027</v>
      </c>
      <c r="P146" s="20">
        <f t="shared" si="82"/>
        <v>2028</v>
      </c>
      <c r="Q146" s="20">
        <f t="shared" si="82"/>
        <v>2029</v>
      </c>
      <c r="R146" s="20">
        <f t="shared" si="82"/>
        <v>2030</v>
      </c>
    </row>
    <row r="147" spans="2:18" x14ac:dyDescent="0.55000000000000004">
      <c r="B147" t="s">
        <v>323</v>
      </c>
      <c r="G147" s="4">
        <f t="shared" ref="G147:R147" si="83">G94</f>
        <v>1325.4999999999995</v>
      </c>
      <c r="H147" s="4">
        <f t="shared" si="83"/>
        <v>1292.4999999999995</v>
      </c>
      <c r="I147" s="4">
        <f t="shared" si="83"/>
        <v>1163.6999999999996</v>
      </c>
      <c r="J147" s="4">
        <f t="shared" si="83"/>
        <v>1506.7999999999993</v>
      </c>
      <c r="K147" s="4">
        <f t="shared" si="83"/>
        <v>1637.8999999999996</v>
      </c>
      <c r="L147" s="4">
        <f t="shared" si="83"/>
        <v>2059.5508836829044</v>
      </c>
      <c r="M147" s="4">
        <f t="shared" si="83"/>
        <v>2604.5382420817959</v>
      </c>
      <c r="N147" s="4">
        <f t="shared" si="83"/>
        <v>2745.720645592839</v>
      </c>
      <c r="O147" s="4">
        <f t="shared" si="83"/>
        <v>2885.737521541746</v>
      </c>
      <c r="P147" s="4">
        <f t="shared" si="83"/>
        <v>3200.1241300930133</v>
      </c>
      <c r="Q147" s="4">
        <f t="shared" si="83"/>
        <v>3324.061696101196</v>
      </c>
      <c r="R147" s="4">
        <f t="shared" si="83"/>
        <v>3423.3736060768206</v>
      </c>
    </row>
    <row r="148" spans="2:18" x14ac:dyDescent="0.55000000000000004">
      <c r="B148" s="9" t="s">
        <v>526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2:18" x14ac:dyDescent="0.55000000000000004">
      <c r="B149" t="s">
        <v>396</v>
      </c>
      <c r="G149" s="4">
        <f t="shared" ref="G149:R149" si="84">G72</f>
        <v>128.19999999999999</v>
      </c>
      <c r="H149" s="4">
        <f t="shared" si="84"/>
        <v>376.3</v>
      </c>
      <c r="I149" s="4">
        <f t="shared" si="84"/>
        <v>768.6</v>
      </c>
      <c r="J149" s="4">
        <f t="shared" si="84"/>
        <v>1131</v>
      </c>
      <c r="K149" s="4">
        <f t="shared" si="84"/>
        <v>1355</v>
      </c>
      <c r="L149" s="4">
        <f t="shared" si="84"/>
        <v>1773.5470645841904</v>
      </c>
      <c r="M149" s="4">
        <f t="shared" si="84"/>
        <v>1841.6814874009174</v>
      </c>
      <c r="N149" s="4">
        <f t="shared" si="84"/>
        <v>1909.438759168384</v>
      </c>
      <c r="O149" s="4">
        <f t="shared" si="84"/>
        <v>1984.0685513113763</v>
      </c>
      <c r="P149" s="4">
        <f t="shared" si="84"/>
        <v>2072.2675092558061</v>
      </c>
      <c r="Q149" s="4">
        <f t="shared" si="84"/>
        <v>2160.8463751397012</v>
      </c>
      <c r="R149" s="4">
        <f t="shared" si="84"/>
        <v>2243.7876985032749</v>
      </c>
    </row>
    <row r="150" spans="2:18" x14ac:dyDescent="0.55000000000000004">
      <c r="B150" t="s">
        <v>519</v>
      </c>
      <c r="G150" s="4">
        <f t="shared" ref="G150:R150" si="85">G69</f>
        <v>200.6</v>
      </c>
      <c r="H150" s="4">
        <f t="shared" si="85"/>
        <v>288.3</v>
      </c>
      <c r="I150" s="4">
        <f t="shared" si="85"/>
        <v>664.3</v>
      </c>
      <c r="J150" s="4">
        <f t="shared" si="85"/>
        <v>984.5</v>
      </c>
      <c r="K150" s="4">
        <f t="shared" si="85"/>
        <v>536.6</v>
      </c>
      <c r="L150" s="4">
        <f t="shared" si="85"/>
        <v>534.10754210201117</v>
      </c>
      <c r="M150" s="4">
        <f t="shared" si="85"/>
        <v>613.50152922494749</v>
      </c>
      <c r="N150" s="4">
        <f t="shared" si="85"/>
        <v>675.53466593413305</v>
      </c>
      <c r="O150" s="4">
        <f t="shared" si="85"/>
        <v>703.17963492850436</v>
      </c>
      <c r="P150" s="4">
        <f t="shared" si="85"/>
        <v>798.70556316474915</v>
      </c>
      <c r="Q150" s="4">
        <f t="shared" si="85"/>
        <v>896.23038076136459</v>
      </c>
      <c r="R150" s="4">
        <f t="shared" si="85"/>
        <v>988.2848020206186</v>
      </c>
    </row>
    <row r="151" spans="2:18" x14ac:dyDescent="0.55000000000000004">
      <c r="B151" t="s">
        <v>521</v>
      </c>
      <c r="G151" s="4">
        <f t="shared" ref="G151:R151" si="86">G53</f>
        <v>156.273</v>
      </c>
      <c r="H151" s="4">
        <f t="shared" si="86"/>
        <v>207</v>
      </c>
      <c r="I151" s="4">
        <f t="shared" si="86"/>
        <v>370.62900000000002</v>
      </c>
      <c r="J151" s="4">
        <f t="shared" si="86"/>
        <v>79</v>
      </c>
      <c r="K151" s="4">
        <f t="shared" si="86"/>
        <v>74.611315967851269</v>
      </c>
      <c r="L151" s="4">
        <f t="shared" si="86"/>
        <v>67.471691638256928</v>
      </c>
      <c r="M151" s="4">
        <f t="shared" si="86"/>
        <v>72.836744967834477</v>
      </c>
      <c r="N151" s="4">
        <f t="shared" si="86"/>
        <v>78.385214330857195</v>
      </c>
      <c r="O151" s="4">
        <f t="shared" si="86"/>
        <v>83.647878956784794</v>
      </c>
      <c r="P151" s="4">
        <f t="shared" si="86"/>
        <v>90.74314141699989</v>
      </c>
      <c r="Q151" s="4">
        <f t="shared" si="86"/>
        <v>97.651729286190616</v>
      </c>
      <c r="R151" s="4">
        <f t="shared" si="86"/>
        <v>103.44382989208708</v>
      </c>
    </row>
    <row r="152" spans="2:18" x14ac:dyDescent="0.55000000000000004">
      <c r="B152" s="9" t="s">
        <v>522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2:18" x14ac:dyDescent="0.55000000000000004">
      <c r="B153" t="s">
        <v>449</v>
      </c>
      <c r="G153" s="4">
        <f t="shared" ref="G153:R153" si="87">-G135</f>
        <v>-693.4</v>
      </c>
      <c r="H153" s="4">
        <f t="shared" si="87"/>
        <v>-2057</v>
      </c>
      <c r="I153" s="4">
        <f t="shared" si="87"/>
        <v>-1751.8</v>
      </c>
      <c r="J153" s="4">
        <f t="shared" si="87"/>
        <v>-2136</v>
      </c>
      <c r="K153" s="4">
        <f t="shared" si="87"/>
        <v>-1988.4</v>
      </c>
      <c r="L153" s="4">
        <f t="shared" si="87"/>
        <v>-2004.8964970872751</v>
      </c>
      <c r="M153" s="4">
        <f t="shared" si="87"/>
        <v>-2061.5363217735476</v>
      </c>
      <c r="N153" s="4">
        <f t="shared" si="87"/>
        <v>-2164.9687885072117</v>
      </c>
      <c r="O153" s="4">
        <f t="shared" si="87"/>
        <v>-2200.3062052455066</v>
      </c>
      <c r="P153" s="4">
        <f t="shared" si="87"/>
        <v>-2386.9427370232261</v>
      </c>
      <c r="Q153" s="4">
        <f t="shared" si="87"/>
        <v>-2568.6689080588058</v>
      </c>
      <c r="R153" s="4">
        <f t="shared" si="87"/>
        <v>-2721.0265657006025</v>
      </c>
    </row>
    <row r="154" spans="2:18" x14ac:dyDescent="0.55000000000000004">
      <c r="B154" t="s">
        <v>525</v>
      </c>
      <c r="G154" s="4"/>
      <c r="H154" s="4"/>
      <c r="I154" s="4"/>
      <c r="J154" s="4"/>
      <c r="K154" s="4">
        <v>-1500</v>
      </c>
      <c r="L154" s="4">
        <v>-500</v>
      </c>
      <c r="M154" s="4">
        <v>-500</v>
      </c>
      <c r="N154" s="4"/>
      <c r="O154" s="4"/>
      <c r="P154" s="4"/>
      <c r="Q154" s="4"/>
      <c r="R154" s="4"/>
    </row>
    <row r="155" spans="2:18" x14ac:dyDescent="0.55000000000000004">
      <c r="B155" s="1"/>
      <c r="C155" s="1"/>
      <c r="D155" s="1"/>
      <c r="E155" s="1"/>
      <c r="F155" s="1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</row>
    <row r="156" spans="2:18" x14ac:dyDescent="0.55000000000000004">
      <c r="B156" t="s">
        <v>469</v>
      </c>
      <c r="G156" s="4">
        <f>G147+SUM(G149:G151)+G153+G154</f>
        <v>1117.1729999999993</v>
      </c>
      <c r="H156" s="4">
        <f t="shared" ref="H156:R156" si="88">H147+SUM(H149:H151)+H153+H154</f>
        <v>107.09999999999945</v>
      </c>
      <c r="I156" s="4">
        <f t="shared" si="88"/>
        <v>1215.4289999999994</v>
      </c>
      <c r="J156" s="4">
        <f t="shared" si="88"/>
        <v>1565.2999999999993</v>
      </c>
      <c r="K156" s="4">
        <f t="shared" si="88"/>
        <v>115.71131596785062</v>
      </c>
      <c r="L156" s="4">
        <f t="shared" si="88"/>
        <v>1929.7806849200879</v>
      </c>
      <c r="M156" s="4">
        <f t="shared" si="88"/>
        <v>2571.0216819019479</v>
      </c>
      <c r="N156" s="4">
        <f t="shared" si="88"/>
        <v>3244.1104965190016</v>
      </c>
      <c r="O156" s="4">
        <f t="shared" si="88"/>
        <v>3456.3273814929048</v>
      </c>
      <c r="P156" s="4">
        <f t="shared" si="88"/>
        <v>3774.8976069073424</v>
      </c>
      <c r="Q156" s="4">
        <f t="shared" si="88"/>
        <v>3910.1212732296462</v>
      </c>
      <c r="R156" s="4">
        <f t="shared" si="88"/>
        <v>4037.8633707921995</v>
      </c>
    </row>
    <row r="158" spans="2:18" x14ac:dyDescent="0.55000000000000004">
      <c r="B158" t="s">
        <v>497</v>
      </c>
      <c r="G158" s="7">
        <f t="shared" ref="G158:R158" si="89">-G132</f>
        <v>0</v>
      </c>
      <c r="H158" s="7">
        <f t="shared" si="89"/>
        <v>0</v>
      </c>
      <c r="I158" s="7">
        <f t="shared" si="89"/>
        <v>0</v>
      </c>
      <c r="J158" s="7">
        <f t="shared" si="89"/>
        <v>0</v>
      </c>
      <c r="K158" s="7">
        <f t="shared" si="89"/>
        <v>0</v>
      </c>
      <c r="L158" s="7">
        <f t="shared" si="89"/>
        <v>0</v>
      </c>
      <c r="M158" s="7">
        <f t="shared" si="89"/>
        <v>0</v>
      </c>
      <c r="N158" s="7">
        <f t="shared" si="89"/>
        <v>-961.00222595749358</v>
      </c>
      <c r="O158" s="7">
        <f t="shared" si="89"/>
        <v>-1010.008132539611</v>
      </c>
      <c r="P158" s="7">
        <f t="shared" si="89"/>
        <v>-1120.0434455325546</v>
      </c>
      <c r="Q158" s="7">
        <f t="shared" si="89"/>
        <v>-1163.4215936354185</v>
      </c>
      <c r="R158" s="7">
        <f t="shared" si="89"/>
        <v>-1198.1807621268872</v>
      </c>
    </row>
    <row r="159" spans="2:18" x14ac:dyDescent="0.55000000000000004">
      <c r="B159" s="1" t="s">
        <v>527</v>
      </c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</row>
    <row r="160" spans="2:18" x14ac:dyDescent="0.55000000000000004">
      <c r="B160" t="s">
        <v>528</v>
      </c>
      <c r="G160" s="4">
        <f>G156+G158+G159</f>
        <v>1117.1729999999993</v>
      </c>
      <c r="H160" s="4">
        <f t="shared" ref="H160:R160" si="90">H156+H158+H159</f>
        <v>107.09999999999945</v>
      </c>
      <c r="I160" s="4">
        <f t="shared" si="90"/>
        <v>1215.4289999999994</v>
      </c>
      <c r="J160" s="4">
        <f t="shared" si="90"/>
        <v>1565.2999999999993</v>
      </c>
      <c r="K160" s="4">
        <f t="shared" si="90"/>
        <v>115.71131596785062</v>
      </c>
      <c r="L160" s="4">
        <f t="shared" si="90"/>
        <v>1929.7806849200879</v>
      </c>
      <c r="M160" s="4">
        <f t="shared" si="90"/>
        <v>2571.0216819019479</v>
      </c>
      <c r="N160" s="4">
        <f t="shared" si="90"/>
        <v>2283.1082705615081</v>
      </c>
      <c r="O160" s="4">
        <f t="shared" si="90"/>
        <v>2446.3192489532939</v>
      </c>
      <c r="P160" s="4">
        <f t="shared" si="90"/>
        <v>2654.8541613747875</v>
      </c>
      <c r="Q160" s="4">
        <f t="shared" si="90"/>
        <v>2746.6996795942277</v>
      </c>
      <c r="R160" s="4">
        <f t="shared" si="90"/>
        <v>2839.6826086653123</v>
      </c>
    </row>
    <row r="162" spans="2:18" x14ac:dyDescent="0.55000000000000004">
      <c r="B162" s="20" t="s">
        <v>531</v>
      </c>
      <c r="C162" s="20"/>
      <c r="D162" s="20"/>
      <c r="E162" s="20"/>
      <c r="F162" s="20">
        <f t="shared" ref="F162:R162" si="91">F2</f>
        <v>2018</v>
      </c>
      <c r="G162" s="20">
        <f t="shared" si="91"/>
        <v>2019</v>
      </c>
      <c r="H162" s="20">
        <f t="shared" si="91"/>
        <v>2020</v>
      </c>
      <c r="I162" s="20">
        <f t="shared" si="91"/>
        <v>2021</v>
      </c>
      <c r="J162" s="20">
        <f t="shared" si="91"/>
        <v>2022</v>
      </c>
      <c r="K162" s="20">
        <f t="shared" si="91"/>
        <v>2023</v>
      </c>
      <c r="L162" s="20">
        <f t="shared" si="91"/>
        <v>2024</v>
      </c>
      <c r="M162" s="20">
        <f t="shared" si="91"/>
        <v>2025</v>
      </c>
      <c r="N162" s="20">
        <f t="shared" si="91"/>
        <v>2026</v>
      </c>
      <c r="O162" s="20">
        <f t="shared" si="91"/>
        <v>2027</v>
      </c>
      <c r="P162" s="20">
        <f t="shared" si="91"/>
        <v>2028</v>
      </c>
      <c r="Q162" s="20">
        <f t="shared" si="91"/>
        <v>2029</v>
      </c>
      <c r="R162" s="20">
        <f t="shared" si="91"/>
        <v>2030</v>
      </c>
    </row>
    <row r="164" spans="2:18" x14ac:dyDescent="0.55000000000000004">
      <c r="B164" t="s">
        <v>325</v>
      </c>
    </row>
    <row r="165" spans="2:18" x14ac:dyDescent="0.55000000000000004">
      <c r="B165" t="s">
        <v>326</v>
      </c>
      <c r="F165" s="4">
        <v>2763.05</v>
      </c>
      <c r="G165" s="4">
        <v>1403.9546958500002</v>
      </c>
      <c r="H165" s="4">
        <v>1640.1</v>
      </c>
      <c r="I165" s="4">
        <v>1794.36167</v>
      </c>
      <c r="J165" s="102">
        <v>1829.0969444130237</v>
      </c>
      <c r="K165" s="102">
        <v>2899</v>
      </c>
      <c r="L165" s="4">
        <f t="shared" ref="L165:R165" si="92">K165+L160</f>
        <v>4828.7806849200879</v>
      </c>
      <c r="M165" s="4">
        <f t="shared" si="92"/>
        <v>7399.8023668220358</v>
      </c>
      <c r="N165" s="4">
        <f t="shared" si="92"/>
        <v>9682.9106373835439</v>
      </c>
      <c r="O165" s="4">
        <f t="shared" si="92"/>
        <v>12129.229886336838</v>
      </c>
      <c r="P165" s="4">
        <f t="shared" si="92"/>
        <v>14784.084047711625</v>
      </c>
      <c r="Q165" s="4">
        <f t="shared" si="92"/>
        <v>17530.783727305854</v>
      </c>
      <c r="R165" s="4">
        <f t="shared" si="92"/>
        <v>20370.466335971167</v>
      </c>
    </row>
    <row r="166" spans="2:18" x14ac:dyDescent="0.55000000000000004">
      <c r="B166" t="s">
        <v>327</v>
      </c>
      <c r="F166" s="4">
        <v>0</v>
      </c>
      <c r="G166" s="4">
        <v>1349.66604732</v>
      </c>
      <c r="H166" s="4">
        <v>980</v>
      </c>
      <c r="I166" s="4">
        <v>782.64705400000003</v>
      </c>
      <c r="J166" s="102">
        <v>1103.29925239</v>
      </c>
      <c r="K166" s="102">
        <v>3308</v>
      </c>
      <c r="L166" s="51">
        <f t="shared" ref="L166:R170" si="93">K166</f>
        <v>3308</v>
      </c>
      <c r="M166" s="51">
        <f t="shared" si="93"/>
        <v>3308</v>
      </c>
      <c r="N166" s="51">
        <f t="shared" si="93"/>
        <v>3308</v>
      </c>
      <c r="O166" s="51">
        <f t="shared" si="93"/>
        <v>3308</v>
      </c>
      <c r="P166" s="51">
        <f t="shared" si="93"/>
        <v>3308</v>
      </c>
      <c r="Q166" s="51">
        <f t="shared" si="93"/>
        <v>3308</v>
      </c>
      <c r="R166" s="51">
        <f t="shared" si="93"/>
        <v>3308</v>
      </c>
    </row>
    <row r="167" spans="2:18" x14ac:dyDescent="0.55000000000000004">
      <c r="B167" t="s">
        <v>1087</v>
      </c>
      <c r="F167" s="4">
        <v>8104.6790000000001</v>
      </c>
      <c r="G167" s="4">
        <v>10477.179325501222</v>
      </c>
      <c r="H167" s="4">
        <v>16043</v>
      </c>
      <c r="I167" s="4">
        <v>23428.522396</v>
      </c>
      <c r="J167" s="102">
        <v>36248.588881233576</v>
      </c>
      <c r="K167" s="4">
        <v>41757</v>
      </c>
      <c r="L167" s="4">
        <f t="shared" ref="L167:R167" si="94">L264</f>
        <v>45073.27595795229</v>
      </c>
      <c r="M167" s="4">
        <f t="shared" si="94"/>
        <v>50723.67415121074</v>
      </c>
      <c r="N167" s="4">
        <f t="shared" si="94"/>
        <v>56110.409446635196</v>
      </c>
      <c r="O167" s="4">
        <f t="shared" si="94"/>
        <v>61095.094628683139</v>
      </c>
      <c r="P167" s="4">
        <f t="shared" si="94"/>
        <v>66518.304775745171</v>
      </c>
      <c r="Q167" s="4">
        <f t="shared" si="94"/>
        <v>71799.391064134339</v>
      </c>
      <c r="R167" s="4">
        <f t="shared" si="94"/>
        <v>76099.475041422003</v>
      </c>
    </row>
    <row r="168" spans="2:18" x14ac:dyDescent="0.55000000000000004">
      <c r="B168" t="s">
        <v>328</v>
      </c>
      <c r="F168" s="4">
        <v>88.551000000000002</v>
      </c>
      <c r="G168" s="4">
        <v>61.936426930000003</v>
      </c>
      <c r="H168" s="4">
        <v>30</v>
      </c>
      <c r="I168" s="4">
        <v>49.5</v>
      </c>
      <c r="J168" s="102">
        <v>13</v>
      </c>
      <c r="K168" s="102">
        <v>33</v>
      </c>
      <c r="L168" s="51">
        <f t="shared" si="93"/>
        <v>33</v>
      </c>
      <c r="M168" s="51">
        <f t="shared" si="93"/>
        <v>33</v>
      </c>
      <c r="N168" s="51">
        <f t="shared" si="93"/>
        <v>33</v>
      </c>
      <c r="O168" s="51">
        <f t="shared" si="93"/>
        <v>33</v>
      </c>
      <c r="P168" s="51">
        <f t="shared" si="93"/>
        <v>33</v>
      </c>
      <c r="Q168" s="51">
        <f t="shared" si="93"/>
        <v>33</v>
      </c>
      <c r="R168" s="51">
        <f t="shared" si="93"/>
        <v>33</v>
      </c>
    </row>
    <row r="169" spans="2:18" x14ac:dyDescent="0.55000000000000004">
      <c r="B169" t="s">
        <v>329</v>
      </c>
      <c r="F169" s="4">
        <v>65.653000000000006</v>
      </c>
      <c r="G169" s="4">
        <v>171.56091997999994</v>
      </c>
      <c r="H169" s="4">
        <v>389</v>
      </c>
      <c r="I169" s="4">
        <v>469.5</v>
      </c>
      <c r="J169" s="102">
        <v>410.80070440190201</v>
      </c>
      <c r="K169" s="102">
        <v>563</v>
      </c>
      <c r="L169" s="51">
        <f t="shared" si="93"/>
        <v>563</v>
      </c>
      <c r="M169" s="51">
        <f t="shared" si="93"/>
        <v>563</v>
      </c>
      <c r="N169" s="51">
        <f t="shared" si="93"/>
        <v>563</v>
      </c>
      <c r="O169" s="51">
        <f t="shared" si="93"/>
        <v>563</v>
      </c>
      <c r="P169" s="51">
        <f t="shared" si="93"/>
        <v>563</v>
      </c>
      <c r="Q169" s="51">
        <f t="shared" si="93"/>
        <v>563</v>
      </c>
      <c r="R169" s="51">
        <f t="shared" si="93"/>
        <v>563</v>
      </c>
    </row>
    <row r="170" spans="2:18" x14ac:dyDescent="0.55000000000000004">
      <c r="B170" s="1" t="s">
        <v>330</v>
      </c>
      <c r="C170" s="1"/>
      <c r="D170" s="1"/>
      <c r="E170" s="1"/>
      <c r="F170" s="6">
        <v>20.148</v>
      </c>
      <c r="G170" s="6">
        <v>84.096236089999977</v>
      </c>
      <c r="H170" s="6">
        <v>165</v>
      </c>
      <c r="I170" s="6">
        <v>194.8</v>
      </c>
      <c r="J170" s="247">
        <v>162.00876797689497</v>
      </c>
      <c r="K170" s="247">
        <f>163+4</f>
        <v>167</v>
      </c>
      <c r="L170" s="50">
        <f t="shared" si="93"/>
        <v>167</v>
      </c>
      <c r="M170" s="50">
        <f t="shared" si="93"/>
        <v>167</v>
      </c>
      <c r="N170" s="50">
        <f t="shared" si="93"/>
        <v>167</v>
      </c>
      <c r="O170" s="50">
        <f t="shared" si="93"/>
        <v>167</v>
      </c>
      <c r="P170" s="50">
        <f t="shared" si="93"/>
        <v>167</v>
      </c>
      <c r="Q170" s="50">
        <f t="shared" si="93"/>
        <v>167</v>
      </c>
      <c r="R170" s="50">
        <f t="shared" si="93"/>
        <v>167</v>
      </c>
    </row>
    <row r="171" spans="2:18" x14ac:dyDescent="0.55000000000000004">
      <c r="B171" t="s">
        <v>465</v>
      </c>
      <c r="F171" s="4">
        <f>SUM(F165:F170)</f>
        <v>11042.080999999998</v>
      </c>
      <c r="G171" s="4">
        <f>SUM(G165:G170)</f>
        <v>13548.393651671222</v>
      </c>
      <c r="H171" s="4">
        <f t="shared" ref="H171:R171" si="95">SUM(H165:H170)</f>
        <v>19247.099999999999</v>
      </c>
      <c r="I171" s="4">
        <f t="shared" si="95"/>
        <v>26719.331119999999</v>
      </c>
      <c r="J171" s="4">
        <f t="shared" si="95"/>
        <v>39766.794550415398</v>
      </c>
      <c r="K171" s="4">
        <f t="shared" si="95"/>
        <v>48727</v>
      </c>
      <c r="L171" s="4">
        <f t="shared" si="95"/>
        <v>53973.056642872376</v>
      </c>
      <c r="M171" s="4">
        <f t="shared" si="95"/>
        <v>62194.476518032774</v>
      </c>
      <c r="N171" s="4">
        <f t="shared" si="95"/>
        <v>69864.320084018735</v>
      </c>
      <c r="O171" s="4">
        <f t="shared" si="95"/>
        <v>77295.32451501998</v>
      </c>
      <c r="P171" s="4">
        <f t="shared" si="95"/>
        <v>85373.3888234568</v>
      </c>
      <c r="Q171" s="4">
        <f t="shared" si="95"/>
        <v>93401.174791440193</v>
      </c>
      <c r="R171" s="4">
        <f t="shared" si="95"/>
        <v>100540.94137739317</v>
      </c>
    </row>
    <row r="172" spans="2:18" x14ac:dyDescent="0.55000000000000004"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2:18" x14ac:dyDescent="0.55000000000000004">
      <c r="B173" t="s">
        <v>331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2:18" x14ac:dyDescent="0.55000000000000004">
      <c r="B174" t="s">
        <v>332</v>
      </c>
      <c r="F174" s="4">
        <v>1.5109999999999999</v>
      </c>
      <c r="G174" s="4">
        <v>5.6514568899999258</v>
      </c>
      <c r="H174" s="102">
        <v>7</v>
      </c>
      <c r="I174" s="102">
        <v>40.224169019999977</v>
      </c>
      <c r="J174" s="102">
        <v>44.858467579999981</v>
      </c>
      <c r="K174" s="102">
        <v>51</v>
      </c>
      <c r="L174" s="51">
        <f t="shared" ref="L174:R174" si="96">K174</f>
        <v>51</v>
      </c>
      <c r="M174" s="51">
        <f t="shared" si="96"/>
        <v>51</v>
      </c>
      <c r="N174" s="51">
        <f t="shared" si="96"/>
        <v>51</v>
      </c>
      <c r="O174" s="51">
        <f t="shared" si="96"/>
        <v>51</v>
      </c>
      <c r="P174" s="51">
        <f t="shared" si="96"/>
        <v>51</v>
      </c>
      <c r="Q174" s="51">
        <f t="shared" si="96"/>
        <v>51</v>
      </c>
      <c r="R174" s="51">
        <f t="shared" si="96"/>
        <v>51</v>
      </c>
    </row>
    <row r="175" spans="2:18" x14ac:dyDescent="0.55000000000000004">
      <c r="B175" t="s">
        <v>1088</v>
      </c>
      <c r="F175" s="4">
        <v>0</v>
      </c>
      <c r="G175" s="4">
        <v>29.942968538772099</v>
      </c>
      <c r="H175" s="102">
        <v>34</v>
      </c>
      <c r="I175" s="102">
        <v>228.879874</v>
      </c>
      <c r="J175" s="102">
        <v>745.54564903728817</v>
      </c>
      <c r="K175" s="102">
        <v>1143</v>
      </c>
      <c r="L175" s="51">
        <f t="shared" ref="L175:R175" si="97">K175</f>
        <v>1143</v>
      </c>
      <c r="M175" s="51">
        <f t="shared" si="97"/>
        <v>1143</v>
      </c>
      <c r="N175" s="51">
        <f t="shared" si="97"/>
        <v>1143</v>
      </c>
      <c r="O175" s="51">
        <f t="shared" si="97"/>
        <v>1143</v>
      </c>
      <c r="P175" s="51">
        <f t="shared" si="97"/>
        <v>1143</v>
      </c>
      <c r="Q175" s="51">
        <f t="shared" si="97"/>
        <v>1143</v>
      </c>
      <c r="R175" s="51">
        <f t="shared" si="97"/>
        <v>1143</v>
      </c>
    </row>
    <row r="176" spans="2:18" x14ac:dyDescent="0.55000000000000004">
      <c r="B176" t="s">
        <v>333</v>
      </c>
      <c r="F176" s="4">
        <v>0.96799999999999997</v>
      </c>
      <c r="G176" s="4">
        <v>7.2147193200000004</v>
      </c>
      <c r="H176" s="102">
        <v>10</v>
      </c>
      <c r="I176" s="102">
        <v>11.709636</v>
      </c>
      <c r="J176" s="102">
        <v>18.506330146390003</v>
      </c>
      <c r="K176" s="102">
        <f>36+28</f>
        <v>64</v>
      </c>
      <c r="L176" s="51">
        <f t="shared" ref="L176:R176" si="98">K176</f>
        <v>64</v>
      </c>
      <c r="M176" s="51">
        <f t="shared" si="98"/>
        <v>64</v>
      </c>
      <c r="N176" s="51">
        <f t="shared" si="98"/>
        <v>64</v>
      </c>
      <c r="O176" s="51">
        <f t="shared" si="98"/>
        <v>64</v>
      </c>
      <c r="P176" s="51">
        <f t="shared" si="98"/>
        <v>64</v>
      </c>
      <c r="Q176" s="51">
        <f t="shared" si="98"/>
        <v>64</v>
      </c>
      <c r="R176" s="51">
        <f t="shared" si="98"/>
        <v>64</v>
      </c>
    </row>
    <row r="177" spans="2:18" x14ac:dyDescent="0.55000000000000004">
      <c r="B177" t="s">
        <v>927</v>
      </c>
      <c r="F177" s="4"/>
      <c r="G177" s="4"/>
      <c r="H177" s="102">
        <v>83.3</v>
      </c>
      <c r="I177" s="102">
        <v>120.761679</v>
      </c>
      <c r="J177" s="102">
        <v>99.411216610000011</v>
      </c>
      <c r="K177" s="102">
        <v>99</v>
      </c>
      <c r="L177" s="51">
        <f t="shared" ref="L177:R177" si="99">K177</f>
        <v>99</v>
      </c>
      <c r="M177" s="51">
        <f t="shared" si="99"/>
        <v>99</v>
      </c>
      <c r="N177" s="51">
        <f t="shared" si="99"/>
        <v>99</v>
      </c>
      <c r="O177" s="51">
        <f t="shared" si="99"/>
        <v>99</v>
      </c>
      <c r="P177" s="51">
        <f t="shared" si="99"/>
        <v>99</v>
      </c>
      <c r="Q177" s="51">
        <f t="shared" si="99"/>
        <v>99</v>
      </c>
      <c r="R177" s="51">
        <f t="shared" si="99"/>
        <v>99</v>
      </c>
    </row>
    <row r="178" spans="2:18" x14ac:dyDescent="0.55000000000000004">
      <c r="B178" t="s">
        <v>335</v>
      </c>
      <c r="F178" s="4">
        <v>0</v>
      </c>
      <c r="G178" s="4">
        <v>1.5000000034310998</v>
      </c>
      <c r="H178" s="102">
        <v>16</v>
      </c>
      <c r="I178" s="102">
        <v>15.665587</v>
      </c>
      <c r="J178" s="102">
        <v>1.6</v>
      </c>
      <c r="K178" s="102">
        <v>0</v>
      </c>
      <c r="L178" s="51">
        <f t="shared" ref="L178:R178" si="100">K178</f>
        <v>0</v>
      </c>
      <c r="M178" s="51">
        <f t="shared" si="100"/>
        <v>0</v>
      </c>
      <c r="N178" s="51">
        <f t="shared" si="100"/>
        <v>0</v>
      </c>
      <c r="O178" s="51">
        <f t="shared" si="100"/>
        <v>0</v>
      </c>
      <c r="P178" s="51">
        <f t="shared" si="100"/>
        <v>0</v>
      </c>
      <c r="Q178" s="51">
        <f t="shared" si="100"/>
        <v>0</v>
      </c>
      <c r="R178" s="51">
        <f t="shared" si="100"/>
        <v>0</v>
      </c>
    </row>
    <row r="179" spans="2:18" x14ac:dyDescent="0.55000000000000004">
      <c r="B179" t="s">
        <v>336</v>
      </c>
      <c r="F179" s="4">
        <v>67.103999999999999</v>
      </c>
      <c r="G179" s="4">
        <v>399.99048642000002</v>
      </c>
      <c r="H179" s="102">
        <v>1802.6</v>
      </c>
      <c r="I179" s="102">
        <v>2289.0518509999997</v>
      </c>
      <c r="J179" s="4">
        <v>2493.4989673943464</v>
      </c>
      <c r="K179" s="4">
        <v>2451</v>
      </c>
      <c r="L179" s="4">
        <f ca="1">K179+Master!L137-L75</f>
        <v>2427.2064</v>
      </c>
      <c r="M179" s="4">
        <f ca="1">L179+Master!M137-M75</f>
        <v>2612.4460639999998</v>
      </c>
      <c r="N179" s="4">
        <f ca="1">M179+Master!N137-N75</f>
        <v>2833.4690543999995</v>
      </c>
      <c r="O179" s="4">
        <f ca="1">N179+Master!O137-O75</f>
        <v>3083.6141113904</v>
      </c>
      <c r="P179" s="4">
        <f ca="1">O179+Master!P137-P75</f>
        <v>3363.5123475886562</v>
      </c>
      <c r="Q179" s="4">
        <f ca="1">P179+Master!Q137-Q75</f>
        <v>3673.7649609727869</v>
      </c>
      <c r="R179" s="4">
        <f ca="1">Q179+Master!R137-R75</f>
        <v>4014.9374239979975</v>
      </c>
    </row>
    <row r="180" spans="2:18" x14ac:dyDescent="0.55000000000000004">
      <c r="B180" s="1" t="s">
        <v>337</v>
      </c>
      <c r="C180" s="1"/>
      <c r="D180" s="1"/>
      <c r="E180" s="1"/>
      <c r="F180" s="6">
        <v>305.61399999999998</v>
      </c>
      <c r="G180" s="6">
        <v>589.55320987999994</v>
      </c>
      <c r="H180" s="247">
        <v>1124</v>
      </c>
      <c r="I180" s="247">
        <v>1650.175902</v>
      </c>
      <c r="J180" s="6">
        <v>2158.7726490320001</v>
      </c>
      <c r="K180" s="6">
        <v>2571</v>
      </c>
      <c r="L180" s="6">
        <f t="shared" ref="L180:R180" si="101">K180+L141-L78</f>
        <v>2855.5430325030843</v>
      </c>
      <c r="M180" s="6">
        <f t="shared" si="101"/>
        <v>2921.0282028757147</v>
      </c>
      <c r="N180" s="6">
        <f t="shared" si="101"/>
        <v>2987.9487418145427</v>
      </c>
      <c r="O180" s="6">
        <f t="shared" si="101"/>
        <v>2988.0755137582728</v>
      </c>
      <c r="P180" s="6">
        <f t="shared" si="101"/>
        <v>3058.5883890774367</v>
      </c>
      <c r="Q180" s="6">
        <f t="shared" si="101"/>
        <v>3193.6809865499108</v>
      </c>
      <c r="R180" s="6">
        <f t="shared" si="101"/>
        <v>3369.1462025564028</v>
      </c>
    </row>
    <row r="181" spans="2:18" x14ac:dyDescent="0.55000000000000004">
      <c r="B181" t="s">
        <v>466</v>
      </c>
      <c r="F181" s="4">
        <f>SUM(F174:F180)</f>
        <v>375.197</v>
      </c>
      <c r="G181" s="4">
        <f>SUM(G174:G180)</f>
        <v>1033.8528410522031</v>
      </c>
      <c r="H181" s="4">
        <f>SUM(H174:H180)</f>
        <v>3076.8999999999996</v>
      </c>
      <c r="I181" s="4">
        <f t="shared" ref="I181:R181" si="102">SUM(I174:I180)</f>
        <v>4356.4686980199995</v>
      </c>
      <c r="J181" s="4">
        <f t="shared" si="102"/>
        <v>5562.1932798000253</v>
      </c>
      <c r="K181" s="4">
        <f t="shared" si="102"/>
        <v>6379</v>
      </c>
      <c r="L181" s="4">
        <f t="shared" ca="1" si="102"/>
        <v>6639.7494325030839</v>
      </c>
      <c r="M181" s="4">
        <f t="shared" ca="1" si="102"/>
        <v>6890.4742668757144</v>
      </c>
      <c r="N181" s="4">
        <f t="shared" ca="1" si="102"/>
        <v>7178.4177962145422</v>
      </c>
      <c r="O181" s="4">
        <f t="shared" ca="1" si="102"/>
        <v>7428.6896251486723</v>
      </c>
      <c r="P181" s="4">
        <f t="shared" ca="1" si="102"/>
        <v>7779.1007366660924</v>
      </c>
      <c r="Q181" s="4">
        <f t="shared" ca="1" si="102"/>
        <v>8224.4459475226977</v>
      </c>
      <c r="R181" s="4">
        <f t="shared" ca="1" si="102"/>
        <v>8741.0836265544003</v>
      </c>
    </row>
    <row r="182" spans="2:18" x14ac:dyDescent="0.55000000000000004"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2:18" ht="14.7" thickBot="1" x14ac:dyDescent="0.6">
      <c r="B183" s="103" t="s">
        <v>324</v>
      </c>
      <c r="C183" s="103"/>
      <c r="D183" s="103"/>
      <c r="E183" s="103"/>
      <c r="F183" s="104">
        <f>F171+F181</f>
        <v>11417.277999999998</v>
      </c>
      <c r="G183" s="104">
        <f>G171+G181</f>
        <v>14582.246492723425</v>
      </c>
      <c r="H183" s="104">
        <f t="shared" ref="H183:R183" si="103">H171+H181</f>
        <v>22324</v>
      </c>
      <c r="I183" s="104">
        <f t="shared" si="103"/>
        <v>31075.799818019997</v>
      </c>
      <c r="J183" s="104">
        <f t="shared" si="103"/>
        <v>45328.987830215425</v>
      </c>
      <c r="K183" s="104">
        <f t="shared" si="103"/>
        <v>55106</v>
      </c>
      <c r="L183" s="104">
        <f t="shared" ca="1" si="103"/>
        <v>60612.806075375462</v>
      </c>
      <c r="M183" s="104">
        <f t="shared" ca="1" si="103"/>
        <v>69084.950784908491</v>
      </c>
      <c r="N183" s="104">
        <f t="shared" ca="1" si="103"/>
        <v>77042.737880233282</v>
      </c>
      <c r="O183" s="104">
        <f t="shared" ca="1" si="103"/>
        <v>84724.014140168656</v>
      </c>
      <c r="P183" s="104">
        <f t="shared" ca="1" si="103"/>
        <v>93152.489560122893</v>
      </c>
      <c r="Q183" s="104">
        <f t="shared" ca="1" si="103"/>
        <v>101625.6207389629</v>
      </c>
      <c r="R183" s="104">
        <f t="shared" ca="1" si="103"/>
        <v>109282.02500394758</v>
      </c>
    </row>
    <row r="184" spans="2:18" ht="14.7" thickTop="1" x14ac:dyDescent="0.55000000000000004"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2:18" x14ac:dyDescent="0.55000000000000004">
      <c r="B185" t="s">
        <v>339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2:18" x14ac:dyDescent="0.55000000000000004">
      <c r="B186" t="s">
        <v>340</v>
      </c>
      <c r="F186" s="4">
        <v>4324.1980000000003</v>
      </c>
      <c r="G186" s="4">
        <v>5326.2902085200003</v>
      </c>
      <c r="H186" s="102">
        <v>10101.510160279997</v>
      </c>
      <c r="I186" s="102">
        <v>13217.149925000002</v>
      </c>
      <c r="J186" s="102">
        <v>17988.138755102151</v>
      </c>
      <c r="K186" s="4">
        <v>21348</v>
      </c>
      <c r="L186" s="4">
        <f t="shared" ref="L186:R186" si="104">L268</f>
        <v>19626.59597941253</v>
      </c>
      <c r="M186" s="4">
        <f t="shared" si="104"/>
        <v>23906.449690622467</v>
      </c>
      <c r="N186" s="4">
        <f t="shared" si="104"/>
        <v>26840.57629004593</v>
      </c>
      <c r="O186" s="4">
        <f t="shared" si="104"/>
        <v>29668.515457079611</v>
      </c>
      <c r="P186" s="4">
        <f t="shared" si="104"/>
        <v>32799.841742010234</v>
      </c>
      <c r="Q186" s="4">
        <f t="shared" si="104"/>
        <v>35958.003559409997</v>
      </c>
      <c r="R186" s="4">
        <f t="shared" si="104"/>
        <v>38717.48084166109</v>
      </c>
    </row>
    <row r="187" spans="2:18" x14ac:dyDescent="0.55000000000000004">
      <c r="B187" t="s">
        <v>341</v>
      </c>
      <c r="F187" s="4">
        <v>167.17500000000001</v>
      </c>
      <c r="G187" s="4">
        <v>256.28108086000452</v>
      </c>
      <c r="H187" s="102">
        <v>335.53875136422459</v>
      </c>
      <c r="I187" s="102">
        <v>578.00400500000001</v>
      </c>
      <c r="J187" s="102">
        <v>449.10168531492184</v>
      </c>
      <c r="K187" s="102">
        <v>514</v>
      </c>
      <c r="L187" s="51">
        <f t="shared" ref="L187:R187" si="105">K187</f>
        <v>514</v>
      </c>
      <c r="M187" s="51">
        <f t="shared" si="105"/>
        <v>514</v>
      </c>
      <c r="N187" s="51">
        <f t="shared" si="105"/>
        <v>514</v>
      </c>
      <c r="O187" s="51">
        <f t="shared" si="105"/>
        <v>514</v>
      </c>
      <c r="P187" s="51">
        <f t="shared" si="105"/>
        <v>514</v>
      </c>
      <c r="Q187" s="51">
        <f t="shared" si="105"/>
        <v>514</v>
      </c>
      <c r="R187" s="51">
        <f t="shared" si="105"/>
        <v>514</v>
      </c>
    </row>
    <row r="188" spans="2:18" x14ac:dyDescent="0.55000000000000004">
      <c r="B188" t="s">
        <v>342</v>
      </c>
      <c r="F188" s="4">
        <v>28.869</v>
      </c>
      <c r="G188" s="4">
        <v>22.187333190621764</v>
      </c>
      <c r="H188" s="102">
        <v>58.335783160000453</v>
      </c>
      <c r="I188" s="102">
        <v>543.62106400000005</v>
      </c>
      <c r="J188" s="102">
        <v>593.90602500299997</v>
      </c>
      <c r="K188" s="102">
        <v>136</v>
      </c>
      <c r="L188" s="51">
        <f t="shared" ref="L188:R191" si="106">K188</f>
        <v>136</v>
      </c>
      <c r="M188" s="51">
        <f t="shared" si="106"/>
        <v>136</v>
      </c>
      <c r="N188" s="51">
        <f t="shared" si="106"/>
        <v>136</v>
      </c>
      <c r="O188" s="51">
        <f t="shared" si="106"/>
        <v>136</v>
      </c>
      <c r="P188" s="51">
        <f t="shared" si="106"/>
        <v>136</v>
      </c>
      <c r="Q188" s="51">
        <f t="shared" si="106"/>
        <v>136</v>
      </c>
      <c r="R188" s="51">
        <f t="shared" si="106"/>
        <v>136</v>
      </c>
    </row>
    <row r="189" spans="2:18" x14ac:dyDescent="0.55000000000000004">
      <c r="B189" t="s">
        <v>1784</v>
      </c>
      <c r="F189" s="4"/>
      <c r="G189" s="4"/>
      <c r="H189" s="102"/>
      <c r="I189" s="102">
        <v>14.316891</v>
      </c>
      <c r="J189" s="102">
        <v>0</v>
      </c>
      <c r="K189" s="102">
        <v>41</v>
      </c>
      <c r="L189" s="51">
        <f t="shared" ref="L189:R189" si="107">K189</f>
        <v>41</v>
      </c>
      <c r="M189" s="51">
        <f t="shared" si="107"/>
        <v>41</v>
      </c>
      <c r="N189" s="51">
        <f t="shared" si="107"/>
        <v>41</v>
      </c>
      <c r="O189" s="51">
        <f t="shared" si="107"/>
        <v>41</v>
      </c>
      <c r="P189" s="51">
        <f t="shared" si="107"/>
        <v>41</v>
      </c>
      <c r="Q189" s="51">
        <f t="shared" si="107"/>
        <v>41</v>
      </c>
      <c r="R189" s="51">
        <f t="shared" si="107"/>
        <v>41</v>
      </c>
    </row>
    <row r="190" spans="2:18" x14ac:dyDescent="0.55000000000000004">
      <c r="B190" t="s">
        <v>1785</v>
      </c>
      <c r="F190" s="4"/>
      <c r="G190" s="4"/>
      <c r="H190" s="102"/>
      <c r="I190" s="102">
        <v>1005.786907</v>
      </c>
      <c r="J190" s="102">
        <v>22.289287829999999</v>
      </c>
      <c r="K190" s="102">
        <v>189</v>
      </c>
      <c r="L190" s="51">
        <f t="shared" ref="L190:R190" si="108">K190</f>
        <v>189</v>
      </c>
      <c r="M190" s="51">
        <f t="shared" si="108"/>
        <v>189</v>
      </c>
      <c r="N190" s="51">
        <f t="shared" si="108"/>
        <v>189</v>
      </c>
      <c r="O190" s="51">
        <f t="shared" si="108"/>
        <v>189</v>
      </c>
      <c r="P190" s="51">
        <f t="shared" si="108"/>
        <v>189</v>
      </c>
      <c r="Q190" s="51">
        <f t="shared" si="108"/>
        <v>189</v>
      </c>
      <c r="R190" s="51">
        <f t="shared" si="108"/>
        <v>189</v>
      </c>
    </row>
    <row r="191" spans="2:18" x14ac:dyDescent="0.55000000000000004">
      <c r="B191" t="s">
        <v>1086</v>
      </c>
      <c r="F191" s="4"/>
      <c r="G191" s="4"/>
      <c r="H191" s="102">
        <v>572</v>
      </c>
      <c r="I191" s="102">
        <v>3056.4438</v>
      </c>
      <c r="J191" s="102">
        <v>10100.59886860412</v>
      </c>
      <c r="K191" s="102">
        <v>11365</v>
      </c>
      <c r="L191" s="51">
        <f t="shared" si="106"/>
        <v>11365</v>
      </c>
      <c r="M191" s="51">
        <f t="shared" si="106"/>
        <v>11365</v>
      </c>
      <c r="N191" s="51">
        <f t="shared" si="106"/>
        <v>11365</v>
      </c>
      <c r="O191" s="51">
        <f t="shared" si="106"/>
        <v>11365</v>
      </c>
      <c r="P191" s="51">
        <f t="shared" si="106"/>
        <v>11365</v>
      </c>
      <c r="Q191" s="51">
        <f t="shared" si="106"/>
        <v>11365</v>
      </c>
      <c r="R191" s="51">
        <f t="shared" si="106"/>
        <v>11365</v>
      </c>
    </row>
    <row r="192" spans="2:18" x14ac:dyDescent="0.55000000000000004">
      <c r="B192" t="s">
        <v>344</v>
      </c>
      <c r="F192" s="4">
        <v>0</v>
      </c>
      <c r="G192" s="4">
        <v>106.81225565999999</v>
      </c>
      <c r="H192" s="102">
        <v>175.19765276000001</v>
      </c>
      <c r="I192" s="102">
        <v>259.72374400000001</v>
      </c>
      <c r="J192" s="102">
        <v>292.77786669044002</v>
      </c>
      <c r="K192" s="102">
        <v>345</v>
      </c>
      <c r="L192" s="51">
        <f t="shared" ref="L192:R192" si="109">K192</f>
        <v>345</v>
      </c>
      <c r="M192" s="51">
        <f t="shared" si="109"/>
        <v>345</v>
      </c>
      <c r="N192" s="51">
        <f t="shared" si="109"/>
        <v>345</v>
      </c>
      <c r="O192" s="51">
        <f t="shared" si="109"/>
        <v>345</v>
      </c>
      <c r="P192" s="51">
        <f t="shared" si="109"/>
        <v>345</v>
      </c>
      <c r="Q192" s="51">
        <f t="shared" si="109"/>
        <v>345</v>
      </c>
      <c r="R192" s="51">
        <f t="shared" si="109"/>
        <v>345</v>
      </c>
    </row>
    <row r="193" spans="2:18" x14ac:dyDescent="0.55000000000000004">
      <c r="B193" t="s">
        <v>345</v>
      </c>
      <c r="F193" s="4">
        <v>73.936000000000007</v>
      </c>
      <c r="G193" s="4">
        <v>124.00360442000002</v>
      </c>
      <c r="H193" s="102">
        <v>26.042438066641928</v>
      </c>
      <c r="I193" s="102">
        <v>63.933655999999999</v>
      </c>
      <c r="J193" s="102">
        <v>89.778760843572087</v>
      </c>
      <c r="K193" s="102">
        <v>241</v>
      </c>
      <c r="L193" s="51">
        <f t="shared" ref="L193:R193" si="110">K193</f>
        <v>241</v>
      </c>
      <c r="M193" s="51">
        <f t="shared" si="110"/>
        <v>241</v>
      </c>
      <c r="N193" s="51">
        <f t="shared" si="110"/>
        <v>241</v>
      </c>
      <c r="O193" s="51">
        <f t="shared" si="110"/>
        <v>241</v>
      </c>
      <c r="P193" s="51">
        <f t="shared" si="110"/>
        <v>241</v>
      </c>
      <c r="Q193" s="51">
        <f t="shared" si="110"/>
        <v>241</v>
      </c>
      <c r="R193" s="51">
        <f t="shared" si="110"/>
        <v>241</v>
      </c>
    </row>
    <row r="194" spans="2:18" x14ac:dyDescent="0.55000000000000004">
      <c r="B194" t="s">
        <v>346</v>
      </c>
      <c r="F194" s="4">
        <v>80.093000000000004</v>
      </c>
      <c r="G194" s="4">
        <v>11.848740950000002</v>
      </c>
      <c r="H194" s="102">
        <v>17.063007719999998</v>
      </c>
      <c r="I194" s="102">
        <v>27.652597</v>
      </c>
      <c r="J194" s="102">
        <v>46.233308970000003</v>
      </c>
      <c r="K194" s="102">
        <v>91</v>
      </c>
      <c r="L194" s="102">
        <f t="shared" ref="L194:R194" si="111">K194+L69</f>
        <v>625.10754210201117</v>
      </c>
      <c r="M194" s="102">
        <f t="shared" si="111"/>
        <v>1238.6090713269587</v>
      </c>
      <c r="N194" s="102">
        <f t="shared" si="111"/>
        <v>1914.1437372610917</v>
      </c>
      <c r="O194" s="102">
        <f t="shared" si="111"/>
        <v>2617.3233721895958</v>
      </c>
      <c r="P194" s="102">
        <f t="shared" si="111"/>
        <v>3416.0289353543449</v>
      </c>
      <c r="Q194" s="102">
        <f t="shared" si="111"/>
        <v>4312.2593161157092</v>
      </c>
      <c r="R194" s="102">
        <f t="shared" si="111"/>
        <v>5300.5441181363276</v>
      </c>
    </row>
    <row r="195" spans="2:18" x14ac:dyDescent="0.55000000000000004">
      <c r="B195" t="s">
        <v>347</v>
      </c>
      <c r="F195" s="4">
        <v>7.0039999999999996</v>
      </c>
      <c r="G195" s="4">
        <v>0</v>
      </c>
      <c r="H195" s="102">
        <f t="shared" ref="H195:R195" si="112">G195</f>
        <v>0</v>
      </c>
      <c r="I195" s="102">
        <v>0</v>
      </c>
      <c r="J195" s="102">
        <v>0</v>
      </c>
      <c r="K195" s="102">
        <v>0</v>
      </c>
      <c r="L195" s="51">
        <f t="shared" si="112"/>
        <v>0</v>
      </c>
      <c r="M195" s="51">
        <f t="shared" si="112"/>
        <v>0</v>
      </c>
      <c r="N195" s="51">
        <f t="shared" si="112"/>
        <v>0</v>
      </c>
      <c r="O195" s="51">
        <f t="shared" si="112"/>
        <v>0</v>
      </c>
      <c r="P195" s="51">
        <f t="shared" si="112"/>
        <v>0</v>
      </c>
      <c r="Q195" s="51">
        <f t="shared" si="112"/>
        <v>0</v>
      </c>
      <c r="R195" s="51">
        <f t="shared" si="112"/>
        <v>0</v>
      </c>
    </row>
    <row r="196" spans="2:18" x14ac:dyDescent="0.55000000000000004">
      <c r="B196" t="s">
        <v>926</v>
      </c>
      <c r="F196" s="4"/>
      <c r="G196" s="4"/>
      <c r="H196" s="102">
        <v>186.21917202032628</v>
      </c>
      <c r="I196" s="102">
        <v>162.56566000000001</v>
      </c>
      <c r="J196" s="102">
        <v>126.04209522646831</v>
      </c>
      <c r="K196" s="102">
        <v>128</v>
      </c>
      <c r="L196" s="51">
        <f t="shared" ref="L196:R196" si="113">K196</f>
        <v>128</v>
      </c>
      <c r="M196" s="51">
        <f t="shared" si="113"/>
        <v>128</v>
      </c>
      <c r="N196" s="51">
        <f t="shared" si="113"/>
        <v>128</v>
      </c>
      <c r="O196" s="51">
        <f t="shared" si="113"/>
        <v>128</v>
      </c>
      <c r="P196" s="51">
        <f t="shared" si="113"/>
        <v>128</v>
      </c>
      <c r="Q196" s="51">
        <f t="shared" si="113"/>
        <v>128</v>
      </c>
      <c r="R196" s="51">
        <f t="shared" si="113"/>
        <v>128</v>
      </c>
    </row>
    <row r="197" spans="2:18" x14ac:dyDescent="0.55000000000000004">
      <c r="B197" s="1" t="s">
        <v>348</v>
      </c>
      <c r="C197" s="1"/>
      <c r="D197" s="1"/>
      <c r="E197" s="1"/>
      <c r="F197" s="6">
        <v>29.498999999999999</v>
      </c>
      <c r="G197" s="6">
        <v>45.640819508181842</v>
      </c>
      <c r="H197" s="247">
        <v>102.57331690884</v>
      </c>
      <c r="I197" s="247">
        <v>73.720441000000008</v>
      </c>
      <c r="J197" s="247">
        <v>31.482550971680002</v>
      </c>
      <c r="K197" s="247">
        <v>32</v>
      </c>
      <c r="L197" s="50">
        <f t="shared" ref="L197:R197" si="114">K197</f>
        <v>32</v>
      </c>
      <c r="M197" s="50">
        <f t="shared" si="114"/>
        <v>32</v>
      </c>
      <c r="N197" s="50">
        <f t="shared" si="114"/>
        <v>32</v>
      </c>
      <c r="O197" s="50">
        <f t="shared" si="114"/>
        <v>32</v>
      </c>
      <c r="P197" s="50">
        <f t="shared" si="114"/>
        <v>32</v>
      </c>
      <c r="Q197" s="50">
        <f t="shared" si="114"/>
        <v>32</v>
      </c>
      <c r="R197" s="50">
        <f t="shared" si="114"/>
        <v>32</v>
      </c>
    </row>
    <row r="198" spans="2:18" x14ac:dyDescent="0.55000000000000004">
      <c r="B198" t="s">
        <v>467</v>
      </c>
      <c r="F198" s="4">
        <f t="shared" ref="F198:R198" si="115">SUM(F186:F197)</f>
        <v>4710.7739999999994</v>
      </c>
      <c r="G198" s="4">
        <f t="shared" si="115"/>
        <v>5893.0640431088086</v>
      </c>
      <c r="H198" s="102">
        <f t="shared" si="115"/>
        <v>11574.480282280032</v>
      </c>
      <c r="I198" s="4">
        <f t="shared" si="115"/>
        <v>19002.918690000006</v>
      </c>
      <c r="J198" s="4">
        <f t="shared" si="115"/>
        <v>29740.349204556358</v>
      </c>
      <c r="K198" s="4">
        <v>34432</v>
      </c>
      <c r="L198" s="4">
        <f t="shared" si="115"/>
        <v>33242.703521514544</v>
      </c>
      <c r="M198" s="4">
        <f t="shared" si="115"/>
        <v>38136.058761949425</v>
      </c>
      <c r="N198" s="4">
        <f t="shared" si="115"/>
        <v>41745.720027307019</v>
      </c>
      <c r="O198" s="4">
        <f t="shared" si="115"/>
        <v>45276.838829269211</v>
      </c>
      <c r="P198" s="4">
        <f t="shared" si="115"/>
        <v>49206.870677364583</v>
      </c>
      <c r="Q198" s="4">
        <f t="shared" si="115"/>
        <v>53261.262875525703</v>
      </c>
      <c r="R198" s="4">
        <f t="shared" si="115"/>
        <v>57009.024959797418</v>
      </c>
    </row>
    <row r="199" spans="2:18" x14ac:dyDescent="0.55000000000000004"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2:18" x14ac:dyDescent="0.55000000000000004">
      <c r="B200" t="s">
        <v>349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2:18" x14ac:dyDescent="0.55000000000000004">
      <c r="B201" t="s">
        <v>334</v>
      </c>
      <c r="F201" s="4">
        <v>132.126</v>
      </c>
      <c r="G201" s="4">
        <v>630.94987611000022</v>
      </c>
      <c r="H201" s="102">
        <v>1132.59537897</v>
      </c>
      <c r="I201" s="102">
        <v>1391.7603085699996</v>
      </c>
      <c r="J201" s="102">
        <v>1564.2284636599998</v>
      </c>
      <c r="K201" s="102">
        <v>1832</v>
      </c>
      <c r="L201" s="51">
        <f t="shared" ref="L201:R203" si="116">K201</f>
        <v>1832</v>
      </c>
      <c r="M201" s="51">
        <f t="shared" si="116"/>
        <v>1832</v>
      </c>
      <c r="N201" s="51">
        <f t="shared" si="116"/>
        <v>1832</v>
      </c>
      <c r="O201" s="51">
        <f t="shared" si="116"/>
        <v>1832</v>
      </c>
      <c r="P201" s="51">
        <f t="shared" si="116"/>
        <v>1832</v>
      </c>
      <c r="Q201" s="51">
        <f t="shared" si="116"/>
        <v>1832</v>
      </c>
      <c r="R201" s="51">
        <f t="shared" si="116"/>
        <v>1832</v>
      </c>
    </row>
    <row r="202" spans="2:18" x14ac:dyDescent="0.55000000000000004">
      <c r="B202" t="s">
        <v>343</v>
      </c>
      <c r="F202" s="4">
        <v>0</v>
      </c>
      <c r="G202" s="4">
        <v>0</v>
      </c>
      <c r="H202" s="102">
        <v>194.1</v>
      </c>
      <c r="I202" s="102">
        <v>77.551869280000005</v>
      </c>
      <c r="J202" s="102">
        <v>1894.6892017358787</v>
      </c>
      <c r="K202" s="102">
        <v>4823</v>
      </c>
      <c r="L202" s="51">
        <f t="shared" si="116"/>
        <v>4823</v>
      </c>
      <c r="M202" s="51">
        <f t="shared" si="116"/>
        <v>4823</v>
      </c>
      <c r="N202" s="51">
        <f t="shared" si="116"/>
        <v>4823</v>
      </c>
      <c r="O202" s="51">
        <f t="shared" si="116"/>
        <v>4823</v>
      </c>
      <c r="P202" s="51">
        <f t="shared" si="116"/>
        <v>4823</v>
      </c>
      <c r="Q202" s="51">
        <f t="shared" si="116"/>
        <v>4823</v>
      </c>
      <c r="R202" s="51">
        <f t="shared" si="116"/>
        <v>4823</v>
      </c>
    </row>
    <row r="203" spans="2:18" x14ac:dyDescent="0.55000000000000004">
      <c r="B203" s="1" t="s">
        <v>348</v>
      </c>
      <c r="C203" s="1"/>
      <c r="D203" s="1"/>
      <c r="E203" s="1"/>
      <c r="F203" s="6">
        <v>0</v>
      </c>
      <c r="G203" s="6">
        <v>43.287331901818185</v>
      </c>
      <c r="H203" s="247">
        <f>H204-H202-H201</f>
        <v>95.304621030000135</v>
      </c>
      <c r="I203" s="247">
        <f>I204-I202-I201</f>
        <v>101.37591124684218</v>
      </c>
      <c r="J203" s="247">
        <f>J204-J202-J201</f>
        <v>287.92838999991409</v>
      </c>
      <c r="K203" s="247">
        <f>K204-K202-K201</f>
        <v>780</v>
      </c>
      <c r="L203" s="50">
        <f t="shared" si="116"/>
        <v>780</v>
      </c>
      <c r="M203" s="50">
        <f t="shared" si="116"/>
        <v>780</v>
      </c>
      <c r="N203" s="50">
        <f t="shared" si="116"/>
        <v>780</v>
      </c>
      <c r="O203" s="50">
        <f t="shared" si="116"/>
        <v>780</v>
      </c>
      <c r="P203" s="50">
        <f t="shared" si="116"/>
        <v>780</v>
      </c>
      <c r="Q203" s="50">
        <f t="shared" si="116"/>
        <v>780</v>
      </c>
      <c r="R203" s="50">
        <f t="shared" si="116"/>
        <v>780</v>
      </c>
    </row>
    <row r="204" spans="2:18" x14ac:dyDescent="0.55000000000000004">
      <c r="B204" t="s">
        <v>468</v>
      </c>
      <c r="F204" s="4">
        <f>SUM(F201:F203)</f>
        <v>132.126</v>
      </c>
      <c r="G204" s="4">
        <f>SUM(G201:G203)</f>
        <v>674.23720801181844</v>
      </c>
      <c r="H204" s="4">
        <v>1422</v>
      </c>
      <c r="I204" s="102">
        <v>1570.6880890968416</v>
      </c>
      <c r="J204" s="4">
        <v>3746.8460553957925</v>
      </c>
      <c r="K204" s="4">
        <v>7435</v>
      </c>
      <c r="L204" s="4">
        <f t="shared" ref="L204:R204" si="117">SUM(L201:L203)</f>
        <v>7435</v>
      </c>
      <c r="M204" s="4">
        <f t="shared" si="117"/>
        <v>7435</v>
      </c>
      <c r="N204" s="4">
        <f t="shared" si="117"/>
        <v>7435</v>
      </c>
      <c r="O204" s="4">
        <f t="shared" si="117"/>
        <v>7435</v>
      </c>
      <c r="P204" s="4">
        <f t="shared" si="117"/>
        <v>7435</v>
      </c>
      <c r="Q204" s="4">
        <f t="shared" si="117"/>
        <v>7435</v>
      </c>
      <c r="R204" s="4">
        <f t="shared" si="117"/>
        <v>7435</v>
      </c>
    </row>
    <row r="205" spans="2:18" x14ac:dyDescent="0.55000000000000004">
      <c r="F205" s="4"/>
      <c r="G205" s="4"/>
      <c r="H205" s="4"/>
      <c r="I205" s="102"/>
      <c r="J205" s="4"/>
      <c r="K205" s="4"/>
      <c r="L205" s="4"/>
      <c r="M205" s="4"/>
      <c r="N205" s="4"/>
      <c r="O205" s="4"/>
      <c r="P205" s="4"/>
      <c r="Q205" s="4"/>
      <c r="R205" s="4"/>
    </row>
    <row r="206" spans="2:18" x14ac:dyDescent="0.55000000000000004">
      <c r="B206" t="s">
        <v>350</v>
      </c>
      <c r="F206" s="4">
        <v>6574.3499999999995</v>
      </c>
      <c r="G206" s="4">
        <v>8014.9195741828053</v>
      </c>
      <c r="H206" s="4">
        <v>9327.4563340283421</v>
      </c>
      <c r="I206" s="102">
        <v>10502.199065064489</v>
      </c>
      <c r="J206" s="4">
        <v>11842.150063744242</v>
      </c>
      <c r="K206" s="4">
        <v>13241</v>
      </c>
      <c r="L206" s="4">
        <f t="shared" ref="L206:R206" si="118">K206+L94-L132+L53</f>
        <v>15368.022575321162</v>
      </c>
      <c r="M206" s="4">
        <f t="shared" si="118"/>
        <v>18045.397562370792</v>
      </c>
      <c r="N206" s="4">
        <f t="shared" si="118"/>
        <v>19908.501196336994</v>
      </c>
      <c r="O206" s="4">
        <f t="shared" si="118"/>
        <v>21867.878464295914</v>
      </c>
      <c r="P206" s="4">
        <f t="shared" si="118"/>
        <v>24038.70229027337</v>
      </c>
      <c r="Q206" s="4">
        <f t="shared" si="118"/>
        <v>26296.994122025335</v>
      </c>
      <c r="R206" s="4">
        <f t="shared" si="118"/>
        <v>28625.630795867357</v>
      </c>
    </row>
    <row r="207" spans="2:18" x14ac:dyDescent="0.55000000000000004"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2:18" ht="14.7" thickBot="1" x14ac:dyDescent="0.6">
      <c r="B208" s="103" t="s">
        <v>338</v>
      </c>
      <c r="C208" s="103"/>
      <c r="D208" s="103"/>
      <c r="E208" s="103"/>
      <c r="F208" s="104">
        <f>F198+F204+F206</f>
        <v>11417.25</v>
      </c>
      <c r="G208" s="104">
        <f>G198+G204+G206</f>
        <v>14582.220825303433</v>
      </c>
      <c r="H208" s="104">
        <f t="shared" ref="H208:R208" si="119">H198+H204+H206</f>
        <v>22323.936616308376</v>
      </c>
      <c r="I208" s="104">
        <f t="shared" si="119"/>
        <v>31075.805844161339</v>
      </c>
      <c r="J208" s="104">
        <f t="shared" si="119"/>
        <v>45329.345323696398</v>
      </c>
      <c r="K208" s="104">
        <f t="shared" si="119"/>
        <v>55108</v>
      </c>
      <c r="L208" s="104">
        <f t="shared" si="119"/>
        <v>56045.726096835708</v>
      </c>
      <c r="M208" s="104">
        <f t="shared" si="119"/>
        <v>63616.456324320214</v>
      </c>
      <c r="N208" s="104">
        <f t="shared" si="119"/>
        <v>69089.22122364401</v>
      </c>
      <c r="O208" s="104">
        <f t="shared" si="119"/>
        <v>74579.717293565132</v>
      </c>
      <c r="P208" s="104">
        <f t="shared" si="119"/>
        <v>80680.572967637956</v>
      </c>
      <c r="Q208" s="104">
        <f t="shared" si="119"/>
        <v>86993.256997551041</v>
      </c>
      <c r="R208" s="104">
        <f t="shared" si="119"/>
        <v>93069.655755664775</v>
      </c>
    </row>
    <row r="209" spans="2:18" ht="14.7" thickTop="1" x14ac:dyDescent="0.55000000000000004">
      <c r="B209" t="s">
        <v>529</v>
      </c>
      <c r="F209" s="4">
        <f t="shared" ref="F209:R209" si="120">F208-F183</f>
        <v>-2.7999999998428393E-2</v>
      </c>
      <c r="G209" s="4">
        <f t="shared" si="120"/>
        <v>-2.5667419991805218E-2</v>
      </c>
      <c r="H209" s="4">
        <f t="shared" si="120"/>
        <v>-6.3383691624039784E-2</v>
      </c>
      <c r="I209" s="4">
        <f t="shared" si="120"/>
        <v>6.0261413418629672E-3</v>
      </c>
      <c r="J209" s="4">
        <f t="shared" si="120"/>
        <v>0.35749348097306211</v>
      </c>
      <c r="K209" s="4">
        <f t="shared" si="120"/>
        <v>2</v>
      </c>
      <c r="L209" s="4">
        <f t="shared" ca="1" si="120"/>
        <v>-4567.0799785397539</v>
      </c>
      <c r="M209" s="4">
        <f t="shared" ca="1" si="120"/>
        <v>-5468.4944605882774</v>
      </c>
      <c r="N209" s="4">
        <f t="shared" ca="1" si="120"/>
        <v>-7953.5166565892723</v>
      </c>
      <c r="O209" s="4">
        <f t="shared" ca="1" si="120"/>
        <v>-10144.296846603524</v>
      </c>
      <c r="P209" s="4">
        <f t="shared" ca="1" si="120"/>
        <v>-12471.916592484937</v>
      </c>
      <c r="Q209" s="4">
        <f t="shared" ca="1" si="120"/>
        <v>-14632.363741411857</v>
      </c>
      <c r="R209" s="4">
        <f t="shared" ca="1" si="120"/>
        <v>-16212.369248282805</v>
      </c>
    </row>
    <row r="210" spans="2:18" x14ac:dyDescent="0.55000000000000004">
      <c r="B210" t="s">
        <v>928</v>
      </c>
      <c r="F210" s="4"/>
      <c r="G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2:18" x14ac:dyDescent="0.55000000000000004">
      <c r="B211" t="s">
        <v>1513</v>
      </c>
      <c r="F211" s="4">
        <f t="shared" ref="F211:K211" si="121">F165+F166+F167</f>
        <v>10867.728999999999</v>
      </c>
      <c r="G211" s="4">
        <f t="shared" si="121"/>
        <v>13230.800068671222</v>
      </c>
      <c r="H211" s="4">
        <f t="shared" si="121"/>
        <v>18663.099999999999</v>
      </c>
      <c r="I211" s="4">
        <f t="shared" si="121"/>
        <v>26005.53112</v>
      </c>
      <c r="J211" s="4">
        <f t="shared" si="121"/>
        <v>39180.985078036596</v>
      </c>
      <c r="K211" s="4">
        <f t="shared" si="121"/>
        <v>47964</v>
      </c>
      <c r="L211" s="4"/>
      <c r="M211" s="4"/>
      <c r="N211" s="4"/>
      <c r="O211" s="4"/>
      <c r="P211" s="4"/>
      <c r="Q211" s="4"/>
      <c r="R211" s="4"/>
    </row>
    <row r="212" spans="2:18" x14ac:dyDescent="0.55000000000000004">
      <c r="B212" s="1" t="s">
        <v>1512</v>
      </c>
      <c r="C212" s="1"/>
      <c r="D212" s="1"/>
      <c r="E212" s="1"/>
      <c r="F212" s="6">
        <f>F186+F191</f>
        <v>4324.1980000000003</v>
      </c>
      <c r="G212" s="6">
        <f>G186+G191</f>
        <v>5326.2902085200003</v>
      </c>
      <c r="H212" s="6">
        <f>H186+H191</f>
        <v>10673.510160279997</v>
      </c>
      <c r="I212" s="6">
        <f>I186+I191</f>
        <v>16273.593725000002</v>
      </c>
      <c r="J212" s="6">
        <f>J186+J191+J190</f>
        <v>28111.026911536272</v>
      </c>
      <c r="K212" s="6">
        <f>K186+K191+K190</f>
        <v>32902</v>
      </c>
      <c r="L212" s="6"/>
      <c r="M212" s="6"/>
      <c r="N212" s="6"/>
      <c r="O212" s="6"/>
      <c r="P212" s="6"/>
      <c r="Q212" s="6"/>
      <c r="R212" s="6"/>
    </row>
    <row r="213" spans="2:18" x14ac:dyDescent="0.55000000000000004">
      <c r="B213" s="18" t="s">
        <v>929</v>
      </c>
      <c r="C213" s="18"/>
      <c r="D213" s="18"/>
      <c r="E213" s="18"/>
      <c r="F213" s="95">
        <f t="shared" ref="F213:K213" si="122">F211-F212</f>
        <v>6543.530999999999</v>
      </c>
      <c r="G213" s="95">
        <f t="shared" si="122"/>
        <v>7904.5098601512218</v>
      </c>
      <c r="H213" s="95">
        <f t="shared" si="122"/>
        <v>7989.5898397200017</v>
      </c>
      <c r="I213" s="95">
        <f t="shared" si="122"/>
        <v>9731.9373949999972</v>
      </c>
      <c r="J213" s="95">
        <f t="shared" si="122"/>
        <v>11069.958166500324</v>
      </c>
      <c r="K213" s="95">
        <f t="shared" si="122"/>
        <v>15062</v>
      </c>
      <c r="L213" s="95">
        <f t="shared" ref="L213:R213" si="123">K213+L156</f>
        <v>16991.780684920086</v>
      </c>
      <c r="M213" s="95">
        <f t="shared" si="123"/>
        <v>19562.802366822034</v>
      </c>
      <c r="N213" s="95">
        <f t="shared" si="123"/>
        <v>22806.912863341036</v>
      </c>
      <c r="O213" s="95">
        <f t="shared" si="123"/>
        <v>26263.240244833942</v>
      </c>
      <c r="P213" s="95">
        <f t="shared" si="123"/>
        <v>30038.137851741285</v>
      </c>
      <c r="Q213" s="95">
        <f t="shared" si="123"/>
        <v>33948.259124970929</v>
      </c>
      <c r="R213" s="95">
        <f t="shared" si="123"/>
        <v>37986.122495763128</v>
      </c>
    </row>
    <row r="214" spans="2:18" x14ac:dyDescent="0.55000000000000004">
      <c r="B214" t="s">
        <v>2570</v>
      </c>
      <c r="C214" s="18"/>
      <c r="D214" s="18"/>
      <c r="E214" s="18"/>
      <c r="F214" s="95"/>
      <c r="G214" s="95"/>
      <c r="H214" s="95"/>
      <c r="I214" s="4">
        <v>8900</v>
      </c>
      <c r="J214" s="4">
        <v>9800</v>
      </c>
      <c r="K214" s="4">
        <v>11200</v>
      </c>
      <c r="L214" s="4">
        <f>L213-L215</f>
        <v>12634.971695067386</v>
      </c>
      <c r="M214" s="4">
        <f t="shared" ref="M214:R214" si="124">M213-M215</f>
        <v>14546.765801912547</v>
      </c>
      <c r="N214" s="4">
        <f t="shared" si="124"/>
        <v>16959.064139517966</v>
      </c>
      <c r="O214" s="4">
        <f t="shared" si="124"/>
        <v>19529.165498747851</v>
      </c>
      <c r="P214" s="4">
        <f t="shared" si="124"/>
        <v>22336.153494854756</v>
      </c>
      <c r="Q214" s="4">
        <f t="shared" si="124"/>
        <v>25243.692882729676</v>
      </c>
      <c r="R214" s="4">
        <f t="shared" si="124"/>
        <v>28246.220419104167</v>
      </c>
    </row>
    <row r="215" spans="2:18" x14ac:dyDescent="0.55000000000000004">
      <c r="B215" t="s">
        <v>2571</v>
      </c>
      <c r="C215" s="18"/>
      <c r="D215" s="18"/>
      <c r="E215" s="18"/>
      <c r="F215" s="95"/>
      <c r="G215" s="95"/>
      <c r="H215" s="95"/>
      <c r="I215" s="4">
        <f>I213-I214</f>
        <v>831.9373949999972</v>
      </c>
      <c r="J215" s="4">
        <f>J213-J214</f>
        <v>1269.9581665003243</v>
      </c>
      <c r="K215" s="4">
        <f>K213-K214</f>
        <v>3862</v>
      </c>
      <c r="L215" s="4">
        <f t="shared" ref="L215:R215" si="125">L213/K213*K215</f>
        <v>4356.8089898527005</v>
      </c>
      <c r="M215" s="4">
        <f t="shared" si="125"/>
        <v>5016.0365649094874</v>
      </c>
      <c r="N215" s="4">
        <f t="shared" si="125"/>
        <v>5847.8487238230709</v>
      </c>
      <c r="O215" s="4">
        <f t="shared" si="125"/>
        <v>6734.0747460860912</v>
      </c>
      <c r="P215" s="4">
        <f t="shared" si="125"/>
        <v>7701.9843568865272</v>
      </c>
      <c r="Q215" s="4">
        <f t="shared" si="125"/>
        <v>8704.5662422412533</v>
      </c>
      <c r="R215" s="4">
        <f t="shared" si="125"/>
        <v>9739.9020766589583</v>
      </c>
    </row>
    <row r="216" spans="2:18" x14ac:dyDescent="0.55000000000000004">
      <c r="B216" s="18"/>
      <c r="C216" s="18"/>
      <c r="D216" s="18"/>
      <c r="E216" s="18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</row>
    <row r="217" spans="2:18" x14ac:dyDescent="0.55000000000000004">
      <c r="B217" s="233" t="s">
        <v>973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2:18" x14ac:dyDescent="0.55000000000000004">
      <c r="B218" s="274" t="s">
        <v>974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2:18" x14ac:dyDescent="0.55000000000000004">
      <c r="B219" s="274" t="s">
        <v>975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2:18" x14ac:dyDescent="0.55000000000000004">
      <c r="B220" s="27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2:18" x14ac:dyDescent="0.55000000000000004">
      <c r="B221" t="s">
        <v>3260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2:18" x14ac:dyDescent="0.55000000000000004">
      <c r="B222" t="s">
        <v>536</v>
      </c>
      <c r="F222" s="4"/>
      <c r="G222" s="32">
        <v>179.98455100000001</v>
      </c>
      <c r="H222" s="32">
        <v>202</v>
      </c>
      <c r="I222" s="32">
        <v>202</v>
      </c>
      <c r="J222" s="32">
        <v>209</v>
      </c>
      <c r="K222" s="13">
        <f>K224-K223</f>
        <v>209.608</v>
      </c>
      <c r="L222" s="13">
        <f t="shared" ref="L222:R222" si="126">K222+L227</f>
        <v>209.608</v>
      </c>
      <c r="M222" s="13">
        <f t="shared" si="126"/>
        <v>209.608</v>
      </c>
      <c r="N222" s="13">
        <f t="shared" si="126"/>
        <v>209.608</v>
      </c>
      <c r="O222" s="13">
        <f t="shared" si="126"/>
        <v>209.608</v>
      </c>
      <c r="P222" s="13">
        <f t="shared" si="126"/>
        <v>209.608</v>
      </c>
      <c r="Q222" s="13">
        <f t="shared" si="126"/>
        <v>209.608</v>
      </c>
      <c r="R222" s="13">
        <f t="shared" si="126"/>
        <v>209.608</v>
      </c>
    </row>
    <row r="223" spans="2:18" x14ac:dyDescent="0.55000000000000004">
      <c r="B223" s="1" t="s">
        <v>538</v>
      </c>
      <c r="C223" s="1"/>
      <c r="D223" s="1"/>
      <c r="E223" s="1"/>
      <c r="F223" s="6"/>
      <c r="G223" s="272">
        <v>148.87086099999999</v>
      </c>
      <c r="H223" s="272">
        <v>127.5</v>
      </c>
      <c r="I223" s="272">
        <v>127.5</v>
      </c>
      <c r="J223" s="272">
        <v>120</v>
      </c>
      <c r="K223" s="96">
        <f t="shared" ref="K223:R223" si="127">J223+K228</f>
        <v>120</v>
      </c>
      <c r="L223" s="96">
        <f t="shared" si="127"/>
        <v>120</v>
      </c>
      <c r="M223" s="96">
        <f t="shared" si="127"/>
        <v>120</v>
      </c>
      <c r="N223" s="96">
        <f t="shared" si="127"/>
        <v>120</v>
      </c>
      <c r="O223" s="96">
        <f t="shared" si="127"/>
        <v>120</v>
      </c>
      <c r="P223" s="96">
        <f t="shared" si="127"/>
        <v>120</v>
      </c>
      <c r="Q223" s="96">
        <f t="shared" si="127"/>
        <v>120</v>
      </c>
      <c r="R223" s="96">
        <f t="shared" si="127"/>
        <v>120</v>
      </c>
    </row>
    <row r="224" spans="2:18" x14ac:dyDescent="0.55000000000000004">
      <c r="B224" t="s">
        <v>243</v>
      </c>
      <c r="G224" s="13">
        <f>G222+G223</f>
        <v>328.855412</v>
      </c>
      <c r="H224" s="13">
        <f>H222+H223</f>
        <v>329.5</v>
      </c>
      <c r="I224" s="13">
        <f t="shared" ref="I224:R224" si="128">I222+I223</f>
        <v>329.5</v>
      </c>
      <c r="J224" s="13">
        <f t="shared" si="128"/>
        <v>329</v>
      </c>
      <c r="K224" s="32">
        <v>329.608</v>
      </c>
      <c r="L224" s="13">
        <f t="shared" si="128"/>
        <v>329.608</v>
      </c>
      <c r="M224" s="13">
        <f t="shared" si="128"/>
        <v>329.608</v>
      </c>
      <c r="N224" s="13">
        <f t="shared" si="128"/>
        <v>329.608</v>
      </c>
      <c r="O224" s="13">
        <f t="shared" si="128"/>
        <v>329.608</v>
      </c>
      <c r="P224" s="13">
        <f t="shared" si="128"/>
        <v>329.608</v>
      </c>
      <c r="Q224" s="13">
        <f t="shared" si="128"/>
        <v>329.608</v>
      </c>
      <c r="R224" s="13">
        <f t="shared" si="128"/>
        <v>329.608</v>
      </c>
    </row>
    <row r="226" spans="2:18" x14ac:dyDescent="0.55000000000000004">
      <c r="B226" t="s">
        <v>542</v>
      </c>
    </row>
    <row r="227" spans="2:18" x14ac:dyDescent="0.55000000000000004">
      <c r="B227" t="str">
        <f>B222</f>
        <v>Class A</v>
      </c>
      <c r="H227" s="13"/>
      <c r="I227" s="13"/>
      <c r="J227" s="47">
        <v>0.63800000000000001</v>
      </c>
      <c r="K227" s="47">
        <v>1.288</v>
      </c>
      <c r="L227" s="47">
        <v>0</v>
      </c>
      <c r="M227" s="47">
        <v>0</v>
      </c>
      <c r="N227" s="47">
        <v>0</v>
      </c>
      <c r="O227" s="47">
        <v>0</v>
      </c>
      <c r="P227" s="47">
        <v>0</v>
      </c>
      <c r="Q227" s="47">
        <v>0</v>
      </c>
      <c r="R227" s="47">
        <v>0</v>
      </c>
    </row>
    <row r="228" spans="2:18" x14ac:dyDescent="0.55000000000000004">
      <c r="B228" t="str">
        <f>B223</f>
        <v xml:space="preserve">Class B </v>
      </c>
      <c r="H228" s="13"/>
      <c r="I228" s="13"/>
      <c r="J228" s="47">
        <v>0</v>
      </c>
      <c r="K228" s="47">
        <v>0</v>
      </c>
      <c r="L228" s="47">
        <f t="shared" ref="L228:R228" si="129">K228</f>
        <v>0</v>
      </c>
      <c r="M228" s="47">
        <f t="shared" si="129"/>
        <v>0</v>
      </c>
      <c r="N228" s="47">
        <f t="shared" si="129"/>
        <v>0</v>
      </c>
      <c r="O228" s="47">
        <f t="shared" si="129"/>
        <v>0</v>
      </c>
      <c r="P228" s="47">
        <f t="shared" si="129"/>
        <v>0</v>
      </c>
      <c r="Q228" s="47">
        <f t="shared" si="129"/>
        <v>0</v>
      </c>
      <c r="R228" s="47">
        <f t="shared" si="129"/>
        <v>0</v>
      </c>
    </row>
    <row r="230" spans="2:18" x14ac:dyDescent="0.55000000000000004">
      <c r="B230" t="s">
        <v>2953</v>
      </c>
    </row>
    <row r="231" spans="2:18" x14ac:dyDescent="0.55000000000000004">
      <c r="B231" t="str">
        <f>B227</f>
        <v>Class A</v>
      </c>
      <c r="J231" s="47">
        <v>4.28</v>
      </c>
      <c r="K231" s="47">
        <v>5.835</v>
      </c>
      <c r="L231" s="47">
        <v>5</v>
      </c>
      <c r="M231" s="47">
        <v>3</v>
      </c>
      <c r="N231" s="47">
        <v>0</v>
      </c>
      <c r="O231" s="47">
        <v>0</v>
      </c>
      <c r="P231" s="47">
        <v>0</v>
      </c>
      <c r="Q231" s="47">
        <v>0</v>
      </c>
      <c r="R231" s="47">
        <v>0</v>
      </c>
    </row>
    <row r="232" spans="2:18" x14ac:dyDescent="0.55000000000000004">
      <c r="B232" s="1" t="str">
        <f>B228</f>
        <v xml:space="preserve">Class B </v>
      </c>
      <c r="C232" s="1"/>
      <c r="D232" s="1"/>
      <c r="E232" s="1"/>
      <c r="F232" s="1"/>
      <c r="G232" s="1"/>
      <c r="H232" s="1"/>
      <c r="I232" s="1"/>
      <c r="J232" s="613">
        <v>0</v>
      </c>
      <c r="K232" s="613">
        <v>0</v>
      </c>
      <c r="L232" s="613">
        <v>0</v>
      </c>
      <c r="M232" s="613">
        <v>0</v>
      </c>
      <c r="N232" s="613">
        <v>0</v>
      </c>
      <c r="O232" s="613">
        <v>0</v>
      </c>
      <c r="P232" s="613">
        <v>0</v>
      </c>
      <c r="Q232" s="613">
        <v>0</v>
      </c>
      <c r="R232" s="613">
        <v>0</v>
      </c>
    </row>
    <row r="233" spans="2:18" x14ac:dyDescent="0.55000000000000004">
      <c r="B233" t="s">
        <v>243</v>
      </c>
      <c r="G233" s="13">
        <f>G231+G232</f>
        <v>0</v>
      </c>
      <c r="H233" s="13">
        <f t="shared" ref="H233:R233" si="130">H231+H232</f>
        <v>0</v>
      </c>
      <c r="I233" s="13">
        <f t="shared" si="130"/>
        <v>0</v>
      </c>
      <c r="J233" s="13">
        <f t="shared" si="130"/>
        <v>4.28</v>
      </c>
      <c r="K233" s="13">
        <f t="shared" si="130"/>
        <v>5.835</v>
      </c>
      <c r="L233" s="13">
        <f t="shared" si="130"/>
        <v>5</v>
      </c>
      <c r="M233" s="13">
        <f t="shared" si="130"/>
        <v>3</v>
      </c>
      <c r="N233" s="13">
        <f t="shared" si="130"/>
        <v>0</v>
      </c>
      <c r="O233" s="13">
        <f t="shared" si="130"/>
        <v>0</v>
      </c>
      <c r="P233" s="13">
        <f t="shared" si="130"/>
        <v>0</v>
      </c>
      <c r="Q233" s="13">
        <f t="shared" si="130"/>
        <v>0</v>
      </c>
      <c r="R233" s="13">
        <f t="shared" si="130"/>
        <v>0</v>
      </c>
    </row>
    <row r="235" spans="2:18" x14ac:dyDescent="0.55000000000000004">
      <c r="B235" t="s">
        <v>3262</v>
      </c>
      <c r="I235" s="47"/>
      <c r="J235" s="47">
        <v>12.5</v>
      </c>
      <c r="K235" s="47">
        <v>8.5</v>
      </c>
      <c r="L235" s="47">
        <v>14</v>
      </c>
      <c r="M235" s="47">
        <f t="shared" ref="M235:R235" si="131">L235*1.05</f>
        <v>14.700000000000001</v>
      </c>
      <c r="N235" s="47">
        <f t="shared" si="131"/>
        <v>15.435000000000002</v>
      </c>
      <c r="O235" s="47">
        <f t="shared" si="131"/>
        <v>16.206750000000003</v>
      </c>
      <c r="P235" s="47">
        <f t="shared" si="131"/>
        <v>17.017087500000002</v>
      </c>
      <c r="Q235" s="47">
        <f t="shared" si="131"/>
        <v>17.867941875000003</v>
      </c>
      <c r="R235" s="47">
        <f t="shared" si="131"/>
        <v>18.761338968750003</v>
      </c>
    </row>
    <row r="236" spans="2:18" x14ac:dyDescent="0.55000000000000004">
      <c r="B236" t="s">
        <v>3263</v>
      </c>
      <c r="I236" s="4"/>
      <c r="J236" s="4">
        <f>J233*J235</f>
        <v>53.5</v>
      </c>
      <c r="K236" s="4">
        <f>K233*K235</f>
        <v>49.597499999999997</v>
      </c>
      <c r="L236" s="4">
        <f>L233*L235</f>
        <v>70</v>
      </c>
      <c r="M236" s="4">
        <f t="shared" ref="M236:R236" si="132">M233*M235</f>
        <v>44.1</v>
      </c>
      <c r="N236" s="4">
        <f t="shared" si="132"/>
        <v>0</v>
      </c>
      <c r="O236" s="4">
        <f t="shared" si="132"/>
        <v>0</v>
      </c>
      <c r="P236" s="4">
        <f t="shared" si="132"/>
        <v>0</v>
      </c>
      <c r="Q236" s="4">
        <f t="shared" si="132"/>
        <v>0</v>
      </c>
      <c r="R236" s="4">
        <f t="shared" si="132"/>
        <v>0</v>
      </c>
    </row>
    <row r="237" spans="2:18" x14ac:dyDescent="0.55000000000000004">
      <c r="B237" t="s">
        <v>3264</v>
      </c>
      <c r="I237" s="4"/>
      <c r="J237" s="4">
        <f>J236*Valuation!$C$27</f>
        <v>267.5</v>
      </c>
      <c r="K237" s="4">
        <f>K236*Valuation!$C$27</f>
        <v>247.98749999999998</v>
      </c>
      <c r="L237" s="4">
        <f>L236*Valuation!$C$27</f>
        <v>350</v>
      </c>
      <c r="M237" s="4">
        <f>M236*Valuation!$C$27</f>
        <v>220.5</v>
      </c>
      <c r="N237" s="4">
        <f>N236*Valuation!$C$27</f>
        <v>0</v>
      </c>
      <c r="O237" s="4">
        <f>O236*Valuation!$C$27</f>
        <v>0</v>
      </c>
      <c r="P237" s="4">
        <f>P236*Valuation!$C$27</f>
        <v>0</v>
      </c>
      <c r="Q237" s="4">
        <f>Q236*Valuation!$C$27</f>
        <v>0</v>
      </c>
      <c r="R237" s="4">
        <f>R236*Valuation!$C$27</f>
        <v>0</v>
      </c>
    </row>
    <row r="239" spans="2:18" x14ac:dyDescent="0.55000000000000004">
      <c r="B239" t="s">
        <v>3259</v>
      </c>
    </row>
    <row r="240" spans="2:18" x14ac:dyDescent="0.55000000000000004">
      <c r="B240" t="str">
        <f>B231</f>
        <v>Class A</v>
      </c>
      <c r="I240" s="32">
        <v>1.6879999999999999</v>
      </c>
      <c r="J240" s="13">
        <f>I240+J231-J227</f>
        <v>5.33</v>
      </c>
      <c r="K240" s="13">
        <f t="shared" ref="K240:R240" si="133">J240+K231-K227</f>
        <v>9.8769999999999989</v>
      </c>
      <c r="L240" s="13">
        <f t="shared" si="133"/>
        <v>14.876999999999999</v>
      </c>
      <c r="M240" s="13">
        <f t="shared" si="133"/>
        <v>17.876999999999999</v>
      </c>
      <c r="N240" s="13">
        <f t="shared" si="133"/>
        <v>17.876999999999999</v>
      </c>
      <c r="O240" s="13">
        <f t="shared" si="133"/>
        <v>17.876999999999999</v>
      </c>
      <c r="P240" s="13">
        <f t="shared" si="133"/>
        <v>17.876999999999999</v>
      </c>
      <c r="Q240" s="13">
        <f t="shared" si="133"/>
        <v>17.876999999999999</v>
      </c>
      <c r="R240" s="13">
        <f t="shared" si="133"/>
        <v>17.876999999999999</v>
      </c>
    </row>
    <row r="241" spans="2:18" x14ac:dyDescent="0.55000000000000004">
      <c r="B241" s="1" t="str">
        <f>B232</f>
        <v xml:space="preserve">Class B </v>
      </c>
      <c r="C241" s="1"/>
      <c r="D241" s="1"/>
      <c r="E241" s="1"/>
      <c r="F241" s="1"/>
      <c r="G241" s="1"/>
      <c r="H241" s="1"/>
      <c r="I241" s="96">
        <f>H241+I232-I228</f>
        <v>0</v>
      </c>
      <c r="J241" s="96">
        <f>I241+J232-J228</f>
        <v>0</v>
      </c>
      <c r="K241" s="96">
        <f t="shared" ref="K241:R241" si="134">J241+K232-K228</f>
        <v>0</v>
      </c>
      <c r="L241" s="96">
        <f t="shared" si="134"/>
        <v>0</v>
      </c>
      <c r="M241" s="96">
        <f t="shared" si="134"/>
        <v>0</v>
      </c>
      <c r="N241" s="96">
        <f t="shared" si="134"/>
        <v>0</v>
      </c>
      <c r="O241" s="96">
        <f t="shared" si="134"/>
        <v>0</v>
      </c>
      <c r="P241" s="96">
        <f t="shared" si="134"/>
        <v>0</v>
      </c>
      <c r="Q241" s="96">
        <f t="shared" si="134"/>
        <v>0</v>
      </c>
      <c r="R241" s="96">
        <f t="shared" si="134"/>
        <v>0</v>
      </c>
    </row>
    <row r="242" spans="2:18" x14ac:dyDescent="0.55000000000000004">
      <c r="B242" t="s">
        <v>243</v>
      </c>
      <c r="G242" s="13">
        <f t="shared" ref="G242:R242" si="135">G240+G241</f>
        <v>0</v>
      </c>
      <c r="H242" s="13">
        <f t="shared" si="135"/>
        <v>0</v>
      </c>
      <c r="I242" s="13">
        <f t="shared" si="135"/>
        <v>1.6879999999999999</v>
      </c>
      <c r="J242" s="13">
        <f t="shared" si="135"/>
        <v>5.33</v>
      </c>
      <c r="K242" s="13">
        <f t="shared" si="135"/>
        <v>9.8769999999999989</v>
      </c>
      <c r="L242" s="13">
        <f t="shared" si="135"/>
        <v>14.876999999999999</v>
      </c>
      <c r="M242" s="13">
        <f t="shared" si="135"/>
        <v>17.876999999999999</v>
      </c>
      <c r="N242" s="13">
        <f t="shared" si="135"/>
        <v>17.876999999999999</v>
      </c>
      <c r="O242" s="13">
        <f t="shared" si="135"/>
        <v>17.876999999999999</v>
      </c>
      <c r="P242" s="13">
        <f t="shared" si="135"/>
        <v>17.876999999999999</v>
      </c>
      <c r="Q242" s="13">
        <f t="shared" si="135"/>
        <v>17.876999999999999</v>
      </c>
      <c r="R242" s="13">
        <f t="shared" si="135"/>
        <v>17.876999999999999</v>
      </c>
    </row>
    <row r="244" spans="2:18" x14ac:dyDescent="0.55000000000000004">
      <c r="B244" t="s">
        <v>3261</v>
      </c>
    </row>
    <row r="245" spans="2:18" x14ac:dyDescent="0.55000000000000004">
      <c r="B245" t="str">
        <f>B222</f>
        <v>Class A</v>
      </c>
      <c r="J245" s="4">
        <f>J222-J240</f>
        <v>203.67</v>
      </c>
      <c r="K245" s="4">
        <f t="shared" ref="K245:R245" si="136">K222-K240</f>
        <v>199.73099999999999</v>
      </c>
      <c r="L245" s="4">
        <f t="shared" si="136"/>
        <v>194.73099999999999</v>
      </c>
      <c r="M245" s="4">
        <f t="shared" si="136"/>
        <v>191.73099999999999</v>
      </c>
      <c r="N245" s="4">
        <f t="shared" si="136"/>
        <v>191.73099999999999</v>
      </c>
      <c r="O245" s="4">
        <f t="shared" si="136"/>
        <v>191.73099999999999</v>
      </c>
      <c r="P245" s="4">
        <f t="shared" si="136"/>
        <v>191.73099999999999</v>
      </c>
      <c r="Q245" s="4">
        <f t="shared" si="136"/>
        <v>191.73099999999999</v>
      </c>
      <c r="R245" s="4">
        <f t="shared" si="136"/>
        <v>191.73099999999999</v>
      </c>
    </row>
    <row r="246" spans="2:18" x14ac:dyDescent="0.55000000000000004">
      <c r="B246" s="1" t="str">
        <f>B223</f>
        <v xml:space="preserve">Class B </v>
      </c>
      <c r="C246" s="1"/>
      <c r="D246" s="1"/>
      <c r="E246" s="1"/>
      <c r="F246" s="1"/>
      <c r="G246" s="1"/>
      <c r="H246" s="1"/>
      <c r="I246" s="1"/>
      <c r="J246" s="6">
        <f>J223-J241</f>
        <v>120</v>
      </c>
      <c r="K246" s="6">
        <f t="shared" ref="K246:R246" si="137">K223-K241</f>
        <v>120</v>
      </c>
      <c r="L246" s="6">
        <f t="shared" si="137"/>
        <v>120</v>
      </c>
      <c r="M246" s="6">
        <f t="shared" si="137"/>
        <v>120</v>
      </c>
      <c r="N246" s="6">
        <f t="shared" si="137"/>
        <v>120</v>
      </c>
      <c r="O246" s="6">
        <f t="shared" si="137"/>
        <v>120</v>
      </c>
      <c r="P246" s="6">
        <f t="shared" si="137"/>
        <v>120</v>
      </c>
      <c r="Q246" s="6">
        <f t="shared" si="137"/>
        <v>120</v>
      </c>
      <c r="R246" s="6">
        <f t="shared" si="137"/>
        <v>120</v>
      </c>
    </row>
    <row r="247" spans="2:18" x14ac:dyDescent="0.55000000000000004">
      <c r="B247" t="str">
        <f>B224</f>
        <v>Total</v>
      </c>
      <c r="J247" s="4">
        <f>J245+J246</f>
        <v>323.66999999999996</v>
      </c>
      <c r="K247" s="4">
        <f t="shared" ref="K247:R247" si="138">K245+K246</f>
        <v>319.73099999999999</v>
      </c>
      <c r="L247" s="4">
        <f t="shared" si="138"/>
        <v>314.73099999999999</v>
      </c>
      <c r="M247" s="4">
        <f t="shared" si="138"/>
        <v>311.73099999999999</v>
      </c>
      <c r="N247" s="4">
        <f t="shared" si="138"/>
        <v>311.73099999999999</v>
      </c>
      <c r="O247" s="4">
        <f t="shared" si="138"/>
        <v>311.73099999999999</v>
      </c>
      <c r="P247" s="4">
        <f t="shared" si="138"/>
        <v>311.73099999999999</v>
      </c>
      <c r="Q247" s="4">
        <f t="shared" si="138"/>
        <v>311.73099999999999</v>
      </c>
      <c r="R247" s="4">
        <f t="shared" si="138"/>
        <v>311.73099999999999</v>
      </c>
    </row>
    <row r="249" spans="2:18" x14ac:dyDescent="0.55000000000000004">
      <c r="B249" t="s">
        <v>537</v>
      </c>
    </row>
    <row r="250" spans="2:18" x14ac:dyDescent="0.55000000000000004">
      <c r="B250" t="str">
        <f>B222</f>
        <v>Class A</v>
      </c>
      <c r="G250">
        <v>1</v>
      </c>
      <c r="H250">
        <v>1</v>
      </c>
      <c r="I250" s="51">
        <f t="shared" ref="I250:R250" si="139">H250</f>
        <v>1</v>
      </c>
      <c r="J250" s="51">
        <f t="shared" si="139"/>
        <v>1</v>
      </c>
      <c r="K250" s="51">
        <f t="shared" si="139"/>
        <v>1</v>
      </c>
      <c r="L250" s="51">
        <f t="shared" si="139"/>
        <v>1</v>
      </c>
      <c r="M250" s="51">
        <f t="shared" si="139"/>
        <v>1</v>
      </c>
      <c r="N250" s="51">
        <f t="shared" si="139"/>
        <v>1</v>
      </c>
      <c r="O250" s="51">
        <f t="shared" si="139"/>
        <v>1</v>
      </c>
      <c r="P250" s="51">
        <f t="shared" si="139"/>
        <v>1</v>
      </c>
      <c r="Q250" s="51">
        <f t="shared" si="139"/>
        <v>1</v>
      </c>
      <c r="R250" s="51">
        <f t="shared" si="139"/>
        <v>1</v>
      </c>
    </row>
    <row r="251" spans="2:18" x14ac:dyDescent="0.55000000000000004">
      <c r="B251" t="str">
        <f>B223</f>
        <v xml:space="preserve">Class B </v>
      </c>
      <c r="G251">
        <v>10</v>
      </c>
      <c r="H251">
        <v>10</v>
      </c>
      <c r="I251" s="51">
        <f t="shared" ref="I251:R251" si="140">H251</f>
        <v>10</v>
      </c>
      <c r="J251" s="51">
        <f t="shared" si="140"/>
        <v>10</v>
      </c>
      <c r="K251" s="51">
        <f t="shared" si="140"/>
        <v>10</v>
      </c>
      <c r="L251" s="51">
        <f t="shared" si="140"/>
        <v>10</v>
      </c>
      <c r="M251" s="51">
        <f t="shared" si="140"/>
        <v>10</v>
      </c>
      <c r="N251" s="51">
        <f t="shared" si="140"/>
        <v>10</v>
      </c>
      <c r="O251" s="51">
        <f t="shared" si="140"/>
        <v>10</v>
      </c>
      <c r="P251" s="51">
        <f t="shared" si="140"/>
        <v>10</v>
      </c>
      <c r="Q251" s="51">
        <f t="shared" si="140"/>
        <v>10</v>
      </c>
      <c r="R251" s="51">
        <f t="shared" si="140"/>
        <v>10</v>
      </c>
    </row>
    <row r="253" spans="2:18" x14ac:dyDescent="0.55000000000000004">
      <c r="B253" t="s">
        <v>539</v>
      </c>
    </row>
    <row r="254" spans="2:18" x14ac:dyDescent="0.55000000000000004">
      <c r="B254" t="str">
        <f>B250</f>
        <v>Class A</v>
      </c>
      <c r="G254" s="4">
        <f>G222*G250</f>
        <v>179.98455100000001</v>
      </c>
      <c r="H254" s="4">
        <f t="shared" ref="H254:R254" si="141">H222*H250</f>
        <v>202</v>
      </c>
      <c r="I254" s="4">
        <f t="shared" si="141"/>
        <v>202</v>
      </c>
      <c r="J254" s="4">
        <f t="shared" si="141"/>
        <v>209</v>
      </c>
      <c r="K254" s="4">
        <f t="shared" si="141"/>
        <v>209.608</v>
      </c>
      <c r="L254" s="4">
        <f t="shared" si="141"/>
        <v>209.608</v>
      </c>
      <c r="M254" s="4">
        <f t="shared" si="141"/>
        <v>209.608</v>
      </c>
      <c r="N254" s="4">
        <f t="shared" si="141"/>
        <v>209.608</v>
      </c>
      <c r="O254" s="4">
        <f t="shared" si="141"/>
        <v>209.608</v>
      </c>
      <c r="P254" s="4">
        <f t="shared" si="141"/>
        <v>209.608</v>
      </c>
      <c r="Q254" s="4">
        <f t="shared" si="141"/>
        <v>209.608</v>
      </c>
      <c r="R254" s="4">
        <f t="shared" si="141"/>
        <v>209.608</v>
      </c>
    </row>
    <row r="255" spans="2:18" x14ac:dyDescent="0.55000000000000004">
      <c r="B255" t="str">
        <f>B251</f>
        <v xml:space="preserve">Class B </v>
      </c>
      <c r="G255" s="4">
        <f>G223*G251</f>
        <v>1488.7086099999999</v>
      </c>
      <c r="H255" s="4">
        <f t="shared" ref="H255:R255" si="142">H223*H251</f>
        <v>1275</v>
      </c>
      <c r="I255" s="4">
        <f t="shared" si="142"/>
        <v>1275</v>
      </c>
      <c r="J255" s="4">
        <f t="shared" si="142"/>
        <v>1200</v>
      </c>
      <c r="K255" s="4">
        <f t="shared" si="142"/>
        <v>1200</v>
      </c>
      <c r="L255" s="4">
        <f t="shared" si="142"/>
        <v>1200</v>
      </c>
      <c r="M255" s="4">
        <f t="shared" si="142"/>
        <v>1200</v>
      </c>
      <c r="N255" s="4">
        <f t="shared" si="142"/>
        <v>1200</v>
      </c>
      <c r="O255" s="4">
        <f t="shared" si="142"/>
        <v>1200</v>
      </c>
      <c r="P255" s="4">
        <f t="shared" si="142"/>
        <v>1200</v>
      </c>
      <c r="Q255" s="4">
        <f t="shared" si="142"/>
        <v>1200</v>
      </c>
      <c r="R255" s="4">
        <f t="shared" si="142"/>
        <v>1200</v>
      </c>
    </row>
    <row r="256" spans="2:18" x14ac:dyDescent="0.55000000000000004">
      <c r="B256" t="s">
        <v>243</v>
      </c>
      <c r="G256" s="4">
        <f>SUM(G254:G255)</f>
        <v>1668.6931609999999</v>
      </c>
      <c r="H256" s="4">
        <f t="shared" ref="H256:R256" si="143">SUM(H254:H255)</f>
        <v>1477</v>
      </c>
      <c r="I256" s="4">
        <f t="shared" si="143"/>
        <v>1477</v>
      </c>
      <c r="J256" s="4">
        <f t="shared" si="143"/>
        <v>1409</v>
      </c>
      <c r="K256" s="4">
        <f t="shared" si="143"/>
        <v>1409.6079999999999</v>
      </c>
      <c r="L256" s="4">
        <f t="shared" si="143"/>
        <v>1409.6079999999999</v>
      </c>
      <c r="M256" s="4">
        <f t="shared" si="143"/>
        <v>1409.6079999999999</v>
      </c>
      <c r="N256" s="4">
        <f t="shared" si="143"/>
        <v>1409.6079999999999</v>
      </c>
      <c r="O256" s="4">
        <f t="shared" si="143"/>
        <v>1409.6079999999999</v>
      </c>
      <c r="P256" s="4">
        <f t="shared" si="143"/>
        <v>1409.6079999999999</v>
      </c>
      <c r="Q256" s="4">
        <f t="shared" si="143"/>
        <v>1409.6079999999999</v>
      </c>
      <c r="R256" s="4">
        <f t="shared" si="143"/>
        <v>1409.6079999999999</v>
      </c>
    </row>
    <row r="257" spans="2:18" x14ac:dyDescent="0.55000000000000004">
      <c r="G257" s="13"/>
    </row>
    <row r="258" spans="2:18" x14ac:dyDescent="0.55000000000000004">
      <c r="B258" t="s">
        <v>540</v>
      </c>
      <c r="G258" s="13"/>
    </row>
    <row r="259" spans="2:18" x14ac:dyDescent="0.55000000000000004">
      <c r="B259" t="str">
        <f>B222</f>
        <v>Class A</v>
      </c>
      <c r="G259" s="32">
        <v>0.6</v>
      </c>
      <c r="H259" s="32">
        <v>0.86399999999999999</v>
      </c>
      <c r="I259" s="47">
        <f t="shared" ref="I259:R259" si="144">H259</f>
        <v>0.86399999999999999</v>
      </c>
      <c r="J259" s="47">
        <f t="shared" si="144"/>
        <v>0.86399999999999999</v>
      </c>
      <c r="K259" s="47">
        <f t="shared" si="144"/>
        <v>0.86399999999999999</v>
      </c>
      <c r="L259" s="47">
        <f t="shared" si="144"/>
        <v>0.86399999999999999</v>
      </c>
      <c r="M259" s="47">
        <f t="shared" si="144"/>
        <v>0.86399999999999999</v>
      </c>
      <c r="N259" s="47">
        <f t="shared" si="144"/>
        <v>0.86399999999999999</v>
      </c>
      <c r="O259" s="47">
        <f t="shared" si="144"/>
        <v>0.86399999999999999</v>
      </c>
      <c r="P259" s="47">
        <f t="shared" si="144"/>
        <v>0.86399999999999999</v>
      </c>
      <c r="Q259" s="47">
        <f t="shared" si="144"/>
        <v>0.86399999999999999</v>
      </c>
      <c r="R259" s="47">
        <f t="shared" si="144"/>
        <v>0.86399999999999999</v>
      </c>
    </row>
    <row r="260" spans="2:18" x14ac:dyDescent="0.55000000000000004">
      <c r="B260" t="str">
        <f>B223</f>
        <v xml:space="preserve">Class B </v>
      </c>
      <c r="G260" s="4">
        <f>G223</f>
        <v>148.87086099999999</v>
      </c>
      <c r="H260" s="4">
        <f>H223</f>
        <v>127.5</v>
      </c>
      <c r="I260" s="47">
        <f t="shared" ref="I260:R260" si="145">H260</f>
        <v>127.5</v>
      </c>
      <c r="J260" s="47">
        <f t="shared" si="145"/>
        <v>127.5</v>
      </c>
      <c r="K260" s="47">
        <f t="shared" si="145"/>
        <v>127.5</v>
      </c>
      <c r="L260" s="47">
        <f t="shared" si="145"/>
        <v>127.5</v>
      </c>
      <c r="M260" s="47">
        <f t="shared" si="145"/>
        <v>127.5</v>
      </c>
      <c r="N260" s="47">
        <f t="shared" si="145"/>
        <v>127.5</v>
      </c>
      <c r="O260" s="47">
        <f t="shared" si="145"/>
        <v>127.5</v>
      </c>
      <c r="P260" s="47">
        <f t="shared" si="145"/>
        <v>127.5</v>
      </c>
      <c r="Q260" s="47">
        <f t="shared" si="145"/>
        <v>127.5</v>
      </c>
      <c r="R260" s="47">
        <f t="shared" si="145"/>
        <v>127.5</v>
      </c>
    </row>
    <row r="261" spans="2:18" x14ac:dyDescent="0.55000000000000004">
      <c r="B261" t="s">
        <v>541</v>
      </c>
      <c r="G261" s="4">
        <f>(G259*G250)+(G251*G260)</f>
        <v>1489.3086099999998</v>
      </c>
      <c r="H261" s="4">
        <f>(H259*H250)+(H251*H260)</f>
        <v>1275.864</v>
      </c>
      <c r="I261" s="4">
        <f t="shared" ref="I261:R261" si="146">(I259*I250)+(I251*I260)</f>
        <v>1275.864</v>
      </c>
      <c r="J261" s="4">
        <f t="shared" si="146"/>
        <v>1275.864</v>
      </c>
      <c r="K261" s="4">
        <f t="shared" si="146"/>
        <v>1275.864</v>
      </c>
      <c r="L261" s="4">
        <f t="shared" si="146"/>
        <v>1275.864</v>
      </c>
      <c r="M261" s="4">
        <f t="shared" si="146"/>
        <v>1275.864</v>
      </c>
      <c r="N261" s="4">
        <f t="shared" si="146"/>
        <v>1275.864</v>
      </c>
      <c r="O261" s="4">
        <f t="shared" si="146"/>
        <v>1275.864</v>
      </c>
      <c r="P261" s="4">
        <f t="shared" si="146"/>
        <v>1275.864</v>
      </c>
      <c r="Q261" s="4">
        <f t="shared" si="146"/>
        <v>1275.864</v>
      </c>
      <c r="R261" s="4">
        <f t="shared" si="146"/>
        <v>1275.864</v>
      </c>
    </row>
    <row r="262" spans="2:18" x14ac:dyDescent="0.55000000000000004">
      <c r="B262" t="s">
        <v>227</v>
      </c>
      <c r="G262" s="12">
        <f>G261/G256</f>
        <v>0.89249997831087169</v>
      </c>
      <c r="H262" s="12">
        <f>H261/H256</f>
        <v>0.863821259309411</v>
      </c>
      <c r="I262" s="12">
        <f t="shared" ref="I262:R262" si="147">I261/I256</f>
        <v>0.863821259309411</v>
      </c>
      <c r="J262" s="12">
        <f t="shared" si="147"/>
        <v>0.90551029098651525</v>
      </c>
      <c r="K262" s="12">
        <f t="shared" si="147"/>
        <v>0.90511972122746187</v>
      </c>
      <c r="L262" s="12">
        <f t="shared" si="147"/>
        <v>0.90511972122746187</v>
      </c>
      <c r="M262" s="12">
        <f t="shared" si="147"/>
        <v>0.90511972122746187</v>
      </c>
      <c r="N262" s="12">
        <f t="shared" si="147"/>
        <v>0.90511972122746187</v>
      </c>
      <c r="O262" s="12">
        <f t="shared" si="147"/>
        <v>0.90511972122746187</v>
      </c>
      <c r="P262" s="12">
        <f t="shared" si="147"/>
        <v>0.90511972122746187</v>
      </c>
      <c r="Q262" s="12">
        <f t="shared" si="147"/>
        <v>0.90511972122746187</v>
      </c>
      <c r="R262" s="12">
        <f t="shared" si="147"/>
        <v>0.90511972122746187</v>
      </c>
    </row>
    <row r="263" spans="2:18" x14ac:dyDescent="0.55000000000000004">
      <c r="H263" s="2"/>
    </row>
    <row r="264" spans="2:18" x14ac:dyDescent="0.55000000000000004">
      <c r="B264" t="s">
        <v>499</v>
      </c>
      <c r="F264" s="4">
        <f>F167</f>
        <v>8104.6790000000001</v>
      </c>
      <c r="G264" s="4">
        <f>G167</f>
        <v>10477.179325501222</v>
      </c>
      <c r="H264" s="4">
        <f>H167</f>
        <v>16043</v>
      </c>
      <c r="I264" s="4">
        <f>I167</f>
        <v>23428.522396</v>
      </c>
      <c r="J264" s="4">
        <f>J167</f>
        <v>36248.588881233576</v>
      </c>
      <c r="K264" s="4">
        <f>K266*Acquirer!L$123*1000</f>
        <v>39317.354881385756</v>
      </c>
      <c r="L264" s="4">
        <f>L266*Acquirer!M$123*1000</f>
        <v>45073.27595795229</v>
      </c>
      <c r="M264" s="4">
        <f>M266*Acquirer!N$123*1000</f>
        <v>50723.67415121074</v>
      </c>
      <c r="N264" s="4">
        <f>N266*Acquirer!O$123*1000</f>
        <v>56110.409446635196</v>
      </c>
      <c r="O264" s="4">
        <f>O266*Acquirer!P$123*1000</f>
        <v>61095.094628683139</v>
      </c>
      <c r="P264" s="4">
        <f>P266*Acquirer!Q$123*1000</f>
        <v>66518.304775745171</v>
      </c>
      <c r="Q264" s="4">
        <f>Q266*Acquirer!R$123*1000</f>
        <v>71799.391064134339</v>
      </c>
      <c r="R264" s="4">
        <f>R266*Acquirer!S$123*1000</f>
        <v>76099.475041422003</v>
      </c>
    </row>
    <row r="265" spans="2:18" x14ac:dyDescent="0.55000000000000004">
      <c r="B265" t="s">
        <v>523</v>
      </c>
      <c r="F265" s="13"/>
      <c r="G265" s="4">
        <f>-(G264-F264)</f>
        <v>-2372.5003255012216</v>
      </c>
      <c r="H265" s="4">
        <f>-(H264-G264)</f>
        <v>-5565.8206744987783</v>
      </c>
      <c r="I265" s="4">
        <f>-(I264-H264)</f>
        <v>-7385.5223960000003</v>
      </c>
      <c r="J265" s="4">
        <f>-(J264-I264)</f>
        <v>-12820.066485233576</v>
      </c>
      <c r="K265" s="4">
        <f t="shared" ref="K265:R265" si="148">-(K264-J264)</f>
        <v>-3068.7660001521799</v>
      </c>
      <c r="L265" s="4">
        <f t="shared" si="148"/>
        <v>-5755.9210765665339</v>
      </c>
      <c r="M265" s="4">
        <f t="shared" si="148"/>
        <v>-5650.3981932584502</v>
      </c>
      <c r="N265" s="4">
        <f t="shared" si="148"/>
        <v>-5386.7352954244561</v>
      </c>
      <c r="O265" s="4">
        <f t="shared" si="148"/>
        <v>-4984.6851820479424</v>
      </c>
      <c r="P265" s="4">
        <f t="shared" si="148"/>
        <v>-5423.2101470620328</v>
      </c>
      <c r="Q265" s="4">
        <f t="shared" si="148"/>
        <v>-5281.0862883891677</v>
      </c>
      <c r="R265" s="4">
        <f t="shared" si="148"/>
        <v>-4300.0839772876643</v>
      </c>
    </row>
    <row r="266" spans="2:18" x14ac:dyDescent="0.55000000000000004">
      <c r="B266" t="s">
        <v>500</v>
      </c>
      <c r="F266" s="12">
        <f>F264/(Acquirer!G$123*1000)</f>
        <v>0.18674375576036867</v>
      </c>
      <c r="G266" s="12">
        <f>G264/(Acquirer!H$123*1000)</f>
        <v>0.15874514129547307</v>
      </c>
      <c r="H266" s="12">
        <f>H264/(Acquirer!I$123*1000)</f>
        <v>0.18564101219917042</v>
      </c>
      <c r="I266" s="12">
        <f>I264/(Acquirer!J$123*1000)</f>
        <v>0.16428573465219715</v>
      </c>
      <c r="J266" s="12">
        <f>J264/(Acquirer!K$123*1000)</f>
        <v>0.17974055054643295</v>
      </c>
      <c r="K266" s="42">
        <f>J266-0.5%</f>
        <v>0.17474055054643295</v>
      </c>
      <c r="L266" s="42">
        <f t="shared" ref="L266:R266" si="149">K266-0.25%</f>
        <v>0.17224055054643295</v>
      </c>
      <c r="M266" s="42">
        <f t="shared" si="149"/>
        <v>0.16974055054643294</v>
      </c>
      <c r="N266" s="42">
        <f t="shared" si="149"/>
        <v>0.16724055054643294</v>
      </c>
      <c r="O266" s="42">
        <f t="shared" si="149"/>
        <v>0.16474055054643294</v>
      </c>
      <c r="P266" s="42">
        <f t="shared" si="149"/>
        <v>0.16224055054643294</v>
      </c>
      <c r="Q266" s="42">
        <f t="shared" si="149"/>
        <v>0.15974055054643294</v>
      </c>
      <c r="R266" s="42">
        <f t="shared" si="149"/>
        <v>0.15724055054643293</v>
      </c>
    </row>
    <row r="268" spans="2:18" x14ac:dyDescent="0.55000000000000004">
      <c r="B268" t="s">
        <v>524</v>
      </c>
      <c r="F268" s="4">
        <f>F186</f>
        <v>4324.1980000000003</v>
      </c>
      <c r="G268" s="4">
        <f>G186</f>
        <v>5326.2902085200003</v>
      </c>
      <c r="H268" s="4">
        <f>H186</f>
        <v>10101.510160279997</v>
      </c>
      <c r="I268" s="4">
        <f>I186</f>
        <v>13217.149925000002</v>
      </c>
      <c r="J268" s="4">
        <f>J186</f>
        <v>17988.138755102151</v>
      </c>
      <c r="K268" s="4">
        <f>K270*Acquirer!L$123*1000</f>
        <v>15750.292837526973</v>
      </c>
      <c r="L268" s="4">
        <f>L270*Acquirer!M$123*1000</f>
        <v>19626.59597941253</v>
      </c>
      <c r="M268" s="4">
        <f>M270*Acquirer!N$123*1000</f>
        <v>23906.449690622467</v>
      </c>
      <c r="N268" s="4">
        <f>N270*Acquirer!O$123*1000</f>
        <v>26840.57629004593</v>
      </c>
      <c r="O268" s="4">
        <f>O270*Acquirer!P$123*1000</f>
        <v>29668.515457079611</v>
      </c>
      <c r="P268" s="4">
        <f>P270*Acquirer!Q$123*1000</f>
        <v>32799.841742010234</v>
      </c>
      <c r="Q268" s="4">
        <f>Q270*Acquirer!R$123*1000</f>
        <v>35958.003559409997</v>
      </c>
      <c r="R268" s="4">
        <f>R270*Acquirer!S$123*1000</f>
        <v>38717.48084166109</v>
      </c>
    </row>
    <row r="269" spans="2:18" x14ac:dyDescent="0.55000000000000004">
      <c r="B269" t="s">
        <v>523</v>
      </c>
      <c r="F269" s="4"/>
      <c r="G269" s="4">
        <f>G268-F268</f>
        <v>1002.09220852</v>
      </c>
      <c r="H269" s="4">
        <f>H268-G268</f>
        <v>4775.2199517599965</v>
      </c>
      <c r="I269" s="4">
        <f>I268-H268</f>
        <v>3115.6397647200047</v>
      </c>
      <c r="J269" s="4">
        <f>J268-I268</f>
        <v>4770.9888301021492</v>
      </c>
      <c r="K269" s="4">
        <f t="shared" ref="K269:R269" si="150">K268-J268</f>
        <v>-2237.8459175751777</v>
      </c>
      <c r="L269" s="4">
        <f t="shared" si="150"/>
        <v>3876.3031418855571</v>
      </c>
      <c r="M269" s="4">
        <f t="shared" si="150"/>
        <v>4279.8537112099366</v>
      </c>
      <c r="N269" s="4">
        <f t="shared" si="150"/>
        <v>2934.1265994234636</v>
      </c>
      <c r="O269" s="4">
        <f t="shared" si="150"/>
        <v>2827.9391670336809</v>
      </c>
      <c r="P269" s="4">
        <f t="shared" si="150"/>
        <v>3131.3262849306229</v>
      </c>
      <c r="Q269" s="4">
        <f t="shared" si="150"/>
        <v>3158.1618173997631</v>
      </c>
      <c r="R269" s="4">
        <f t="shared" si="150"/>
        <v>2759.4772822510931</v>
      </c>
    </row>
    <row r="270" spans="2:18" x14ac:dyDescent="0.55000000000000004">
      <c r="B270" t="s">
        <v>500</v>
      </c>
      <c r="F270" s="12">
        <f>F268/(Acquirer!G$123*1000)</f>
        <v>9.9635898617511529E-2</v>
      </c>
      <c r="G270" s="12">
        <f>G268/(Acquirer!H$123*1000)</f>
        <v>8.0701366795757581E-2</v>
      </c>
      <c r="H270" s="12">
        <f>H268/(Acquirer!I$123*1000)</f>
        <v>0.11688927076572854</v>
      </c>
      <c r="I270" s="12">
        <f>I268/(Acquirer!J$123*1000)</f>
        <v>9.2681439688556008E-2</v>
      </c>
      <c r="J270" s="12">
        <f>J268/(Acquirer!K$123*1000)</f>
        <v>8.9195140085068569E-2</v>
      </c>
      <c r="K270" s="42">
        <v>7.0000000000000007E-2</v>
      </c>
      <c r="L270" s="42">
        <v>7.4999999999999997E-2</v>
      </c>
      <c r="M270" s="42">
        <v>0.08</v>
      </c>
      <c r="N270" s="42">
        <v>0.08</v>
      </c>
      <c r="O270" s="42">
        <f>N270</f>
        <v>0.08</v>
      </c>
      <c r="P270" s="42">
        <f>O270</f>
        <v>0.08</v>
      </c>
      <c r="Q270" s="42">
        <f>P270</f>
        <v>0.08</v>
      </c>
      <c r="R270" s="42">
        <v>0.08</v>
      </c>
    </row>
    <row r="272" spans="2:18" x14ac:dyDescent="0.55000000000000004">
      <c r="B272" t="s">
        <v>136</v>
      </c>
      <c r="G272" s="4">
        <f>G265+G269</f>
        <v>-1370.4081169812216</v>
      </c>
      <c r="H272" s="4">
        <f t="shared" ref="H272:R272" si="151">H265+H269</f>
        <v>-790.60072273878177</v>
      </c>
      <c r="I272" s="4">
        <f t="shared" si="151"/>
        <v>-4269.8826312799956</v>
      </c>
      <c r="J272" s="4">
        <f t="shared" si="151"/>
        <v>-8049.0776551314266</v>
      </c>
      <c r="K272" s="4">
        <f t="shared" si="151"/>
        <v>-5306.6119177273576</v>
      </c>
      <c r="L272" s="4">
        <f t="shared" si="151"/>
        <v>-1879.6179346809768</v>
      </c>
      <c r="M272" s="4">
        <f t="shared" si="151"/>
        <v>-1370.5444820485136</v>
      </c>
      <c r="N272" s="4">
        <f t="shared" si="151"/>
        <v>-2452.6086960009925</v>
      </c>
      <c r="O272" s="4">
        <f t="shared" si="151"/>
        <v>-2156.7460150142615</v>
      </c>
      <c r="P272" s="4">
        <f t="shared" si="151"/>
        <v>-2291.8838621314098</v>
      </c>
      <c r="Q272" s="4">
        <f t="shared" si="151"/>
        <v>-2122.9244709894047</v>
      </c>
      <c r="R272" s="4">
        <f t="shared" si="151"/>
        <v>-1540.6066950365712</v>
      </c>
    </row>
  </sheetData>
  <pageMargins left="0.7" right="0.7" top="0.75" bottom="0.75" header="0.3" footer="0.3"/>
  <pageSetup paperSize="9" orientation="portrait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76C5A-1FEE-4CD2-9113-53A6C738505F}">
  <dimension ref="B1:BK403"/>
  <sheetViews>
    <sheetView zoomScale="61" zoomScaleNormal="80" workbookViewId="0">
      <pane xSplit="10" ySplit="4" topLeftCell="S5" activePane="bottomRight" state="frozen"/>
      <selection pane="topRight" activeCell="K1" sqref="K1"/>
      <selection pane="bottomLeft" activeCell="A5" sqref="A5"/>
      <selection pane="bottomRight"/>
    </sheetView>
  </sheetViews>
  <sheetFormatPr defaultRowHeight="14.4" outlineLevelRow="1" outlineLevelCol="1" x14ac:dyDescent="0.55000000000000004"/>
  <cols>
    <col min="2" max="2" width="40" bestFit="1" customWidth="1"/>
    <col min="3" max="10" width="9" hidden="1" customWidth="1" outlineLevel="1"/>
    <col min="11" max="18" width="8.89453125" hidden="1" customWidth="1" outlineLevel="1"/>
    <col min="19" max="19" width="8.89453125" customWidth="1" collapsed="1"/>
    <col min="20" max="24" width="8.89453125" customWidth="1"/>
    <col min="25" max="25" width="9.41796875" bestFit="1" customWidth="1"/>
    <col min="26" max="30" width="9.41796875" customWidth="1"/>
    <col min="32" max="40" width="8.89453125" customWidth="1"/>
    <col min="41" max="48" width="9"/>
  </cols>
  <sheetData>
    <row r="1" spans="2:63" x14ac:dyDescent="0.55000000000000004">
      <c r="AB1" s="393"/>
      <c r="AC1" s="393"/>
      <c r="AD1" s="393"/>
    </row>
    <row r="2" spans="2:63" x14ac:dyDescent="0.55000000000000004">
      <c r="B2" s="23" t="s">
        <v>271</v>
      </c>
      <c r="AB2" s="393"/>
      <c r="AC2" s="393"/>
      <c r="AD2" s="393"/>
    </row>
    <row r="3" spans="2:63" x14ac:dyDescent="0.55000000000000004">
      <c r="T3" s="2"/>
      <c r="U3" s="2"/>
      <c r="V3" s="2"/>
      <c r="AE3" s="90">
        <v>3968</v>
      </c>
      <c r="AF3" s="90">
        <v>4108</v>
      </c>
      <c r="AG3" s="90">
        <v>4304</v>
      </c>
      <c r="AH3" s="90">
        <v>4442</v>
      </c>
      <c r="AI3" s="579" t="s">
        <v>3228</v>
      </c>
      <c r="AJ3" s="2"/>
      <c r="AK3" s="2"/>
      <c r="AL3" s="2"/>
      <c r="AM3" s="2"/>
      <c r="AQ3" s="8" t="s">
        <v>273</v>
      </c>
      <c r="AR3" s="8" t="s">
        <v>273</v>
      </c>
      <c r="AS3" s="8" t="s">
        <v>273</v>
      </c>
      <c r="AT3" s="8" t="s">
        <v>273</v>
      </c>
      <c r="AU3" s="8" t="s">
        <v>273</v>
      </c>
      <c r="AV3" s="8" t="s">
        <v>273</v>
      </c>
      <c r="AW3" s="8" t="s">
        <v>273</v>
      </c>
      <c r="AX3" s="8" t="s">
        <v>273</v>
      </c>
      <c r="AY3" s="8" t="s">
        <v>273</v>
      </c>
      <c r="AZ3" s="8" t="s">
        <v>273</v>
      </c>
      <c r="BA3" s="8" t="s">
        <v>273</v>
      </c>
      <c r="BB3" s="8" t="s">
        <v>273</v>
      </c>
      <c r="BC3" s="8" t="s">
        <v>273</v>
      </c>
      <c r="BD3" s="8" t="s">
        <v>273</v>
      </c>
      <c r="BE3" s="8" t="s">
        <v>273</v>
      </c>
      <c r="BF3" s="8" t="s">
        <v>273</v>
      </c>
      <c r="BG3" s="8" t="s">
        <v>273</v>
      </c>
      <c r="BH3" s="8" t="s">
        <v>273</v>
      </c>
      <c r="BI3" s="8" t="s">
        <v>273</v>
      </c>
      <c r="BJ3" s="8" t="s">
        <v>273</v>
      </c>
      <c r="BK3" s="8"/>
    </row>
    <row r="4" spans="2:63" x14ac:dyDescent="0.55000000000000004">
      <c r="B4" s="75" t="s">
        <v>171</v>
      </c>
      <c r="C4" s="91" t="s">
        <v>11</v>
      </c>
      <c r="D4" s="91" t="s">
        <v>12</v>
      </c>
      <c r="E4" s="91" t="s">
        <v>13</v>
      </c>
      <c r="F4" s="91" t="s">
        <v>14</v>
      </c>
      <c r="G4" s="91" t="s">
        <v>15</v>
      </c>
      <c r="H4" s="91" t="s">
        <v>16</v>
      </c>
      <c r="I4" s="91" t="s">
        <v>17</v>
      </c>
      <c r="J4" s="91" t="s">
        <v>18</v>
      </c>
      <c r="K4" s="91" t="s">
        <v>19</v>
      </c>
      <c r="L4" s="91" t="s">
        <v>20</v>
      </c>
      <c r="M4" s="91" t="s">
        <v>21</v>
      </c>
      <c r="N4" s="91" t="s">
        <v>22</v>
      </c>
      <c r="O4" s="91" t="s">
        <v>1718</v>
      </c>
      <c r="P4" s="91" t="s">
        <v>1717</v>
      </c>
      <c r="Q4" s="91" t="s">
        <v>1716</v>
      </c>
      <c r="R4" s="91" t="s">
        <v>878</v>
      </c>
      <c r="S4" s="91" t="s">
        <v>1089</v>
      </c>
      <c r="T4" s="91" t="s">
        <v>1162</v>
      </c>
      <c r="U4" s="91" t="s">
        <v>1516</v>
      </c>
      <c r="V4" s="91" t="s">
        <v>1759</v>
      </c>
      <c r="W4" s="91" t="s">
        <v>1873</v>
      </c>
      <c r="X4" s="91" t="s">
        <v>2138</v>
      </c>
      <c r="Y4" s="91" t="s">
        <v>2340</v>
      </c>
      <c r="Z4" s="91" t="s">
        <v>2510</v>
      </c>
      <c r="AA4" s="91" t="s">
        <v>2657</v>
      </c>
      <c r="AB4" s="91" t="s">
        <v>2736</v>
      </c>
      <c r="AC4" s="91" t="s">
        <v>2938</v>
      </c>
      <c r="AD4" s="91" t="s">
        <v>3265</v>
      </c>
      <c r="AE4" s="91" t="s">
        <v>2334</v>
      </c>
      <c r="AF4" s="91" t="s">
        <v>2335</v>
      </c>
      <c r="AG4" s="91" t="s">
        <v>2336</v>
      </c>
      <c r="AH4" s="91" t="s">
        <v>2337</v>
      </c>
      <c r="AI4" s="311" t="s">
        <v>2547</v>
      </c>
      <c r="AJ4" s="311" t="s">
        <v>2548</v>
      </c>
      <c r="AK4" s="311" t="s">
        <v>2549</v>
      </c>
      <c r="AL4" s="311" t="s">
        <v>2550</v>
      </c>
      <c r="AM4" s="64"/>
      <c r="AN4" s="64"/>
      <c r="AQ4" s="64" t="str">
        <f t="shared" ref="AQ4:BF4" si="0">O4</f>
        <v>1Q 20</v>
      </c>
      <c r="AR4" s="64" t="str">
        <f t="shared" si="0"/>
        <v>2Q 20</v>
      </c>
      <c r="AS4" s="64" t="str">
        <f t="shared" si="0"/>
        <v>3Q 20</v>
      </c>
      <c r="AT4" s="64" t="str">
        <f t="shared" si="0"/>
        <v>4Q 20</v>
      </c>
      <c r="AU4" s="64" t="str">
        <f t="shared" si="0"/>
        <v>1Q 21</v>
      </c>
      <c r="AV4" s="64" t="str">
        <f t="shared" si="0"/>
        <v>2Q 21</v>
      </c>
      <c r="AW4" s="64" t="str">
        <f t="shared" si="0"/>
        <v>3Q 21</v>
      </c>
      <c r="AX4" s="64" t="str">
        <f t="shared" si="0"/>
        <v>4Q 21</v>
      </c>
      <c r="AY4" s="64" t="str">
        <f t="shared" si="0"/>
        <v>1Q 22</v>
      </c>
      <c r="AZ4" s="64" t="str">
        <f t="shared" si="0"/>
        <v>2Q 22</v>
      </c>
      <c r="BA4" s="64" t="str">
        <f t="shared" si="0"/>
        <v>3Q 22</v>
      </c>
      <c r="BB4" s="64" t="str">
        <f t="shared" si="0"/>
        <v>4Q 22</v>
      </c>
      <c r="BC4" s="64" t="str">
        <f t="shared" si="0"/>
        <v>1Q 23</v>
      </c>
      <c r="BD4" s="64" t="str">
        <f t="shared" si="0"/>
        <v>2Q 23</v>
      </c>
      <c r="BE4" s="64" t="str">
        <f t="shared" si="0"/>
        <v>3Q 23</v>
      </c>
      <c r="BF4" s="64" t="str">
        <f t="shared" si="0"/>
        <v>4Q 23</v>
      </c>
      <c r="BG4" s="64" t="str">
        <f>AE4</f>
        <v>1Q 24E</v>
      </c>
      <c r="BH4" s="64" t="str">
        <f>AF4</f>
        <v>2Q 24E</v>
      </c>
      <c r="BI4" s="64" t="str">
        <f>AG4</f>
        <v>3Q 24E</v>
      </c>
      <c r="BJ4" s="64" t="str">
        <f>AH4</f>
        <v>4Q 24E</v>
      </c>
      <c r="BK4" s="64"/>
    </row>
    <row r="5" spans="2:63" x14ac:dyDescent="0.55000000000000004">
      <c r="B5" s="65" t="s">
        <v>172</v>
      </c>
      <c r="C5" s="62">
        <v>190.42500000000001</v>
      </c>
      <c r="D5" s="62">
        <v>256.39500000000004</v>
      </c>
      <c r="E5" s="62">
        <v>344.39500000000004</v>
      </c>
      <c r="F5" s="62">
        <v>433.04600000000005</v>
      </c>
      <c r="G5" s="62">
        <v>442.84799999999996</v>
      </c>
      <c r="H5" s="62">
        <v>515.24900000000002</v>
      </c>
      <c r="I5" s="62">
        <v>598.93200000000002</v>
      </c>
      <c r="J5" s="62">
        <v>710.07399999999984</v>
      </c>
      <c r="K5" s="72">
        <v>712.99574367199989</v>
      </c>
      <c r="L5" s="72">
        <v>798.94912652799997</v>
      </c>
      <c r="M5" s="72">
        <v>879.27266424000004</v>
      </c>
      <c r="N5" s="72">
        <v>984.76912533000041</v>
      </c>
      <c r="O5" s="72">
        <v>966.80439607999995</v>
      </c>
      <c r="P5" s="72">
        <v>856.46195540999997</v>
      </c>
      <c r="Q5" s="72">
        <v>1211.9705374</v>
      </c>
      <c r="R5" s="72">
        <v>1473.5</v>
      </c>
      <c r="S5" s="72">
        <v>1385</v>
      </c>
      <c r="T5" s="72">
        <v>1548.1</v>
      </c>
      <c r="U5" s="72">
        <v>1792.2</v>
      </c>
      <c r="V5" s="72">
        <v>2056.1999999999998</v>
      </c>
      <c r="W5" s="72">
        <v>2054</v>
      </c>
      <c r="X5" s="404">
        <v>2255.6869999999999</v>
      </c>
      <c r="Y5" s="404">
        <v>2292</v>
      </c>
      <c r="Z5" s="72">
        <v>2304</v>
      </c>
      <c r="AA5" s="72">
        <v>2151</v>
      </c>
      <c r="AB5" s="72">
        <v>2166</v>
      </c>
      <c r="AC5" s="72">
        <v>2269</v>
      </c>
      <c r="AD5" s="72">
        <v>2441</v>
      </c>
      <c r="AE5" s="72">
        <f>AE21-AE19-AE10-AE7</f>
        <v>2197.3999999999996</v>
      </c>
      <c r="AF5" s="72">
        <f>AF21-AF19-AF10-AF7</f>
        <v>2254.6000000000004</v>
      </c>
      <c r="AG5" s="72">
        <f>AG21-AG19-AG10-AG7</f>
        <v>2475.1999999999998</v>
      </c>
      <c r="AH5" s="72">
        <f>Master!L7-AE5-AF5-AG5</f>
        <v>2871.8980977888887</v>
      </c>
      <c r="AI5" s="72"/>
      <c r="AJ5" s="72"/>
      <c r="AK5" s="72"/>
      <c r="AL5" s="72"/>
      <c r="AM5" s="72"/>
      <c r="AN5" s="62"/>
      <c r="AQ5" s="2">
        <f t="shared" ref="AQ5:BJ5" si="1">O5/K5-1</f>
        <v>0.3559749895572446</v>
      </c>
      <c r="AR5" s="2">
        <f t="shared" si="1"/>
        <v>7.1985595793732093E-2</v>
      </c>
      <c r="AS5" s="2">
        <f t="shared" si="1"/>
        <v>0.37837850156250186</v>
      </c>
      <c r="AT5" s="2">
        <f t="shared" si="1"/>
        <v>0.49628980245113175</v>
      </c>
      <c r="AU5" s="2">
        <f t="shared" si="1"/>
        <v>0.43255451218014085</v>
      </c>
      <c r="AV5" s="2">
        <f t="shared" si="1"/>
        <v>0.80755255994868258</v>
      </c>
      <c r="AW5" s="2">
        <f t="shared" si="1"/>
        <v>0.47874881830440108</v>
      </c>
      <c r="AX5" s="2">
        <f t="shared" si="1"/>
        <v>0.39545300305395314</v>
      </c>
      <c r="AY5" s="2">
        <f t="shared" si="1"/>
        <v>0.48303249097472922</v>
      </c>
      <c r="AZ5" s="2">
        <f t="shared" si="1"/>
        <v>0.45706801886183057</v>
      </c>
      <c r="BA5" s="2">
        <f t="shared" si="1"/>
        <v>0.27887512554402405</v>
      </c>
      <c r="BB5" s="2">
        <f t="shared" si="1"/>
        <v>0.12051356871899621</v>
      </c>
      <c r="BC5" s="2">
        <f t="shared" si="1"/>
        <v>4.7224926971762393E-2</v>
      </c>
      <c r="BD5" s="2">
        <f t="shared" si="1"/>
        <v>-3.976039228846906E-2</v>
      </c>
      <c r="BE5" s="2">
        <f t="shared" si="1"/>
        <v>-1.0034904013961565E-2</v>
      </c>
      <c r="BF5" s="2">
        <f t="shared" si="1"/>
        <v>5.946180555555558E-2</v>
      </c>
      <c r="BG5" s="2">
        <f t="shared" si="1"/>
        <v>2.1571362157136065E-2</v>
      </c>
      <c r="BH5" s="2">
        <f t="shared" si="1"/>
        <v>4.090489381348128E-2</v>
      </c>
      <c r="BI5" s="2">
        <f t="shared" si="1"/>
        <v>9.0877038342882299E-2</v>
      </c>
      <c r="BJ5" s="2">
        <f t="shared" si="1"/>
        <v>0.17652523465337522</v>
      </c>
      <c r="BK5" s="2"/>
    </row>
    <row r="6" spans="2:63" x14ac:dyDescent="0.55000000000000004">
      <c r="B6" s="65" t="s">
        <v>173</v>
      </c>
      <c r="C6" s="62">
        <v>118.438</v>
      </c>
      <c r="D6" s="62">
        <v>125.64200000000001</v>
      </c>
      <c r="E6" s="62">
        <v>117.43899999999999</v>
      </c>
      <c r="F6" s="62">
        <v>110.405</v>
      </c>
      <c r="G6" s="62">
        <v>93.98599999999999</v>
      </c>
      <c r="H6" s="62">
        <v>89.408999999999992</v>
      </c>
      <c r="I6" s="62">
        <v>94.641000000000005</v>
      </c>
      <c r="J6" s="62">
        <v>96.575999999999965</v>
      </c>
      <c r="K6" s="72">
        <v>67.58857574000001</v>
      </c>
      <c r="L6" s="72">
        <v>63.453490519999988</v>
      </c>
      <c r="M6" s="72">
        <v>14.93900524</v>
      </c>
      <c r="N6" s="72">
        <v>28.24393121</v>
      </c>
      <c r="O6" s="72">
        <v>0</v>
      </c>
      <c r="P6" s="72">
        <v>0</v>
      </c>
      <c r="Q6" s="72">
        <v>0</v>
      </c>
      <c r="R6" s="72">
        <v>0</v>
      </c>
      <c r="S6" s="72">
        <v>0</v>
      </c>
      <c r="T6" s="72">
        <v>0</v>
      </c>
      <c r="U6" s="72">
        <v>0</v>
      </c>
      <c r="V6" s="72">
        <v>0</v>
      </c>
      <c r="W6" s="72">
        <v>0</v>
      </c>
      <c r="X6" s="404">
        <v>0</v>
      </c>
      <c r="Y6" s="404"/>
      <c r="Z6" s="72"/>
      <c r="AA6" s="72"/>
      <c r="AB6" s="72"/>
      <c r="AC6" s="72"/>
      <c r="AD6" s="72"/>
      <c r="AE6" s="105">
        <v>0</v>
      </c>
      <c r="AF6" s="105">
        <v>0</v>
      </c>
      <c r="AG6" s="105">
        <v>0</v>
      </c>
      <c r="AH6" s="105">
        <v>0</v>
      </c>
      <c r="AI6" s="105"/>
      <c r="AJ6" s="105"/>
      <c r="AK6" s="105"/>
      <c r="AL6" s="105"/>
      <c r="AM6" s="105"/>
      <c r="AN6" s="66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</row>
    <row r="7" spans="2:63" x14ac:dyDescent="0.55000000000000004">
      <c r="B7" s="65" t="s">
        <v>174</v>
      </c>
      <c r="C7" s="62">
        <v>138.809</v>
      </c>
      <c r="D7" s="62">
        <v>172.626</v>
      </c>
      <c r="E7" s="62">
        <v>224.23100000000002</v>
      </c>
      <c r="F7" s="62">
        <v>282.95799999999997</v>
      </c>
      <c r="G7" s="62">
        <v>274.83799999999997</v>
      </c>
      <c r="H7" s="62">
        <v>332.59499999999997</v>
      </c>
      <c r="I7" s="62">
        <v>387.26400000000001</v>
      </c>
      <c r="J7" s="62">
        <v>419.83500000000004</v>
      </c>
      <c r="K7" s="72">
        <v>430.50404343000002</v>
      </c>
      <c r="L7" s="72">
        <v>497.16793589999997</v>
      </c>
      <c r="M7" s="72">
        <v>537.92215770999996</v>
      </c>
      <c r="N7" s="72">
        <v>565.00890767000033</v>
      </c>
      <c r="O7" s="72">
        <v>562.26808699999992</v>
      </c>
      <c r="P7" s="72">
        <v>459.24682897999998</v>
      </c>
      <c r="Q7" s="72">
        <v>544.75552987000003</v>
      </c>
      <c r="R7" s="72">
        <v>611.1</v>
      </c>
      <c r="S7" s="72">
        <v>657</v>
      </c>
      <c r="T7" s="72">
        <v>786.6</v>
      </c>
      <c r="U7" s="72">
        <v>937.7</v>
      </c>
      <c r="V7" s="72">
        <v>1133.0999999999999</v>
      </c>
      <c r="W7" s="72">
        <v>1331</v>
      </c>
      <c r="X7" s="404">
        <v>1610.1020000000001</v>
      </c>
      <c r="Y7" s="404">
        <v>1697</v>
      </c>
      <c r="Z7" s="72">
        <v>1615</v>
      </c>
      <c r="AA7" s="72">
        <v>1534</v>
      </c>
      <c r="AB7" s="72">
        <v>1595</v>
      </c>
      <c r="AC7" s="72">
        <v>1691</v>
      </c>
      <c r="AD7" s="72">
        <v>1833</v>
      </c>
      <c r="AE7" s="105">
        <v>1800</v>
      </c>
      <c r="AF7" s="105">
        <v>1825</v>
      </c>
      <c r="AG7" s="105">
        <v>1875</v>
      </c>
      <c r="AH7" s="72">
        <f>Master!L10-AE7-AF7-AG7</f>
        <v>1892.6844855787203</v>
      </c>
      <c r="AI7" s="72"/>
      <c r="AJ7" s="72"/>
      <c r="AK7" s="72"/>
      <c r="AL7" s="72"/>
      <c r="AM7" s="72"/>
      <c r="AN7" s="62"/>
      <c r="AQ7" s="2">
        <f t="shared" ref="AQ7:AZ10" si="2">O7/K7-1</f>
        <v>0.30606923577344913</v>
      </c>
      <c r="AR7" s="2">
        <f t="shared" si="2"/>
        <v>-7.6274240918922431E-2</v>
      </c>
      <c r="AS7" s="2">
        <f t="shared" si="2"/>
        <v>1.2703273256284175E-2</v>
      </c>
      <c r="AT7" s="2">
        <f t="shared" si="2"/>
        <v>8.1575868458554801E-2</v>
      </c>
      <c r="AU7" s="2">
        <f t="shared" si="2"/>
        <v>0.16848175308231594</v>
      </c>
      <c r="AV7" s="2">
        <f t="shared" si="2"/>
        <v>0.71280442316185511</v>
      </c>
      <c r="AW7" s="2">
        <f t="shared" si="2"/>
        <v>0.72132259074776517</v>
      </c>
      <c r="AX7" s="2">
        <f t="shared" si="2"/>
        <v>0.85419734904270972</v>
      </c>
      <c r="AY7" s="2">
        <f t="shared" si="2"/>
        <v>1.025875190258752</v>
      </c>
      <c r="AZ7" s="2">
        <f t="shared" si="2"/>
        <v>1.0469132977370963</v>
      </c>
      <c r="BA7" s="2">
        <f t="shared" ref="BA7:BJ10" si="3">Y7/U7-1</f>
        <v>0.80974725391916391</v>
      </c>
      <c r="BB7" s="2">
        <f t="shared" si="3"/>
        <v>0.4252934427676287</v>
      </c>
      <c r="BC7" s="2">
        <f t="shared" si="3"/>
        <v>0.15251690458302036</v>
      </c>
      <c r="BD7" s="2">
        <f t="shared" si="3"/>
        <v>-9.3795299925097941E-3</v>
      </c>
      <c r="BE7" s="2">
        <f t="shared" si="3"/>
        <v>-3.5356511490866049E-3</v>
      </c>
      <c r="BF7" s="2">
        <f t="shared" si="3"/>
        <v>0.1349845201238391</v>
      </c>
      <c r="BG7" s="2">
        <f t="shared" si="3"/>
        <v>0.17340286831812257</v>
      </c>
      <c r="BH7" s="2">
        <f t="shared" si="3"/>
        <v>0.14420062695924774</v>
      </c>
      <c r="BI7" s="2">
        <f t="shared" si="3"/>
        <v>0.10881135422826738</v>
      </c>
      <c r="BJ7" s="2">
        <f t="shared" si="3"/>
        <v>3.2561094150965753E-2</v>
      </c>
      <c r="BK7" s="2"/>
    </row>
    <row r="8" spans="2:63" x14ac:dyDescent="0.55000000000000004">
      <c r="B8" s="353" t="s">
        <v>175</v>
      </c>
      <c r="C8" s="94">
        <v>0.83599999999999997</v>
      </c>
      <c r="D8" s="94">
        <v>2.528</v>
      </c>
      <c r="E8" s="94">
        <v>0.57199999999999995</v>
      </c>
      <c r="F8" s="94">
        <v>4.6400000000000006</v>
      </c>
      <c r="G8" s="94">
        <v>116.36</v>
      </c>
      <c r="H8" s="94">
        <v>64.531999999999996</v>
      </c>
      <c r="I8" s="94">
        <v>56.503999999999998</v>
      </c>
      <c r="J8" s="94">
        <v>41.049000000000007</v>
      </c>
      <c r="K8" s="74">
        <v>40.247717629999997</v>
      </c>
      <c r="L8" s="74">
        <v>30.176454269999986</v>
      </c>
      <c r="M8" s="74">
        <v>30.833163150000004</v>
      </c>
      <c r="N8" s="74">
        <v>25.146542860000046</v>
      </c>
      <c r="O8" s="74">
        <v>58.22275693000001</v>
      </c>
      <c r="P8" s="74">
        <v>41.73529061</v>
      </c>
      <c r="Q8" s="74">
        <v>24.747167540000003</v>
      </c>
      <c r="R8" s="74">
        <v>3.9</v>
      </c>
      <c r="S8" s="74">
        <v>25.2</v>
      </c>
      <c r="T8" s="74">
        <v>34.9</v>
      </c>
      <c r="U8" s="74">
        <v>45.9</v>
      </c>
      <c r="V8" s="74">
        <f>V9-V5-V6-V7</f>
        <v>46.900000000000091</v>
      </c>
      <c r="W8" s="74">
        <f>W9-W5-W6-W7</f>
        <v>42</v>
      </c>
      <c r="X8" s="74">
        <f>X9-X5-X6-X7</f>
        <v>44.769000000000005</v>
      </c>
      <c r="Y8" s="74">
        <f>Y9-Y5-Y6-Y7</f>
        <v>46</v>
      </c>
      <c r="Z8" s="74">
        <v>43</v>
      </c>
      <c r="AA8" s="74">
        <v>65</v>
      </c>
      <c r="AB8" s="74">
        <f>AB9-AB5-AB7</f>
        <v>65</v>
      </c>
      <c r="AC8" s="74">
        <v>66</v>
      </c>
      <c r="AD8" s="74">
        <f>AD9-AD5-AD7</f>
        <v>73</v>
      </c>
      <c r="AE8" s="350">
        <v>40</v>
      </c>
      <c r="AF8" s="350">
        <v>40</v>
      </c>
      <c r="AG8" s="350">
        <v>40</v>
      </c>
      <c r="AH8" s="74">
        <f>Master!L11-AE8-AF8-AG8</f>
        <v>122.1</v>
      </c>
      <c r="AI8" s="72"/>
      <c r="AJ8" s="72"/>
      <c r="AK8" s="72"/>
      <c r="AL8" s="72"/>
      <c r="AM8" s="72"/>
      <c r="AN8" s="62"/>
      <c r="AQ8" s="2">
        <f t="shared" si="2"/>
        <v>0.44661015228852907</v>
      </c>
      <c r="AR8" s="2">
        <f t="shared" si="2"/>
        <v>0.38304156732857986</v>
      </c>
      <c r="AS8" s="2">
        <f t="shared" si="2"/>
        <v>-0.19738473086242536</v>
      </c>
      <c r="AT8" s="2">
        <f t="shared" si="2"/>
        <v>-0.84490909857022023</v>
      </c>
      <c r="AU8" s="2">
        <f t="shared" si="2"/>
        <v>-0.56717954750412414</v>
      </c>
      <c r="AV8" s="2">
        <f t="shared" si="2"/>
        <v>-0.16377723768292696</v>
      </c>
      <c r="AW8" s="2">
        <f t="shared" si="2"/>
        <v>0.85475771826451186</v>
      </c>
      <c r="AX8" s="2">
        <f t="shared" si="2"/>
        <v>11.025641025641049</v>
      </c>
      <c r="AY8" s="2">
        <f t="shared" si="2"/>
        <v>0.66666666666666674</v>
      </c>
      <c r="AZ8" s="2">
        <f t="shared" si="2"/>
        <v>0.28277936962750738</v>
      </c>
      <c r="BA8" s="2">
        <f t="shared" si="3"/>
        <v>2.1786492374729072E-3</v>
      </c>
      <c r="BB8" s="2">
        <f t="shared" si="3"/>
        <v>-8.3155650319831187E-2</v>
      </c>
      <c r="BC8" s="2">
        <f t="shared" si="3"/>
        <v>0.54761904761904767</v>
      </c>
      <c r="BD8" s="2">
        <f t="shared" si="3"/>
        <v>0.45189751837208769</v>
      </c>
      <c r="BE8" s="2">
        <f t="shared" si="3"/>
        <v>0.43478260869565211</v>
      </c>
      <c r="BF8" s="2">
        <f t="shared" si="3"/>
        <v>0.69767441860465107</v>
      </c>
      <c r="BG8" s="2">
        <f t="shared" si="3"/>
        <v>-0.38461538461538458</v>
      </c>
      <c r="BH8" s="2">
        <f t="shared" si="3"/>
        <v>-0.38461538461538458</v>
      </c>
      <c r="BI8" s="2">
        <f t="shared" si="3"/>
        <v>-0.39393939393939392</v>
      </c>
      <c r="BJ8" s="2">
        <f t="shared" si="3"/>
        <v>0.67260273972602724</v>
      </c>
      <c r="BK8" s="2"/>
    </row>
    <row r="9" spans="2:63" x14ac:dyDescent="0.55000000000000004">
      <c r="B9" s="63" t="s">
        <v>176</v>
      </c>
      <c r="C9" s="67">
        <v>448.50800000000004</v>
      </c>
      <c r="D9" s="67">
        <v>557.19100000000003</v>
      </c>
      <c r="E9" s="67">
        <v>686.63700000000006</v>
      </c>
      <c r="F9" s="67">
        <v>831.04899999999998</v>
      </c>
      <c r="G9" s="67">
        <v>928.03199999999993</v>
      </c>
      <c r="H9" s="67">
        <v>1001.785</v>
      </c>
      <c r="I9" s="67">
        <v>1137.3409999999999</v>
      </c>
      <c r="J9" s="67">
        <v>1267.5339999999999</v>
      </c>
      <c r="K9" s="73">
        <v>1251.3360804719998</v>
      </c>
      <c r="L9" s="73">
        <v>1389.7470072179999</v>
      </c>
      <c r="M9" s="73">
        <v>1462.9669903399999</v>
      </c>
      <c r="N9" s="73">
        <v>1603.1685070700007</v>
      </c>
      <c r="O9" s="73">
        <v>1587.29524001</v>
      </c>
      <c r="P9" s="73">
        <v>1357.4440749999999</v>
      </c>
      <c r="Q9" s="73">
        <v>1781.4732348099999</v>
      </c>
      <c r="R9" s="73">
        <f>SUM(R5:R8)</f>
        <v>2088.5</v>
      </c>
      <c r="S9" s="73">
        <v>2067.1999999999998</v>
      </c>
      <c r="T9" s="73">
        <v>2369.6</v>
      </c>
      <c r="U9" s="73">
        <f>SUM(U5:U8)</f>
        <v>2775.8</v>
      </c>
      <c r="V9" s="73">
        <v>3236.2</v>
      </c>
      <c r="W9" s="73">
        <v>3427</v>
      </c>
      <c r="X9" s="477">
        <v>3910.558</v>
      </c>
      <c r="Y9" s="477">
        <v>4035</v>
      </c>
      <c r="Z9" s="73">
        <v>3962</v>
      </c>
      <c r="AA9" s="73">
        <v>3750</v>
      </c>
      <c r="AB9" s="73">
        <v>3826</v>
      </c>
      <c r="AC9" s="73">
        <v>4026</v>
      </c>
      <c r="AD9" s="73">
        <v>4347</v>
      </c>
      <c r="AE9" s="73">
        <f>SUM(AE5:AE8)</f>
        <v>4037.3999999999996</v>
      </c>
      <c r="AF9" s="73">
        <f>SUM(AF5:AF8)</f>
        <v>4119.6000000000004</v>
      </c>
      <c r="AG9" s="73">
        <f>SUM(AG5:AG8)</f>
        <v>4390.2</v>
      </c>
      <c r="AH9" s="73">
        <f>SUM(AH5:AH8)</f>
        <v>4886.6825833676094</v>
      </c>
      <c r="AI9" s="62"/>
      <c r="AJ9" s="73"/>
      <c r="AK9" s="73"/>
      <c r="AL9" s="73"/>
      <c r="AM9" s="73"/>
      <c r="AN9" s="67"/>
      <c r="AP9" s="41"/>
      <c r="AQ9" s="41">
        <f t="shared" si="2"/>
        <v>0.26848035853907248</v>
      </c>
      <c r="AR9" s="41">
        <f t="shared" si="2"/>
        <v>-2.3243750157565857E-2</v>
      </c>
      <c r="AS9" s="41">
        <f t="shared" si="2"/>
        <v>0.21771252979260836</v>
      </c>
      <c r="AT9" s="41">
        <f t="shared" si="2"/>
        <v>0.30273267644023627</v>
      </c>
      <c r="AU9" s="41">
        <f t="shared" si="2"/>
        <v>0.30234120779381679</v>
      </c>
      <c r="AV9" s="41">
        <f t="shared" si="2"/>
        <v>0.7456336092520055</v>
      </c>
      <c r="AW9" s="41">
        <f t="shared" si="2"/>
        <v>0.5581485849805925</v>
      </c>
      <c r="AX9" s="41">
        <f t="shared" si="2"/>
        <v>0.54953315776873346</v>
      </c>
      <c r="AY9" s="41">
        <f t="shared" si="2"/>
        <v>0.65779798761609931</v>
      </c>
      <c r="AZ9" s="41">
        <f t="shared" si="2"/>
        <v>0.65030300472653613</v>
      </c>
      <c r="BA9" s="41">
        <f t="shared" si="3"/>
        <v>0.45363498811153535</v>
      </c>
      <c r="BB9" s="41">
        <f t="shared" si="3"/>
        <v>0.22427538471046304</v>
      </c>
      <c r="BC9" s="41">
        <f t="shared" si="3"/>
        <v>9.425153195214464E-2</v>
      </c>
      <c r="BD9" s="41">
        <f t="shared" si="3"/>
        <v>-2.1623001116464757E-2</v>
      </c>
      <c r="BE9" s="41">
        <f t="shared" si="3"/>
        <v>-2.2304832713754275E-3</v>
      </c>
      <c r="BF9" s="41">
        <f t="shared" si="3"/>
        <v>9.7173144876325113E-2</v>
      </c>
      <c r="BG9" s="41">
        <f t="shared" si="3"/>
        <v>7.6639999999999819E-2</v>
      </c>
      <c r="BH9" s="41">
        <f t="shared" si="3"/>
        <v>7.67381076842657E-2</v>
      </c>
      <c r="BI9" s="41">
        <f t="shared" si="3"/>
        <v>9.0461997019374074E-2</v>
      </c>
      <c r="BJ9" s="41">
        <f t="shared" si="3"/>
        <v>0.12415058278527935</v>
      </c>
      <c r="BK9" s="41"/>
    </row>
    <row r="10" spans="2:63" x14ac:dyDescent="0.55000000000000004">
      <c r="B10" s="65" t="s">
        <v>177</v>
      </c>
      <c r="C10" s="62">
        <v>-90.561301520000015</v>
      </c>
      <c r="D10" s="62">
        <v>-121.69771897000001</v>
      </c>
      <c r="E10" s="62">
        <v>-161.48711366000003</v>
      </c>
      <c r="F10" s="62">
        <v>-213.56948463000003</v>
      </c>
      <c r="G10" s="62">
        <v>-226.46537230000001</v>
      </c>
      <c r="H10" s="62">
        <v>-265.68257070000004</v>
      </c>
      <c r="I10" s="62">
        <v>-309.72155623999998</v>
      </c>
      <c r="J10" s="62">
        <v>-360.87286975000001</v>
      </c>
      <c r="K10" s="72">
        <v>-354.03634832000006</v>
      </c>
      <c r="L10" s="72">
        <v>-399.81202991000009</v>
      </c>
      <c r="M10" s="72">
        <v>-436.95274562999998</v>
      </c>
      <c r="N10" s="72">
        <v>-492.42777464999989</v>
      </c>
      <c r="O10" s="72">
        <v>-432.66913863999997</v>
      </c>
      <c r="P10" s="72">
        <v>-419.30907050999997</v>
      </c>
      <c r="Q10" s="72">
        <v>-597.68101764000005</v>
      </c>
      <c r="R10" s="72">
        <v>-668.18102446</v>
      </c>
      <c r="S10" s="72">
        <f t="shared" ref="S10:X10" si="4">S11+S12</f>
        <v>-705.7</v>
      </c>
      <c r="T10" s="72">
        <f t="shared" si="4"/>
        <v>-828.1</v>
      </c>
      <c r="U10" s="72">
        <f t="shared" si="4"/>
        <v>-985</v>
      </c>
      <c r="V10" s="72">
        <f t="shared" si="4"/>
        <v>-1178</v>
      </c>
      <c r="W10" s="72">
        <f t="shared" si="4"/>
        <v>-1230</v>
      </c>
      <c r="X10" s="72">
        <f t="shared" si="4"/>
        <v>-1365</v>
      </c>
      <c r="Y10" s="72">
        <f>Y11+Y12</f>
        <v>-1379</v>
      </c>
      <c r="Z10" s="72">
        <v>-1412</v>
      </c>
      <c r="AA10" s="72">
        <f>AA11+AA12</f>
        <v>-1338.17849682</v>
      </c>
      <c r="AB10" s="72">
        <f>AB11+AB12</f>
        <v>-1357.0185106399999</v>
      </c>
      <c r="AC10" s="72">
        <f>AC11+AC12</f>
        <v>-1449.9760000000001</v>
      </c>
      <c r="AD10" s="72">
        <f>AD11+AD12</f>
        <v>-1629.49450424</v>
      </c>
      <c r="AE10" s="72">
        <f>AE163*AE16</f>
        <v>-1497.6</v>
      </c>
      <c r="AF10" s="72">
        <f>AF163*AF16</f>
        <v>-1540.8</v>
      </c>
      <c r="AG10" s="72">
        <f>AG163*AG16</f>
        <v>-1670.3999999999999</v>
      </c>
      <c r="AH10" s="72">
        <f>-Master!L22-AE10-AF10-AG10</f>
        <v>-1889.4580308440661</v>
      </c>
      <c r="AI10" s="72"/>
      <c r="AJ10" s="72"/>
      <c r="AK10" s="72"/>
      <c r="AL10" s="72"/>
      <c r="AM10" s="72"/>
      <c r="AN10" s="62"/>
      <c r="AQ10" s="2">
        <f t="shared" si="2"/>
        <v>0.222103720968579</v>
      </c>
      <c r="AR10" s="2">
        <f t="shared" si="2"/>
        <v>4.8765517646852219E-2</v>
      </c>
      <c r="AS10" s="2">
        <f t="shared" si="2"/>
        <v>0.36783902519770528</v>
      </c>
      <c r="AT10" s="2">
        <f t="shared" si="2"/>
        <v>0.35691173174567425</v>
      </c>
      <c r="AU10" s="2">
        <f t="shared" si="2"/>
        <v>0.63103844711044643</v>
      </c>
      <c r="AV10" s="2">
        <f t="shared" si="2"/>
        <v>0.97491554139955316</v>
      </c>
      <c r="AW10" s="2">
        <f t="shared" si="2"/>
        <v>0.64803627843053402</v>
      </c>
      <c r="AX10" s="2">
        <f t="shared" si="2"/>
        <v>0.7629952915110354</v>
      </c>
      <c r="AY10" s="2">
        <f t="shared" si="2"/>
        <v>0.74295026215105553</v>
      </c>
      <c r="AZ10" s="2">
        <f t="shared" si="2"/>
        <v>0.64835164835164827</v>
      </c>
      <c r="BA10" s="2">
        <f t="shared" si="3"/>
        <v>0.39999999999999991</v>
      </c>
      <c r="BB10" s="2">
        <f t="shared" si="3"/>
        <v>0.19864176570458403</v>
      </c>
      <c r="BC10" s="2">
        <f t="shared" si="3"/>
        <v>8.7949997414634051E-2</v>
      </c>
      <c r="BD10" s="2">
        <f t="shared" si="3"/>
        <v>-5.8472449523809811E-3</v>
      </c>
      <c r="BE10" s="2">
        <f t="shared" si="3"/>
        <v>5.1469180565627326E-2</v>
      </c>
      <c r="BF10" s="2">
        <f t="shared" si="3"/>
        <v>0.15403293501416426</v>
      </c>
      <c r="BG10" s="2">
        <f t="shared" si="3"/>
        <v>0.1191332124666804</v>
      </c>
      <c r="BH10" s="2">
        <f t="shared" si="3"/>
        <v>0.13543034816328681</v>
      </c>
      <c r="BI10" s="2">
        <f t="shared" si="3"/>
        <v>0.15201906790181341</v>
      </c>
      <c r="BJ10" s="2">
        <f t="shared" si="3"/>
        <v>0.15953630155096099</v>
      </c>
      <c r="BK10" s="2"/>
    </row>
    <row r="11" spans="2:63" x14ac:dyDescent="0.55000000000000004">
      <c r="B11" s="277" t="s">
        <v>1095</v>
      </c>
      <c r="C11" s="62"/>
      <c r="D11" s="62"/>
      <c r="E11" s="62"/>
      <c r="F11" s="62"/>
      <c r="G11" s="62"/>
      <c r="H11" s="62"/>
      <c r="I11" s="62"/>
      <c r="J11" s="62"/>
      <c r="K11" s="72"/>
      <c r="L11" s="72"/>
      <c r="M11" s="72"/>
      <c r="N11" s="72"/>
      <c r="O11" s="72">
        <v>-341.3</v>
      </c>
      <c r="P11" s="72"/>
      <c r="Q11" s="72"/>
      <c r="R11" s="72"/>
      <c r="S11" s="72">
        <v>-566.70000000000005</v>
      </c>
      <c r="T11" s="72">
        <v>-676.5</v>
      </c>
      <c r="U11" s="72">
        <v>-820.3</v>
      </c>
      <c r="V11" s="72">
        <v>-980.1</v>
      </c>
      <c r="W11" s="72">
        <v>-1018</v>
      </c>
      <c r="X11" s="404">
        <v>-1144</v>
      </c>
      <c r="Y11" s="404">
        <v>-1159</v>
      </c>
      <c r="Z11" s="72">
        <v>-1183</v>
      </c>
      <c r="AA11" s="72">
        <v>-1115.5152621299999</v>
      </c>
      <c r="AB11" s="72">
        <v>-1125.5372036899998</v>
      </c>
      <c r="AC11" s="72">
        <v>-1205.9480000000001</v>
      </c>
      <c r="AD11" s="72">
        <v>-1358.47350424</v>
      </c>
      <c r="AE11" s="72"/>
      <c r="AF11" s="72"/>
      <c r="AG11" s="72"/>
      <c r="AH11" s="72"/>
      <c r="AI11" s="72"/>
      <c r="AJ11" s="72"/>
      <c r="AK11" s="72"/>
      <c r="AL11" s="72"/>
      <c r="AM11" s="72"/>
      <c r="AN11" s="6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</row>
    <row r="12" spans="2:63" x14ac:dyDescent="0.55000000000000004">
      <c r="B12" s="354" t="s">
        <v>1096</v>
      </c>
      <c r="C12" s="94"/>
      <c r="D12" s="94"/>
      <c r="E12" s="94"/>
      <c r="F12" s="94"/>
      <c r="G12" s="94"/>
      <c r="H12" s="94"/>
      <c r="I12" s="94"/>
      <c r="J12" s="94"/>
      <c r="K12" s="74"/>
      <c r="L12" s="74"/>
      <c r="M12" s="74"/>
      <c r="N12" s="74"/>
      <c r="O12" s="74">
        <v>-91.4</v>
      </c>
      <c r="P12" s="74"/>
      <c r="Q12" s="74"/>
      <c r="R12" s="74"/>
      <c r="S12" s="74">
        <v>-139</v>
      </c>
      <c r="T12" s="74">
        <v>-151.6</v>
      </c>
      <c r="U12" s="74">
        <v>-164.7</v>
      </c>
      <c r="V12" s="74">
        <v>-197.9</v>
      </c>
      <c r="W12" s="74">
        <v>-212</v>
      </c>
      <c r="X12" s="476">
        <v>-221</v>
      </c>
      <c r="Y12" s="476">
        <v>-220</v>
      </c>
      <c r="Z12" s="74">
        <f>Z10-Z11</f>
        <v>-229</v>
      </c>
      <c r="AA12" s="74">
        <v>-222.66323468999997</v>
      </c>
      <c r="AB12" s="74">
        <v>-231.48130695000003</v>
      </c>
      <c r="AC12" s="74">
        <v>-244.02799999999999</v>
      </c>
      <c r="AD12" s="74">
        <v>-271.02100000000002</v>
      </c>
      <c r="AE12" s="74"/>
      <c r="AF12" s="74"/>
      <c r="AG12" s="74"/>
      <c r="AH12" s="74"/>
      <c r="AI12" s="72"/>
      <c r="AN12" s="72"/>
      <c r="AO12" s="72"/>
      <c r="AP12" s="72"/>
      <c r="AQ12" s="7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</row>
    <row r="13" spans="2:63" x14ac:dyDescent="0.55000000000000004">
      <c r="B13" s="63" t="s">
        <v>178</v>
      </c>
      <c r="C13" s="67">
        <v>357.94669848000001</v>
      </c>
      <c r="D13" s="67">
        <v>435.49328103000005</v>
      </c>
      <c r="E13" s="67">
        <v>525.14988633999997</v>
      </c>
      <c r="F13" s="67">
        <v>617.47951536999994</v>
      </c>
      <c r="G13" s="67">
        <v>701.56662769999991</v>
      </c>
      <c r="H13" s="67">
        <v>736.10242929999993</v>
      </c>
      <c r="I13" s="67">
        <v>827.61944375999997</v>
      </c>
      <c r="J13" s="67">
        <v>906.66113024999981</v>
      </c>
      <c r="K13" s="73">
        <v>897.29973215199971</v>
      </c>
      <c r="L13" s="73">
        <v>989.93497730799982</v>
      </c>
      <c r="M13" s="73">
        <v>1026.01424471</v>
      </c>
      <c r="N13" s="73">
        <v>1110.7407324200008</v>
      </c>
      <c r="O13" s="73">
        <v>1154.62610137</v>
      </c>
      <c r="P13" s="73">
        <v>938.13500448999991</v>
      </c>
      <c r="Q13" s="73">
        <v>1183.7922171699997</v>
      </c>
      <c r="R13" s="73">
        <f>R9+R10</f>
        <v>1420.3189755399999</v>
      </c>
      <c r="S13" s="73">
        <f>S9+S10</f>
        <v>1361.4999999999998</v>
      </c>
      <c r="T13" s="73">
        <f>T9+T10</f>
        <v>1541.5</v>
      </c>
      <c r="U13" s="73">
        <f t="shared" ref="U13:AC13" si="5">U9+U10</f>
        <v>1790.8000000000002</v>
      </c>
      <c r="V13" s="73">
        <f t="shared" si="5"/>
        <v>2058.1999999999998</v>
      </c>
      <c r="W13" s="73">
        <f t="shared" si="5"/>
        <v>2197</v>
      </c>
      <c r="X13" s="73">
        <f t="shared" si="5"/>
        <v>2545.558</v>
      </c>
      <c r="Y13" s="73">
        <f t="shared" si="5"/>
        <v>2656</v>
      </c>
      <c r="Z13" s="73">
        <f t="shared" si="5"/>
        <v>2550</v>
      </c>
      <c r="AA13" s="73">
        <f t="shared" si="5"/>
        <v>2411.82150318</v>
      </c>
      <c r="AB13" s="73">
        <f t="shared" si="5"/>
        <v>2468.9814893600001</v>
      </c>
      <c r="AC13" s="73">
        <f t="shared" si="5"/>
        <v>2576.0239999999999</v>
      </c>
      <c r="AD13" s="73">
        <f>AD9+AD10</f>
        <v>2717.50549576</v>
      </c>
      <c r="AE13" s="73">
        <f>AE9+AE10</f>
        <v>2539.7999999999997</v>
      </c>
      <c r="AF13" s="73">
        <f>AF9+AF10</f>
        <v>2578.8000000000002</v>
      </c>
      <c r="AG13" s="73">
        <f>AG9+AG10</f>
        <v>2719.8</v>
      </c>
      <c r="AH13" s="73">
        <f>AH9+AH10</f>
        <v>2997.224552523543</v>
      </c>
      <c r="AI13" s="73"/>
      <c r="AN13" s="582" t="s">
        <v>2897</v>
      </c>
      <c r="AO13" s="73"/>
      <c r="AP13" s="73"/>
      <c r="AQ13" s="73"/>
      <c r="AR13" s="41">
        <f t="shared" ref="AR13:BJ13" si="6">P13/L13-1</f>
        <v>-5.2326641653639983E-2</v>
      </c>
      <c r="AS13" s="41">
        <f t="shared" si="6"/>
        <v>0.15377756524676256</v>
      </c>
      <c r="AT13" s="41">
        <f t="shared" si="6"/>
        <v>0.27871332533696913</v>
      </c>
      <c r="AU13" s="41">
        <f t="shared" si="6"/>
        <v>0.17916960164380269</v>
      </c>
      <c r="AV13" s="41">
        <f t="shared" si="6"/>
        <v>0.64315369602694705</v>
      </c>
      <c r="AW13" s="41">
        <f t="shared" si="6"/>
        <v>0.51276547862523292</v>
      </c>
      <c r="AX13" s="41">
        <f t="shared" si="6"/>
        <v>0.44911110493153839</v>
      </c>
      <c r="AY13" s="41">
        <f t="shared" si="6"/>
        <v>0.613661402864488</v>
      </c>
      <c r="AZ13" s="41">
        <f t="shared" si="6"/>
        <v>0.6513512812195914</v>
      </c>
      <c r="BA13" s="41">
        <f t="shared" si="6"/>
        <v>0.48313602859057392</v>
      </c>
      <c r="BB13" s="41">
        <f t="shared" si="6"/>
        <v>0.23894665241473145</v>
      </c>
      <c r="BC13" s="41">
        <f t="shared" si="6"/>
        <v>9.7779473454711052E-2</v>
      </c>
      <c r="BD13" s="41">
        <f t="shared" si="6"/>
        <v>-3.0082406545048235E-2</v>
      </c>
      <c r="BE13" s="41">
        <f t="shared" si="6"/>
        <v>-3.0111445783132518E-2</v>
      </c>
      <c r="BF13" s="41">
        <f t="shared" si="6"/>
        <v>6.568842970980393E-2</v>
      </c>
      <c r="BG13" s="41">
        <f t="shared" si="6"/>
        <v>5.3063005139998731E-2</v>
      </c>
      <c r="BH13" s="41">
        <f t="shared" si="6"/>
        <v>4.4479276622064523E-2</v>
      </c>
      <c r="BI13" s="41">
        <f t="shared" si="6"/>
        <v>5.5813144598031883E-2</v>
      </c>
      <c r="BJ13" s="41">
        <f t="shared" si="6"/>
        <v>0.10293228742314442</v>
      </c>
      <c r="BK13" s="41"/>
    </row>
    <row r="14" spans="2:63" x14ac:dyDescent="0.55000000000000004">
      <c r="B14" s="63" t="s">
        <v>3032</v>
      </c>
      <c r="C14" s="67"/>
      <c r="D14" s="67"/>
      <c r="E14" s="67"/>
      <c r="F14" s="67"/>
      <c r="G14" s="67"/>
      <c r="H14" s="67"/>
      <c r="I14" s="67"/>
      <c r="J14" s="67"/>
      <c r="K14" s="163"/>
      <c r="L14" s="163"/>
      <c r="M14" s="163"/>
      <c r="N14" s="163"/>
      <c r="O14" s="163"/>
      <c r="P14" s="163"/>
      <c r="Q14" s="163"/>
      <c r="R14" s="163"/>
      <c r="S14" s="163">
        <f t="shared" ref="S14:Z14" si="7">S13/R13-1</f>
        <v>-4.1412511240749517E-2</v>
      </c>
      <c r="T14" s="163">
        <f t="shared" si="7"/>
        <v>0.13220712449504246</v>
      </c>
      <c r="U14" s="163">
        <f t="shared" si="7"/>
        <v>0.16172559195588732</v>
      </c>
      <c r="V14" s="163">
        <f t="shared" si="7"/>
        <v>0.14931874022783087</v>
      </c>
      <c r="W14" s="163">
        <f t="shared" si="7"/>
        <v>6.7437566805947036E-2</v>
      </c>
      <c r="X14" s="163">
        <f t="shared" si="7"/>
        <v>0.15865179790623585</v>
      </c>
      <c r="Y14" s="163">
        <f t="shared" si="7"/>
        <v>4.3386165233713081E-2</v>
      </c>
      <c r="Z14" s="163">
        <f t="shared" si="7"/>
        <v>-3.990963855421692E-2</v>
      </c>
      <c r="AA14" s="163">
        <f t="shared" ref="AA14:AH14" si="8">AA13/Z13-1</f>
        <v>-5.4187645811764718E-2</v>
      </c>
      <c r="AB14" s="163">
        <f t="shared" si="8"/>
        <v>2.3699923939078493E-2</v>
      </c>
      <c r="AC14" s="163">
        <f t="shared" si="8"/>
        <v>4.3354926353760037E-2</v>
      </c>
      <c r="AD14" s="163">
        <f t="shared" si="8"/>
        <v>5.4922429200970235E-2</v>
      </c>
      <c r="AE14" s="163">
        <f t="shared" si="8"/>
        <v>-6.5392874471557172E-2</v>
      </c>
      <c r="AF14" s="163">
        <f t="shared" si="8"/>
        <v>1.5355539806284124E-2</v>
      </c>
      <c r="AG14" s="163">
        <f t="shared" si="8"/>
        <v>5.4676593764541703E-2</v>
      </c>
      <c r="AH14" s="163">
        <f t="shared" si="8"/>
        <v>0.10200182091460497</v>
      </c>
      <c r="AI14" s="163"/>
      <c r="AN14" s="583" t="s">
        <v>2898</v>
      </c>
      <c r="AO14" s="163"/>
      <c r="AP14" s="163"/>
      <c r="AQ14" s="163"/>
      <c r="AR14" s="41"/>
      <c r="AS14" s="41"/>
      <c r="AT14" s="41"/>
      <c r="AU14" s="41"/>
      <c r="AV14" s="41"/>
      <c r="AW14" s="41"/>
      <c r="AX14" s="7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41"/>
    </row>
    <row r="15" spans="2:63" x14ac:dyDescent="0.55000000000000004">
      <c r="B15" s="63"/>
      <c r="C15" s="67"/>
      <c r="D15" s="67"/>
      <c r="E15" s="67"/>
      <c r="F15" s="67"/>
      <c r="G15" s="67"/>
      <c r="H15" s="67"/>
      <c r="I15" s="67"/>
      <c r="J15" s="67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N15" s="583"/>
      <c r="AO15" s="163"/>
      <c r="AP15" s="163"/>
      <c r="AQ15" s="163"/>
      <c r="AR15" s="41"/>
      <c r="AS15" s="41"/>
      <c r="AT15" s="41"/>
      <c r="AU15" s="41"/>
      <c r="AV15" s="41"/>
      <c r="AW15" s="41"/>
      <c r="AX15" s="73"/>
      <c r="AY15" s="73"/>
      <c r="AZ15" s="73"/>
      <c r="BA15" s="73"/>
      <c r="BB15" s="73"/>
      <c r="BC15" s="73"/>
      <c r="BD15" s="73"/>
      <c r="BE15" s="73"/>
      <c r="BF15" s="73"/>
      <c r="BG15" s="41"/>
      <c r="BH15" s="41"/>
      <c r="BI15" s="41"/>
      <c r="BJ15" s="41"/>
      <c r="BK15" s="41"/>
    </row>
    <row r="16" spans="2:63" x14ac:dyDescent="0.55000000000000004">
      <c r="B16" s="71" t="s">
        <v>1801</v>
      </c>
      <c r="C16" s="67"/>
      <c r="D16" s="67"/>
      <c r="E16" s="67"/>
      <c r="F16" s="67"/>
      <c r="G16" s="67"/>
      <c r="H16" s="67"/>
      <c r="I16" s="67"/>
      <c r="J16" s="67"/>
      <c r="K16" s="394">
        <f t="shared" ref="K16:Y16" si="9">K10/K163</f>
        <v>-1.4502002378732953E-2</v>
      </c>
      <c r="L16" s="394">
        <f t="shared" si="9"/>
        <v>-1.4944889034756515E-2</v>
      </c>
      <c r="M16" s="394">
        <f t="shared" si="9"/>
        <v>-1.4870559266837953E-2</v>
      </c>
      <c r="N16" s="394">
        <f t="shared" si="9"/>
        <v>-1.4368447112865227E-2</v>
      </c>
      <c r="O16" s="394">
        <f t="shared" si="9"/>
        <v>-1.36672969510859E-2</v>
      </c>
      <c r="P16" s="394">
        <f t="shared" si="9"/>
        <v>-1.4073406822282595E-2</v>
      </c>
      <c r="Q16" s="394">
        <f t="shared" si="9"/>
        <v>-1.3322875053712137E-2</v>
      </c>
      <c r="R16" s="394">
        <f t="shared" si="9"/>
        <v>-1.2097855039265429E-2</v>
      </c>
      <c r="S16" s="394">
        <f t="shared" si="9"/>
        <v>-1.4105536677993205E-2</v>
      </c>
      <c r="T16" s="394">
        <f t="shared" si="9"/>
        <v>-1.4699565101624212E-2</v>
      </c>
      <c r="U16" s="394">
        <f t="shared" si="9"/>
        <v>-1.4741867652451116E-2</v>
      </c>
      <c r="V16" s="394">
        <f t="shared" si="9"/>
        <v>-1.4930291508238276E-2</v>
      </c>
      <c r="W16" s="394">
        <f t="shared" si="9"/>
        <v>-1.5355805243445693E-2</v>
      </c>
      <c r="X16" s="394">
        <f t="shared" si="9"/>
        <v>-1.5302690582959641E-2</v>
      </c>
      <c r="Y16" s="394">
        <f t="shared" si="9"/>
        <v>-1.5271317829457365E-2</v>
      </c>
      <c r="Z16" s="394">
        <f>Z10/Z$163</f>
        <v>-1.4973488865323436E-2</v>
      </c>
      <c r="AA16" s="394">
        <f>AA10/AA163</f>
        <v>-1.5189313244267876E-2</v>
      </c>
      <c r="AB16" s="394">
        <f>AB10/AB163</f>
        <v>-1.4638818885005393E-2</v>
      </c>
      <c r="AC16" s="394">
        <f>AC10/AC163</f>
        <v>-1.4523578669017189E-2</v>
      </c>
      <c r="AD16" s="394">
        <f>AD10/AD163</f>
        <v>-1.4293811440701755E-2</v>
      </c>
      <c r="AE16" s="395">
        <v>-1.44E-2</v>
      </c>
      <c r="AF16" s="395">
        <v>-1.44E-2</v>
      </c>
      <c r="AG16" s="395">
        <v>-1.44E-2</v>
      </c>
      <c r="AH16" s="394">
        <f>AH10/AH163</f>
        <v>-1.4442505054155636E-2</v>
      </c>
      <c r="AI16" s="394"/>
      <c r="AN16" s="583" t="s">
        <v>2899</v>
      </c>
      <c r="AO16" s="394"/>
      <c r="AP16" s="394"/>
      <c r="AQ16" s="394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</row>
    <row r="17" spans="2:63" x14ac:dyDescent="0.55000000000000004">
      <c r="B17" s="63"/>
      <c r="C17" s="67"/>
      <c r="D17" s="67"/>
      <c r="E17" s="67"/>
      <c r="F17" s="67"/>
      <c r="G17" s="67"/>
      <c r="H17" s="67"/>
      <c r="I17" s="67"/>
      <c r="J17" s="67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69"/>
      <c r="W17" s="394"/>
      <c r="X17" s="394"/>
      <c r="Y17" s="394"/>
      <c r="Z17" s="394"/>
      <c r="AA17" s="394"/>
      <c r="AB17" s="394"/>
      <c r="AC17" s="394"/>
      <c r="AD17" s="394"/>
      <c r="AE17" s="394"/>
      <c r="AF17" s="394"/>
      <c r="AG17" s="394"/>
      <c r="AH17" s="394"/>
      <c r="AI17" s="163"/>
      <c r="AN17" s="583" t="s">
        <v>2900</v>
      </c>
      <c r="AO17" s="583" t="s">
        <v>2901</v>
      </c>
      <c r="AP17" s="163"/>
      <c r="AQ17" s="163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</row>
    <row r="18" spans="2:63" x14ac:dyDescent="0.55000000000000004">
      <c r="B18" s="23" t="s">
        <v>256</v>
      </c>
      <c r="Q18" s="2"/>
      <c r="R18" s="2"/>
      <c r="S18" s="2"/>
      <c r="T18" s="2"/>
      <c r="U18" s="2"/>
      <c r="V18" s="2"/>
      <c r="W18" s="2"/>
      <c r="X18" s="2"/>
      <c r="Y18" s="2"/>
      <c r="Z18" s="394"/>
      <c r="AA18" s="394"/>
      <c r="AB18" s="394"/>
      <c r="AC18" s="394"/>
      <c r="AD18" s="394"/>
      <c r="AE18" s="394"/>
      <c r="AF18" s="394"/>
      <c r="AG18" s="394"/>
      <c r="AH18" s="394"/>
      <c r="AI18" s="2"/>
      <c r="AN18" s="2"/>
      <c r="AO18" s="583" t="s">
        <v>2903</v>
      </c>
      <c r="AP18" s="2"/>
      <c r="AQ18" s="2"/>
    </row>
    <row r="19" spans="2:63" x14ac:dyDescent="0.55000000000000004">
      <c r="B19" s="65" t="s">
        <v>279</v>
      </c>
      <c r="C19" s="62">
        <f>C60</f>
        <v>-14.299865949999983</v>
      </c>
      <c r="D19" s="62">
        <f t="shared" ref="D19:T19" si="10">D60</f>
        <v>-18.734324240000035</v>
      </c>
      <c r="E19" s="62">
        <f t="shared" si="10"/>
        <v>-20.462922019999951</v>
      </c>
      <c r="F19" s="62">
        <f t="shared" si="10"/>
        <v>-20.254588809999916</v>
      </c>
      <c r="G19" s="62">
        <f t="shared" si="10"/>
        <v>-20.695620241195911</v>
      </c>
      <c r="H19" s="62">
        <f t="shared" si="10"/>
        <v>-15.725537861911448</v>
      </c>
      <c r="I19" s="62">
        <f t="shared" si="10"/>
        <v>-16.920890455210213</v>
      </c>
      <c r="J19" s="62">
        <f t="shared" si="10"/>
        <v>-30.395497451682388</v>
      </c>
      <c r="K19" s="62">
        <f t="shared" si="10"/>
        <v>-26.904651679999915</v>
      </c>
      <c r="L19" s="62">
        <f t="shared" si="10"/>
        <v>-32.918970089999959</v>
      </c>
      <c r="M19" s="62">
        <f t="shared" si="10"/>
        <v>-31.076943030000109</v>
      </c>
      <c r="N19" s="62">
        <f t="shared" si="10"/>
        <v>-41.3444829729753</v>
      </c>
      <c r="O19" s="62">
        <f t="shared" si="10"/>
        <v>-123.76529144278589</v>
      </c>
      <c r="P19" s="62">
        <f t="shared" si="10"/>
        <v>-170.111002322064</v>
      </c>
      <c r="Q19" s="62">
        <f t="shared" si="10"/>
        <v>-204.17241107000018</v>
      </c>
      <c r="R19" s="62">
        <f t="shared" si="10"/>
        <v>-157.54724097515043</v>
      </c>
      <c r="S19" s="62">
        <f t="shared" si="10"/>
        <v>-140.19999999999993</v>
      </c>
      <c r="T19" s="62">
        <f t="shared" si="10"/>
        <v>-137</v>
      </c>
      <c r="U19" s="62">
        <f>U60</f>
        <v>-127</v>
      </c>
      <c r="V19" s="62">
        <f>V60</f>
        <v>-220</v>
      </c>
      <c r="W19" s="62">
        <f>W60</f>
        <v>-73</v>
      </c>
      <c r="X19" s="62">
        <f>X60</f>
        <v>-49</v>
      </c>
      <c r="Y19" s="62">
        <f>Y60</f>
        <v>8</v>
      </c>
      <c r="Z19" s="62">
        <v>-66</v>
      </c>
      <c r="AA19" s="62">
        <v>-50.581215213332655</v>
      </c>
      <c r="AB19" s="62">
        <v>-57.210573223765266</v>
      </c>
      <c r="AC19" s="62">
        <v>-58.465026786585014</v>
      </c>
      <c r="AD19" s="62">
        <v>-15.193876174216228</v>
      </c>
      <c r="AE19" s="62">
        <f>AE60</f>
        <v>-35</v>
      </c>
      <c r="AF19" s="62">
        <f>AF60</f>
        <v>-35</v>
      </c>
      <c r="AG19" s="62">
        <f>AG60</f>
        <v>-35</v>
      </c>
      <c r="AH19" s="62">
        <f>AH60</f>
        <v>-70.650000000000006</v>
      </c>
      <c r="AI19" s="62"/>
      <c r="AN19" s="62"/>
      <c r="AO19" s="583" t="s">
        <v>2902</v>
      </c>
      <c r="AP19" s="62"/>
      <c r="AQ19" s="62"/>
    </row>
    <row r="20" spans="2:63" x14ac:dyDescent="0.55000000000000004">
      <c r="B20" s="65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N20" s="583" t="s">
        <v>1570</v>
      </c>
      <c r="AO20" s="583" t="s">
        <v>2904</v>
      </c>
      <c r="AP20" s="69"/>
      <c r="AQ20" s="69"/>
    </row>
    <row r="21" spans="2:63" x14ac:dyDescent="0.55000000000000004">
      <c r="B21" s="63" t="s">
        <v>257</v>
      </c>
      <c r="C21" s="62">
        <f t="shared" ref="C21:AC21" si="11">C5+C7+C10+C19</f>
        <v>224.37283253000004</v>
      </c>
      <c r="D21" s="62">
        <f t="shared" si="11"/>
        <v>288.58895679000005</v>
      </c>
      <c r="E21" s="62">
        <f t="shared" si="11"/>
        <v>386.67596432000011</v>
      </c>
      <c r="F21" s="62">
        <f t="shared" si="11"/>
        <v>482.17992656000007</v>
      </c>
      <c r="G21" s="62">
        <f t="shared" si="11"/>
        <v>470.525007458804</v>
      </c>
      <c r="H21" s="62">
        <f t="shared" si="11"/>
        <v>566.43589143808856</v>
      </c>
      <c r="I21" s="62">
        <f t="shared" si="11"/>
        <v>659.55355330478983</v>
      </c>
      <c r="J21" s="62">
        <f t="shared" si="11"/>
        <v>738.64063279831748</v>
      </c>
      <c r="K21" s="62">
        <f t="shared" si="11"/>
        <v>762.558787102</v>
      </c>
      <c r="L21" s="62">
        <f t="shared" si="11"/>
        <v>863.38606242799983</v>
      </c>
      <c r="M21" s="62">
        <f t="shared" si="11"/>
        <v>949.16513328999986</v>
      </c>
      <c r="N21" s="62">
        <f t="shared" si="11"/>
        <v>1016.0057753770254</v>
      </c>
      <c r="O21" s="62">
        <f t="shared" si="11"/>
        <v>972.63805299721412</v>
      </c>
      <c r="P21" s="62">
        <f t="shared" si="11"/>
        <v>726.28871155793593</v>
      </c>
      <c r="Q21" s="62">
        <f t="shared" si="11"/>
        <v>954.87263855999981</v>
      </c>
      <c r="R21" s="62">
        <f t="shared" si="11"/>
        <v>1258.8717345648492</v>
      </c>
      <c r="S21" s="62">
        <f t="shared" si="11"/>
        <v>1196.0999999999999</v>
      </c>
      <c r="T21" s="62">
        <f t="shared" si="11"/>
        <v>1369.6</v>
      </c>
      <c r="U21" s="62">
        <f t="shared" si="11"/>
        <v>1617.9</v>
      </c>
      <c r="V21" s="62">
        <f t="shared" si="11"/>
        <v>1791.2999999999997</v>
      </c>
      <c r="W21" s="62">
        <f t="shared" si="11"/>
        <v>2082</v>
      </c>
      <c r="X21" s="62">
        <f t="shared" si="11"/>
        <v>2451.7889999999998</v>
      </c>
      <c r="Y21" s="62">
        <f t="shared" si="11"/>
        <v>2618</v>
      </c>
      <c r="Z21" s="62">
        <f t="shared" si="11"/>
        <v>2441</v>
      </c>
      <c r="AA21" s="62">
        <f t="shared" si="11"/>
        <v>2296.2402879666674</v>
      </c>
      <c r="AB21" s="62">
        <f t="shared" si="11"/>
        <v>2346.770916136235</v>
      </c>
      <c r="AC21" s="62">
        <f t="shared" si="11"/>
        <v>2451.5589732134149</v>
      </c>
      <c r="AD21" s="62">
        <f>AD5+AD7+AD10+AD19</f>
        <v>2629.3116195857838</v>
      </c>
      <c r="AE21" s="62">
        <f>AE159*AE22</f>
        <v>2464.7999999999997</v>
      </c>
      <c r="AF21" s="62">
        <f>AF159*AF22</f>
        <v>2503.8000000000002</v>
      </c>
      <c r="AG21" s="62">
        <f>AG159*AG22</f>
        <v>2644.8</v>
      </c>
      <c r="AH21" s="62">
        <f>AH5+AH7+AH10+AH19</f>
        <v>2804.4745525235426</v>
      </c>
      <c r="AI21" s="62"/>
      <c r="AN21" s="62"/>
      <c r="AO21" s="583" t="s">
        <v>2905</v>
      </c>
      <c r="AP21" s="62"/>
      <c r="AQ21" s="62"/>
      <c r="AR21" s="41">
        <f t="shared" ref="AR21:BJ21" si="12">P21/L21-1</f>
        <v>-0.15879032200788723</v>
      </c>
      <c r="AS21" s="41">
        <f t="shared" si="12"/>
        <v>6.0131847134086147E-3</v>
      </c>
      <c r="AT21" s="41">
        <f t="shared" si="12"/>
        <v>0.23903993960831538</v>
      </c>
      <c r="AU21" s="41">
        <f t="shared" si="12"/>
        <v>0.2297483080311129</v>
      </c>
      <c r="AV21" s="41">
        <f t="shared" si="12"/>
        <v>0.88575146247574188</v>
      </c>
      <c r="AW21" s="41">
        <f t="shared" si="12"/>
        <v>0.69436209046672626</v>
      </c>
      <c r="AX21" s="41">
        <f t="shared" si="12"/>
        <v>0.42294083727218923</v>
      </c>
      <c r="AY21" s="41">
        <f t="shared" si="12"/>
        <v>0.74065713569099589</v>
      </c>
      <c r="AZ21" s="41">
        <f t="shared" si="12"/>
        <v>0.79014967873831776</v>
      </c>
      <c r="BA21" s="41">
        <f t="shared" si="12"/>
        <v>0.61814698065393392</v>
      </c>
      <c r="BB21" s="41">
        <f t="shared" si="12"/>
        <v>0.36269748227544252</v>
      </c>
      <c r="BC21" s="41">
        <f t="shared" si="12"/>
        <v>0.10290119498879324</v>
      </c>
      <c r="BD21" s="41">
        <f t="shared" si="12"/>
        <v>-4.2833247014227083E-2</v>
      </c>
      <c r="BE21" s="41">
        <f t="shared" si="12"/>
        <v>-6.3575640483798712E-2</v>
      </c>
      <c r="BF21" s="41">
        <f t="shared" si="12"/>
        <v>7.7145276356322734E-2</v>
      </c>
      <c r="BG21" s="41">
        <f t="shared" si="12"/>
        <v>7.3406826331138264E-2</v>
      </c>
      <c r="BH21" s="41">
        <f t="shared" si="12"/>
        <v>6.6912830214506336E-2</v>
      </c>
      <c r="BI21" s="41">
        <f t="shared" si="12"/>
        <v>7.8823731714392276E-2</v>
      </c>
      <c r="BJ21" s="41">
        <f t="shared" si="12"/>
        <v>6.6619312687384635E-2</v>
      </c>
    </row>
    <row r="22" spans="2:63" x14ac:dyDescent="0.55000000000000004">
      <c r="B22" s="63" t="s">
        <v>256</v>
      </c>
      <c r="C22" s="70">
        <f t="shared" ref="C22:AD22" si="13">C21/C159</f>
        <v>3.7253760163718626E-2</v>
      </c>
      <c r="D22" s="70">
        <f t="shared" si="13"/>
        <v>3.5421211814694022E-2</v>
      </c>
      <c r="E22" s="70">
        <f t="shared" si="13"/>
        <v>3.6242866961879665E-2</v>
      </c>
      <c r="F22" s="70">
        <f t="shared" si="13"/>
        <v>3.5348219180033891E-2</v>
      </c>
      <c r="G22" s="70">
        <f t="shared" si="13"/>
        <v>3.2724581515156406E-2</v>
      </c>
      <c r="H22" s="70">
        <f t="shared" si="13"/>
        <v>3.3612525754224097E-2</v>
      </c>
      <c r="I22" s="70">
        <f t="shared" si="13"/>
        <v>3.2550041433232972E-2</v>
      </c>
      <c r="J22" s="70">
        <f t="shared" si="13"/>
        <v>2.9966527878985457E-2</v>
      </c>
      <c r="K22" s="243">
        <f t="shared" si="13"/>
        <v>3.1235858682175318E-2</v>
      </c>
      <c r="L22" s="243">
        <f t="shared" si="13"/>
        <v>3.2273188228094093E-2</v>
      </c>
      <c r="M22" s="243">
        <f t="shared" si="13"/>
        <v>3.230238626434212E-2</v>
      </c>
      <c r="N22" s="243">
        <f t="shared" si="13"/>
        <v>2.9645820161639861E-2</v>
      </c>
      <c r="O22" s="243">
        <f t="shared" si="13"/>
        <v>3.0724014978335667E-2</v>
      </c>
      <c r="P22" s="243">
        <f t="shared" si="13"/>
        <v>2.4376664439322033E-2</v>
      </c>
      <c r="Q22" s="243">
        <f t="shared" si="13"/>
        <v>2.1285014046415494E-2</v>
      </c>
      <c r="R22" s="243">
        <f t="shared" si="13"/>
        <v>2.2792697188762923E-2</v>
      </c>
      <c r="S22" s="243">
        <f t="shared" si="13"/>
        <v>2.3921999999999999E-2</v>
      </c>
      <c r="T22" s="243">
        <f t="shared" si="13"/>
        <v>2.4311706754238039E-2</v>
      </c>
      <c r="U22" s="243">
        <f t="shared" si="13"/>
        <v>2.4220059880239522E-2</v>
      </c>
      <c r="V22" s="243">
        <f t="shared" si="13"/>
        <v>2.2703422053231937E-2</v>
      </c>
      <c r="W22" s="243">
        <f t="shared" si="13"/>
        <v>2.599250936329588E-2</v>
      </c>
      <c r="X22" s="243">
        <f t="shared" si="13"/>
        <v>2.7486423766816141E-2</v>
      </c>
      <c r="Y22" s="243">
        <f t="shared" si="13"/>
        <v>2.8992248062015506E-2</v>
      </c>
      <c r="Z22" s="243">
        <f t="shared" si="13"/>
        <v>2.5885471898197242E-2</v>
      </c>
      <c r="AA22" s="243">
        <f t="shared" si="13"/>
        <v>2.6064021429814614E-2</v>
      </c>
      <c r="AB22" s="243">
        <f t="shared" si="13"/>
        <v>2.5315759613120117E-2</v>
      </c>
      <c r="AC22" s="243">
        <f t="shared" si="13"/>
        <v>2.4555861344739523E-2</v>
      </c>
      <c r="AD22" s="243">
        <f t="shared" si="13"/>
        <v>2.3064137013910385E-2</v>
      </c>
      <c r="AE22" s="276">
        <v>2.3699999999999999E-2</v>
      </c>
      <c r="AF22" s="276">
        <v>2.3400000000000001E-2</v>
      </c>
      <c r="AG22" s="276">
        <v>2.2800000000000001E-2</v>
      </c>
      <c r="AH22" s="243">
        <f>AH21/AH159</f>
        <v>2.1436643332574147E-2</v>
      </c>
      <c r="AI22" s="11">
        <f>AVERAGE(AA22:AD22)</f>
        <v>2.4749944850396159E-2</v>
      </c>
      <c r="AJ22" s="11">
        <f>AVERAGE(AE22:AH22)</f>
        <v>2.2834160833143539E-2</v>
      </c>
      <c r="AN22" s="583"/>
      <c r="AO22" s="583" t="s">
        <v>2914</v>
      </c>
      <c r="AP22" s="243"/>
      <c r="AQ22" s="243"/>
    </row>
    <row r="23" spans="2:63" x14ac:dyDescent="0.55000000000000004">
      <c r="B23" s="71" t="s">
        <v>3286</v>
      </c>
      <c r="C23" s="70"/>
      <c r="D23" s="70"/>
      <c r="E23" s="70"/>
      <c r="F23" s="70"/>
      <c r="G23" s="70"/>
      <c r="H23" s="70"/>
      <c r="I23" s="70"/>
      <c r="J23" s="70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394">
        <f t="shared" ref="AA23:AG23" si="14">AA22-W22</f>
        <v>7.1512066518734235E-5</v>
      </c>
      <c r="AB23" s="394">
        <f t="shared" si="14"/>
        <v>-2.1706641536960239E-3</v>
      </c>
      <c r="AC23" s="394">
        <f t="shared" si="14"/>
        <v>-4.4363867172759822E-3</v>
      </c>
      <c r="AD23" s="394">
        <f t="shared" si="14"/>
        <v>-2.8213348842868573E-3</v>
      </c>
      <c r="AE23" s="394">
        <f t="shared" si="14"/>
        <v>-2.3640214298146153E-3</v>
      </c>
      <c r="AF23" s="394">
        <f t="shared" si="14"/>
        <v>-1.9157596131201167E-3</v>
      </c>
      <c r="AG23" s="394">
        <f t="shared" si="14"/>
        <v>-1.7558613447395226E-3</v>
      </c>
      <c r="AH23" s="394">
        <f>AH22-AD22</f>
        <v>-1.6274936813362381E-3</v>
      </c>
      <c r="AI23" s="11"/>
      <c r="AJ23" s="11"/>
      <c r="AN23" s="583"/>
      <c r="AO23" s="583"/>
      <c r="AP23" s="243"/>
      <c r="AQ23" s="243"/>
    </row>
    <row r="24" spans="2:63" x14ac:dyDescent="0.55000000000000004">
      <c r="B24" s="71" t="s">
        <v>1805</v>
      </c>
      <c r="C24" s="70"/>
      <c r="D24" s="70"/>
      <c r="E24" s="70"/>
      <c r="F24" s="70"/>
      <c r="G24" s="70"/>
      <c r="H24" s="70"/>
      <c r="I24" s="70"/>
      <c r="J24" s="70"/>
      <c r="K24" s="62">
        <f t="shared" ref="K24:X24" si="15">K21+K67</f>
        <v>756.71978710199994</v>
      </c>
      <c r="L24" s="62">
        <f t="shared" si="15"/>
        <v>861.18206242799988</v>
      </c>
      <c r="M24" s="62">
        <f t="shared" si="15"/>
        <v>942.55523191999987</v>
      </c>
      <c r="N24" s="62">
        <f t="shared" si="15"/>
        <v>992.42036586702545</v>
      </c>
      <c r="O24" s="62">
        <f t="shared" si="15"/>
        <v>927.0760630272141</v>
      </c>
      <c r="P24" s="62">
        <f t="shared" si="15"/>
        <v>708.41619685793592</v>
      </c>
      <c r="Q24" s="62">
        <f t="shared" si="15"/>
        <v>938.61681358999977</v>
      </c>
      <c r="R24" s="62">
        <f t="shared" si="15"/>
        <v>1229.3296724748493</v>
      </c>
      <c r="S24" s="62">
        <f t="shared" si="15"/>
        <v>1151.6999999999998</v>
      </c>
      <c r="T24" s="62">
        <f t="shared" si="15"/>
        <v>1235.8</v>
      </c>
      <c r="U24" s="62">
        <f t="shared" si="15"/>
        <v>1408.077</v>
      </c>
      <c r="V24" s="62">
        <f t="shared" si="15"/>
        <v>1388.6999999999998</v>
      </c>
      <c r="W24" s="62">
        <f t="shared" si="15"/>
        <v>1461</v>
      </c>
      <c r="X24" s="62">
        <f t="shared" si="15"/>
        <v>1695.7889999999998</v>
      </c>
      <c r="Y24" s="62">
        <f t="shared" ref="Y24:AD24" si="16">Y21+Y67</f>
        <v>1697</v>
      </c>
      <c r="Z24" s="62">
        <f t="shared" si="16"/>
        <v>1586.290701498468</v>
      </c>
      <c r="AA24" s="62">
        <f t="shared" si="16"/>
        <v>1483.2402879666674</v>
      </c>
      <c r="AB24" s="62">
        <f t="shared" si="16"/>
        <v>1550.770916136235</v>
      </c>
      <c r="AC24" s="62">
        <f t="shared" si="16"/>
        <v>1631.5589732134149</v>
      </c>
      <c r="AD24" s="62">
        <f t="shared" si="16"/>
        <v>1788.3116195857838</v>
      </c>
      <c r="AE24" s="62">
        <f>AE21+AE67</f>
        <v>1753.5795789473682</v>
      </c>
      <c r="AF24" s="62">
        <f>AF21+AF67</f>
        <v>1820.8460315789475</v>
      </c>
      <c r="AG24" s="62">
        <f>AG21+AG67</f>
        <v>1948.4726561403513</v>
      </c>
      <c r="AH24" s="62">
        <f>AH21+AH67</f>
        <v>2080.3653340869332</v>
      </c>
      <c r="AI24" s="62"/>
      <c r="AN24" s="583" t="s">
        <v>2889</v>
      </c>
      <c r="AO24" s="583" t="s">
        <v>2906</v>
      </c>
      <c r="AP24" s="62"/>
      <c r="AQ24" s="62"/>
      <c r="AU24" s="2">
        <f t="shared" ref="AU24:BA24" si="17">S24/O24-1</f>
        <v>0.24229288828719531</v>
      </c>
      <c r="AV24" s="2">
        <f t="shared" si="17"/>
        <v>0.74445475058473898</v>
      </c>
      <c r="AW24" s="2">
        <f t="shared" si="17"/>
        <v>0.50016170562129592</v>
      </c>
      <c r="AX24" s="2">
        <f t="shared" si="17"/>
        <v>0.12964002341561565</v>
      </c>
      <c r="AY24" s="2">
        <f t="shared" si="17"/>
        <v>0.26855952070851807</v>
      </c>
      <c r="AZ24" s="2">
        <f t="shared" si="17"/>
        <v>0.37221961482440502</v>
      </c>
      <c r="BA24" s="2">
        <f t="shared" si="17"/>
        <v>0.20518977300247077</v>
      </c>
      <c r="BB24" s="2"/>
      <c r="BC24" s="2"/>
      <c r="BD24" s="2"/>
      <c r="BE24" s="2"/>
      <c r="BF24" s="2"/>
    </row>
    <row r="25" spans="2:63" x14ac:dyDescent="0.55000000000000004">
      <c r="B25" t="s">
        <v>1803</v>
      </c>
      <c r="K25" s="11">
        <f t="shared" ref="K25:AH25" si="18">(K21+K67)/K159</f>
        <v>3.099668213352081E-2</v>
      </c>
      <c r="L25" s="11">
        <f t="shared" si="18"/>
        <v>3.219080317469783E-2</v>
      </c>
      <c r="M25" s="11">
        <f t="shared" si="18"/>
        <v>3.2077435326160419E-2</v>
      </c>
      <c r="N25" s="11">
        <f t="shared" si="18"/>
        <v>2.8957626427197139E-2</v>
      </c>
      <c r="O25" s="11">
        <f t="shared" si="18"/>
        <v>2.9284787654289081E-2</v>
      </c>
      <c r="P25" s="11">
        <f t="shared" si="18"/>
        <v>2.3776803410786692E-2</v>
      </c>
      <c r="Q25" s="11">
        <f t="shared" si="18"/>
        <v>2.092265633623509E-2</v>
      </c>
      <c r="R25" s="11">
        <f t="shared" si="18"/>
        <v>2.2257818807541858E-2</v>
      </c>
      <c r="S25" s="11">
        <f t="shared" si="18"/>
        <v>2.3033999999999995E-2</v>
      </c>
      <c r="T25" s="11">
        <f t="shared" si="18"/>
        <v>2.1936629093813793E-2</v>
      </c>
      <c r="U25" s="11">
        <f t="shared" si="18"/>
        <v>2.1078997005988025E-2</v>
      </c>
      <c r="V25" s="11">
        <f t="shared" si="18"/>
        <v>1.7600760456273762E-2</v>
      </c>
      <c r="W25" s="11">
        <f t="shared" si="18"/>
        <v>1.8239700374531834E-2</v>
      </c>
      <c r="X25" s="11">
        <f t="shared" si="18"/>
        <v>1.9011087443946185E-2</v>
      </c>
      <c r="Y25" s="11">
        <f t="shared" si="18"/>
        <v>1.8792912513842748E-2</v>
      </c>
      <c r="Z25" s="11">
        <f t="shared" si="18"/>
        <v>1.6821746569442925E-2</v>
      </c>
      <c r="AA25" s="11">
        <f t="shared" si="18"/>
        <v>1.6835871600075679E-2</v>
      </c>
      <c r="AB25" s="11">
        <f t="shared" si="18"/>
        <v>1.6728920346669202E-2</v>
      </c>
      <c r="AC25" s="11">
        <f t="shared" si="18"/>
        <v>1.6342391253790365E-2</v>
      </c>
      <c r="AD25" s="11">
        <f t="shared" si="18"/>
        <v>1.5686944031454243E-2</v>
      </c>
      <c r="AE25" s="11">
        <f t="shared" si="18"/>
        <v>1.6861342105263157E-2</v>
      </c>
      <c r="AF25" s="11">
        <f t="shared" si="18"/>
        <v>1.7017252631578949E-2</v>
      </c>
      <c r="AG25" s="11">
        <f t="shared" si="18"/>
        <v>1.6797178070175441E-2</v>
      </c>
      <c r="AH25" s="11">
        <f t="shared" si="18"/>
        <v>1.5901748735121988E-2</v>
      </c>
      <c r="AI25" s="11"/>
      <c r="AN25" s="11"/>
      <c r="AO25" s="583" t="s">
        <v>2907</v>
      </c>
      <c r="AP25" s="11"/>
      <c r="AQ25" s="11"/>
    </row>
    <row r="26" spans="2:63" x14ac:dyDescent="0.55000000000000004"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2"/>
      <c r="W26" s="2"/>
      <c r="X26" s="2"/>
      <c r="Y26" s="2"/>
      <c r="Z26" s="2"/>
      <c r="AA26" s="2"/>
      <c r="AB26" s="2"/>
      <c r="AC26" s="2"/>
      <c r="AD26" s="2"/>
      <c r="AE26" s="11"/>
      <c r="AF26" s="11"/>
      <c r="AG26" s="11"/>
      <c r="AH26" s="11"/>
      <c r="AI26" s="11"/>
      <c r="AN26" s="11"/>
      <c r="AO26" s="583" t="s">
        <v>2915</v>
      </c>
      <c r="AP26" s="11"/>
      <c r="AQ26" s="11"/>
    </row>
    <row r="27" spans="2:63" x14ac:dyDescent="0.55000000000000004">
      <c r="B27" s="18" t="s">
        <v>1745</v>
      </c>
      <c r="C27" s="18"/>
      <c r="D27" s="18"/>
      <c r="E27" s="18"/>
      <c r="F27" s="18"/>
      <c r="G27" s="18"/>
      <c r="H27" s="18"/>
      <c r="I27" s="18"/>
      <c r="J27" s="18"/>
      <c r="K27" s="67">
        <f t="shared" ref="K27:AH27" si="19">K21-K232</f>
        <v>762.558787102</v>
      </c>
      <c r="L27" s="67">
        <f t="shared" si="19"/>
        <v>863.38606242799983</v>
      </c>
      <c r="M27" s="67">
        <f t="shared" si="19"/>
        <v>949.16513328999986</v>
      </c>
      <c r="N27" s="67">
        <f t="shared" si="19"/>
        <v>1016.0057753770254</v>
      </c>
      <c r="O27" s="67">
        <f t="shared" si="19"/>
        <v>814.0238554847657</v>
      </c>
      <c r="P27" s="67">
        <f t="shared" si="19"/>
        <v>641.39981084315878</v>
      </c>
      <c r="Q27" s="67">
        <f t="shared" si="19"/>
        <v>810.51186725120044</v>
      </c>
      <c r="R27" s="67">
        <f t="shared" si="19"/>
        <v>1082.5008664229163</v>
      </c>
      <c r="S27" s="67">
        <f t="shared" si="19"/>
        <v>1039.9875045635788</v>
      </c>
      <c r="T27" s="67">
        <f t="shared" si="19"/>
        <v>1175.9243632692264</v>
      </c>
      <c r="U27" s="67">
        <f t="shared" si="19"/>
        <v>1359.2820360232454</v>
      </c>
      <c r="V27" s="67">
        <f t="shared" si="19"/>
        <v>1482.7857692529292</v>
      </c>
      <c r="W27" s="67">
        <f t="shared" si="19"/>
        <v>1749.4342130559412</v>
      </c>
      <c r="X27" s="67">
        <f t="shared" si="19"/>
        <v>2108.026528509085</v>
      </c>
      <c r="Y27" s="67">
        <f t="shared" si="19"/>
        <v>2242.2343184586371</v>
      </c>
      <c r="Z27" s="67">
        <f t="shared" si="19"/>
        <v>2079.2065981327146</v>
      </c>
      <c r="AA27" s="67">
        <f t="shared" si="19"/>
        <v>1965.6430213664537</v>
      </c>
      <c r="AB27" s="67">
        <f t="shared" si="19"/>
        <v>2103.770916136235</v>
      </c>
      <c r="AC27" s="67">
        <f t="shared" si="19"/>
        <v>2191.5589732134149</v>
      </c>
      <c r="AD27" s="67">
        <f t="shared" si="19"/>
        <v>2376.4116195857837</v>
      </c>
      <c r="AE27" s="67">
        <f t="shared" si="19"/>
        <v>2202.3350709027054</v>
      </c>
      <c r="AF27" s="67">
        <f t="shared" si="19"/>
        <v>2251.8843320120122</v>
      </c>
      <c r="AG27" s="67">
        <f t="shared" ca="1" si="19"/>
        <v>2379.5254508234175</v>
      </c>
      <c r="AH27" s="67">
        <f t="shared" ca="1" si="19"/>
        <v>2510.848942688378</v>
      </c>
      <c r="AI27" s="67"/>
      <c r="AN27" s="583" t="s">
        <v>2908</v>
      </c>
      <c r="AO27" s="67"/>
      <c r="AP27" s="67"/>
      <c r="AQ27" s="67"/>
    </row>
    <row r="28" spans="2:63" x14ac:dyDescent="0.55000000000000004"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N28" s="11"/>
      <c r="AO28" s="583" t="s">
        <v>2909</v>
      </c>
      <c r="AP28" s="11"/>
      <c r="AQ28" s="11"/>
    </row>
    <row r="29" spans="2:63" x14ac:dyDescent="0.55000000000000004">
      <c r="B29" t="s">
        <v>257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72">
        <f t="shared" ref="W29:AH29" si="20">W21</f>
        <v>2082</v>
      </c>
      <c r="X29" s="72">
        <f t="shared" si="20"/>
        <v>2451.7889999999998</v>
      </c>
      <c r="Y29" s="72">
        <f t="shared" si="20"/>
        <v>2618</v>
      </c>
      <c r="Z29" s="72">
        <f t="shared" si="20"/>
        <v>2441</v>
      </c>
      <c r="AA29" s="72">
        <f t="shared" si="20"/>
        <v>2296.2402879666674</v>
      </c>
      <c r="AB29" s="72">
        <f t="shared" si="20"/>
        <v>2346.770916136235</v>
      </c>
      <c r="AC29" s="72">
        <f t="shared" si="20"/>
        <v>2451.5589732134149</v>
      </c>
      <c r="AD29" s="72">
        <f t="shared" si="20"/>
        <v>2629.3116195857838</v>
      </c>
      <c r="AE29" s="72">
        <f t="shared" si="20"/>
        <v>2464.7999999999997</v>
      </c>
      <c r="AF29" s="72">
        <f t="shared" si="20"/>
        <v>2503.8000000000002</v>
      </c>
      <c r="AG29" s="72">
        <f t="shared" si="20"/>
        <v>2644.8</v>
      </c>
      <c r="AH29" s="72">
        <f t="shared" si="20"/>
        <v>2804.4745525235426</v>
      </c>
      <c r="AI29" s="11"/>
      <c r="AN29" s="11"/>
      <c r="AO29" s="583"/>
      <c r="AP29" s="11"/>
      <c r="AQ29" s="11"/>
    </row>
    <row r="30" spans="2:63" x14ac:dyDescent="0.55000000000000004">
      <c r="B30" t="s">
        <v>2169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72">
        <f t="shared" ref="W30:AH30" si="21">-W87</f>
        <v>-621</v>
      </c>
      <c r="X30" s="72">
        <f t="shared" si="21"/>
        <v>-756</v>
      </c>
      <c r="Y30" s="72">
        <f t="shared" si="21"/>
        <v>-921</v>
      </c>
      <c r="Z30" s="72">
        <f t="shared" si="21"/>
        <v>-854.70929850153209</v>
      </c>
      <c r="AA30" s="72">
        <f t="shared" si="21"/>
        <v>-813</v>
      </c>
      <c r="AB30" s="72">
        <f t="shared" si="21"/>
        <v>-796</v>
      </c>
      <c r="AC30" s="72">
        <f t="shared" si="21"/>
        <v>-820</v>
      </c>
      <c r="AD30" s="72">
        <f t="shared" si="21"/>
        <v>-841</v>
      </c>
      <c r="AE30" s="72">
        <f t="shared" si="21"/>
        <v>-711.22042105263154</v>
      </c>
      <c r="AF30" s="72">
        <f t="shared" si="21"/>
        <v>-682.95396842105254</v>
      </c>
      <c r="AG30" s="72">
        <f t="shared" si="21"/>
        <v>-696.32734385964898</v>
      </c>
      <c r="AH30" s="72">
        <f t="shared" si="21"/>
        <v>-724.10921843660924</v>
      </c>
      <c r="AI30" s="11"/>
      <c r="AN30" s="11"/>
      <c r="AO30" s="583"/>
      <c r="AP30" s="11"/>
      <c r="AQ30" s="11"/>
    </row>
    <row r="31" spans="2:63" x14ac:dyDescent="0.55000000000000004">
      <c r="B31" s="1" t="s">
        <v>3285</v>
      </c>
      <c r="C31" s="1"/>
      <c r="D31" s="1"/>
      <c r="E31" s="1"/>
      <c r="F31" s="1"/>
      <c r="G31" s="1"/>
      <c r="H31" s="1"/>
      <c r="I31" s="1"/>
      <c r="J31" s="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74">
        <f t="shared" ref="W31:AH31" si="22">W68</f>
        <v>-250</v>
      </c>
      <c r="X31" s="74">
        <f t="shared" si="22"/>
        <v>-270.48399999999998</v>
      </c>
      <c r="Y31" s="74">
        <f t="shared" si="22"/>
        <v>-273</v>
      </c>
      <c r="Z31" s="74">
        <f t="shared" si="22"/>
        <v>-191.53634024999999</v>
      </c>
      <c r="AA31" s="74">
        <f t="shared" si="22"/>
        <v>-126</v>
      </c>
      <c r="AB31" s="74">
        <f t="shared" si="22"/>
        <v>-122</v>
      </c>
      <c r="AC31" s="74">
        <f t="shared" si="22"/>
        <v>-165</v>
      </c>
      <c r="AD31" s="74">
        <f t="shared" si="22"/>
        <v>-123</v>
      </c>
      <c r="AE31" s="74">
        <f t="shared" si="22"/>
        <v>-130</v>
      </c>
      <c r="AF31" s="74">
        <f t="shared" si="22"/>
        <v>-130</v>
      </c>
      <c r="AG31" s="74">
        <f t="shared" si="22"/>
        <v>-130</v>
      </c>
      <c r="AH31" s="74">
        <f t="shared" si="22"/>
        <v>-144.10754210201117</v>
      </c>
      <c r="AI31" s="11"/>
      <c r="AN31" s="11"/>
      <c r="AO31" s="583"/>
      <c r="AP31" s="11"/>
      <c r="AQ31" s="11"/>
    </row>
    <row r="32" spans="2:63" x14ac:dyDescent="0.55000000000000004">
      <c r="B32" s="18" t="s">
        <v>717</v>
      </c>
      <c r="C32" s="18"/>
      <c r="D32" s="18"/>
      <c r="E32" s="18"/>
      <c r="F32" s="18"/>
      <c r="G32" s="18"/>
      <c r="H32" s="18"/>
      <c r="I32" s="18"/>
      <c r="J32" s="18"/>
      <c r="K32" s="367"/>
      <c r="L32" s="367"/>
      <c r="M32" s="367"/>
      <c r="N32" s="367"/>
      <c r="O32" s="367"/>
      <c r="P32" s="367"/>
      <c r="Q32" s="367"/>
      <c r="R32" s="367"/>
      <c r="S32" s="367"/>
      <c r="T32" s="367"/>
      <c r="U32" s="367"/>
      <c r="V32" s="367"/>
      <c r="W32" s="67">
        <f t="shared" ref="W32:AC32" si="23">W21-W87+W68</f>
        <v>1211</v>
      </c>
      <c r="X32" s="67">
        <f t="shared" si="23"/>
        <v>1425.3049999999998</v>
      </c>
      <c r="Y32" s="67">
        <f t="shared" si="23"/>
        <v>1424</v>
      </c>
      <c r="Z32" s="67">
        <f t="shared" si="23"/>
        <v>1394.7543612484681</v>
      </c>
      <c r="AA32" s="67">
        <f t="shared" si="23"/>
        <v>1357.2402879666674</v>
      </c>
      <c r="AB32" s="67">
        <f t="shared" si="23"/>
        <v>1428.770916136235</v>
      </c>
      <c r="AC32" s="67">
        <f t="shared" si="23"/>
        <v>1466.5589732134149</v>
      </c>
      <c r="AD32" s="67">
        <f>SUM(AD29:AD31)</f>
        <v>1665.3116195857838</v>
      </c>
      <c r="AE32" s="67">
        <f>AE21-AE87+AE68</f>
        <v>1623.5795789473682</v>
      </c>
      <c r="AF32" s="67">
        <f>AF21-AF87+AF68</f>
        <v>1690.8460315789475</v>
      </c>
      <c r="AG32" s="67">
        <f>AG21-AG87+AG68</f>
        <v>1818.4726561403513</v>
      </c>
      <c r="AH32" s="67">
        <f>AH21-AH87+AH68</f>
        <v>1936.2577919849221</v>
      </c>
      <c r="AI32" s="67"/>
      <c r="AN32" s="11"/>
      <c r="AO32" s="583"/>
      <c r="AP32" s="11"/>
      <c r="AQ32" s="11"/>
      <c r="BC32" s="41">
        <f t="shared" ref="BC32:BJ32" si="24">AA32/W32-1</f>
        <v>0.12075994051747929</v>
      </c>
      <c r="BD32" s="41">
        <f t="shared" si="24"/>
        <v>2.4317013805712495E-3</v>
      </c>
      <c r="BE32" s="41">
        <f t="shared" si="24"/>
        <v>2.9886919391443056E-2</v>
      </c>
      <c r="BF32" s="41">
        <f t="shared" si="24"/>
        <v>0.19398201278620508</v>
      </c>
      <c r="BG32" s="41">
        <f t="shared" si="24"/>
        <v>0.19623591588171441</v>
      </c>
      <c r="BH32" s="41">
        <f t="shared" si="24"/>
        <v>0.18342696683064585</v>
      </c>
      <c r="BI32" s="41">
        <f t="shared" si="24"/>
        <v>0.23995876698763041</v>
      </c>
      <c r="BJ32" s="41">
        <f t="shared" si="24"/>
        <v>0.16269998312179634</v>
      </c>
    </row>
    <row r="33" spans="2:43" x14ac:dyDescent="0.55000000000000004">
      <c r="B33" t="s">
        <v>477</v>
      </c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69">
        <f t="shared" ref="W33:AH33" si="25">W32/W9</f>
        <v>0.35337029471841258</v>
      </c>
      <c r="X33" s="69">
        <f t="shared" si="25"/>
        <v>0.36447611824194909</v>
      </c>
      <c r="Y33" s="69">
        <f t="shared" si="25"/>
        <v>0.35291201982651799</v>
      </c>
      <c r="Z33" s="69">
        <f t="shared" si="25"/>
        <v>0.3520329028895679</v>
      </c>
      <c r="AA33" s="69">
        <f t="shared" si="25"/>
        <v>0.36193074345777798</v>
      </c>
      <c r="AB33" s="69">
        <f t="shared" si="25"/>
        <v>0.37343724938218376</v>
      </c>
      <c r="AC33" s="69">
        <f t="shared" si="25"/>
        <v>0.36427197546284523</v>
      </c>
      <c r="AD33" s="69">
        <f t="shared" si="25"/>
        <v>0.38309446045221618</v>
      </c>
      <c r="AE33" s="69">
        <f t="shared" si="25"/>
        <v>0.40213493311224263</v>
      </c>
      <c r="AF33" s="69">
        <f t="shared" si="25"/>
        <v>0.41043937071049308</v>
      </c>
      <c r="AG33" s="69">
        <f t="shared" si="25"/>
        <v>0.41421180268332908</v>
      </c>
      <c r="AH33" s="69">
        <f t="shared" si="25"/>
        <v>0.39623154542003608</v>
      </c>
      <c r="AI33" s="69"/>
      <c r="AN33" s="11"/>
      <c r="AO33" s="583"/>
      <c r="AP33" s="11"/>
      <c r="AQ33" s="11"/>
    </row>
    <row r="34" spans="2:43" x14ac:dyDescent="0.55000000000000004"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N34" s="11"/>
      <c r="AO34" s="583"/>
      <c r="AP34" s="11"/>
      <c r="AQ34" s="11"/>
    </row>
    <row r="35" spans="2:43" x14ac:dyDescent="0.55000000000000004">
      <c r="B35" s="18" t="s">
        <v>676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N35" s="2"/>
      <c r="AO35" s="583" t="s">
        <v>2910</v>
      </c>
      <c r="AP35" s="2"/>
      <c r="AQ35" s="2"/>
    </row>
    <row r="36" spans="2:43" x14ac:dyDescent="0.55000000000000004">
      <c r="B36" t="s">
        <v>677</v>
      </c>
      <c r="M36" s="4">
        <v>16.949480729999998</v>
      </c>
      <c r="N36" s="4">
        <v>-8.9500643463636358</v>
      </c>
      <c r="O36" s="4">
        <v>13.7228542171875</v>
      </c>
      <c r="P36" s="4">
        <v>27.406347231449999</v>
      </c>
      <c r="Q36" s="4">
        <v>37.419161061066511</v>
      </c>
      <c r="R36" s="4">
        <v>54</v>
      </c>
      <c r="S36" s="4">
        <v>58.4</v>
      </c>
      <c r="T36" s="4">
        <v>64.8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66"/>
      <c r="AF36" s="66"/>
      <c r="AG36" s="66"/>
      <c r="AH36" s="66"/>
      <c r="AI36" s="66"/>
      <c r="AN36" s="583" t="s">
        <v>2911</v>
      </c>
      <c r="AO36" s="66"/>
      <c r="AP36" s="66"/>
      <c r="AQ36" s="66"/>
    </row>
    <row r="37" spans="2:43" x14ac:dyDescent="0.55000000000000004">
      <c r="B37" t="s">
        <v>251</v>
      </c>
      <c r="M37" s="169">
        <v>0</v>
      </c>
      <c r="N37" s="169">
        <v>-8.3000000000000007</v>
      </c>
      <c r="O37" s="169">
        <v>-88.3</v>
      </c>
      <c r="P37" s="169">
        <v>-111.27409538639421</v>
      </c>
      <c r="Q37" s="169">
        <v>-137.4</v>
      </c>
      <c r="R37" s="169">
        <v>-62.2460029717951</v>
      </c>
      <c r="S37" s="169">
        <v>-67.2</v>
      </c>
      <c r="T37" s="169">
        <v>-65.3</v>
      </c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66"/>
      <c r="AF37" s="66"/>
      <c r="AG37" s="66"/>
      <c r="AH37" s="66"/>
      <c r="AI37" s="66"/>
      <c r="AN37" s="583" t="s">
        <v>2912</v>
      </c>
      <c r="AO37" s="66"/>
      <c r="AP37" s="66"/>
      <c r="AQ37" s="66"/>
    </row>
    <row r="38" spans="2:43" x14ac:dyDescent="0.55000000000000004">
      <c r="B38" s="287" t="s">
        <v>679</v>
      </c>
      <c r="C38" s="288">
        <f t="shared" ref="C38:AH38" si="26">(C21-C36-C37)/C159</f>
        <v>3.7253760163718626E-2</v>
      </c>
      <c r="D38" s="288">
        <f t="shared" si="26"/>
        <v>3.5421211814694022E-2</v>
      </c>
      <c r="E38" s="288">
        <f t="shared" si="26"/>
        <v>3.6242866961879665E-2</v>
      </c>
      <c r="F38" s="288">
        <f t="shared" si="26"/>
        <v>3.5348219180033891E-2</v>
      </c>
      <c r="G38" s="288">
        <f t="shared" si="26"/>
        <v>3.2724581515156406E-2</v>
      </c>
      <c r="H38" s="288">
        <f t="shared" si="26"/>
        <v>3.3612525754224097E-2</v>
      </c>
      <c r="I38" s="288">
        <f t="shared" si="26"/>
        <v>3.2550041433232972E-2</v>
      </c>
      <c r="J38" s="288">
        <f t="shared" si="26"/>
        <v>2.9966527878985457E-2</v>
      </c>
      <c r="K38" s="289">
        <f t="shared" si="26"/>
        <v>3.1235858682175318E-2</v>
      </c>
      <c r="L38" s="289">
        <f t="shared" si="26"/>
        <v>3.2273188228094093E-2</v>
      </c>
      <c r="M38" s="289">
        <f t="shared" si="26"/>
        <v>3.1725554420948647E-2</v>
      </c>
      <c r="N38" s="289">
        <f t="shared" si="26"/>
        <v>3.0149156183720289E-2</v>
      </c>
      <c r="O38" s="289">
        <f t="shared" si="26"/>
        <v>3.3079782714352073E-2</v>
      </c>
      <c r="P38" s="289">
        <f t="shared" si="26"/>
        <v>2.7191544970329107E-2</v>
      </c>
      <c r="Q38" s="289">
        <f t="shared" si="26"/>
        <v>2.351368148880539E-2</v>
      </c>
      <c r="R38" s="289">
        <f t="shared" si="26"/>
        <v>2.2941996472870478E-2</v>
      </c>
      <c r="S38" s="289">
        <f t="shared" si="26"/>
        <v>2.4097999999999998E-2</v>
      </c>
      <c r="T38" s="289">
        <f t="shared" si="26"/>
        <v>2.4320582231294931E-2</v>
      </c>
      <c r="U38" s="289">
        <f t="shared" si="26"/>
        <v>2.4220059880239522E-2</v>
      </c>
      <c r="V38" s="289">
        <f t="shared" si="26"/>
        <v>2.2703422053231937E-2</v>
      </c>
      <c r="W38" s="289">
        <f t="shared" si="26"/>
        <v>2.599250936329588E-2</v>
      </c>
      <c r="X38" s="289">
        <f t="shared" si="26"/>
        <v>2.7486423766816141E-2</v>
      </c>
      <c r="Y38" s="289">
        <f t="shared" si="26"/>
        <v>2.8992248062015506E-2</v>
      </c>
      <c r="Z38" s="289">
        <f t="shared" si="26"/>
        <v>2.5885471898197242E-2</v>
      </c>
      <c r="AA38" s="289">
        <f t="shared" si="26"/>
        <v>2.6064021429814614E-2</v>
      </c>
      <c r="AB38" s="289">
        <f t="shared" si="26"/>
        <v>2.5315759613120117E-2</v>
      </c>
      <c r="AC38" s="289">
        <f t="shared" si="26"/>
        <v>2.4555861344739523E-2</v>
      </c>
      <c r="AD38" s="289">
        <f>(AD21-AD36-AD37)/AD159</f>
        <v>2.3064137013910385E-2</v>
      </c>
      <c r="AE38" s="289">
        <f t="shared" si="26"/>
        <v>2.3699999999999999E-2</v>
      </c>
      <c r="AF38" s="289">
        <f t="shared" si="26"/>
        <v>2.3400000000000001E-2</v>
      </c>
      <c r="AG38" s="289">
        <f t="shared" si="26"/>
        <v>2.2800000000000001E-2</v>
      </c>
      <c r="AH38" s="289">
        <f t="shared" si="26"/>
        <v>2.1436643332574147E-2</v>
      </c>
      <c r="AI38" s="243"/>
      <c r="AN38" s="583" t="s">
        <v>2913</v>
      </c>
      <c r="AO38" s="243"/>
      <c r="AP38" s="243"/>
      <c r="AQ38" s="243"/>
    </row>
    <row r="39" spans="2:43" x14ac:dyDescent="0.55000000000000004">
      <c r="B39" s="18" t="s">
        <v>678</v>
      </c>
      <c r="C39" s="70">
        <f t="shared" ref="C39:O39" si="27">C38</f>
        <v>3.7253760163718626E-2</v>
      </c>
      <c r="D39" s="70">
        <f t="shared" si="27"/>
        <v>3.5421211814694022E-2</v>
      </c>
      <c r="E39" s="70">
        <f t="shared" si="27"/>
        <v>3.6242866961879665E-2</v>
      </c>
      <c r="F39" s="70">
        <f t="shared" si="27"/>
        <v>3.5348219180033891E-2</v>
      </c>
      <c r="G39" s="70">
        <f t="shared" si="27"/>
        <v>3.2724581515156406E-2</v>
      </c>
      <c r="H39" s="70">
        <f t="shared" si="27"/>
        <v>3.3612525754224097E-2</v>
      </c>
      <c r="I39" s="70">
        <f t="shared" si="27"/>
        <v>3.2550041433232972E-2</v>
      </c>
      <c r="J39" s="70">
        <f t="shared" si="27"/>
        <v>2.9966527878985457E-2</v>
      </c>
      <c r="K39" s="243">
        <f t="shared" si="27"/>
        <v>3.1235858682175318E-2</v>
      </c>
      <c r="L39" s="243">
        <f t="shared" si="27"/>
        <v>3.2273188228094093E-2</v>
      </c>
      <c r="M39" s="243">
        <f t="shared" si="27"/>
        <v>3.1725554420948647E-2</v>
      </c>
      <c r="N39" s="243">
        <f t="shared" si="27"/>
        <v>3.0149156183720289E-2</v>
      </c>
      <c r="O39" s="243">
        <f t="shared" si="27"/>
        <v>3.3079782714352073E-2</v>
      </c>
      <c r="P39" s="243">
        <f>P38</f>
        <v>2.7191544970329107E-2</v>
      </c>
      <c r="Q39" s="243">
        <v>2.58E-2</v>
      </c>
      <c r="R39" s="243">
        <v>2.4400000000000002E-2</v>
      </c>
      <c r="S39" s="243">
        <f>S38</f>
        <v>2.4097999999999998E-2</v>
      </c>
      <c r="T39" s="243">
        <f>T38</f>
        <v>2.4320582231294931E-2</v>
      </c>
      <c r="U39" s="243">
        <f t="shared" ref="U39:Z39" ca="1" si="28">U38-U40</f>
        <v>2.4220059880239522E-2</v>
      </c>
      <c r="V39" s="243">
        <f t="shared" si="28"/>
        <v>2.2703422053231937E-2</v>
      </c>
      <c r="W39" s="243">
        <f t="shared" si="28"/>
        <v>2.599250936329588E-2</v>
      </c>
      <c r="X39" s="243">
        <f t="shared" si="28"/>
        <v>2.7486423766816141E-2</v>
      </c>
      <c r="Y39" s="243">
        <f t="shared" si="28"/>
        <v>2.8992248062015506E-2</v>
      </c>
      <c r="Z39" s="243">
        <f t="shared" si="28"/>
        <v>2.5885471898197242E-2</v>
      </c>
      <c r="AA39" s="243">
        <f t="shared" ref="AA39:AH39" si="29">AA38-AA40</f>
        <v>2.6064021429814614E-2</v>
      </c>
      <c r="AB39" s="243">
        <f>AB38-AB40</f>
        <v>2.5315759613120117E-2</v>
      </c>
      <c r="AC39" s="243">
        <f>AC38-AC40</f>
        <v>2.4555861344739523E-2</v>
      </c>
      <c r="AD39" s="243">
        <f>AD38-AD40</f>
        <v>2.3064137013910385E-2</v>
      </c>
      <c r="AE39" s="243">
        <f t="shared" si="29"/>
        <v>2.3699999999999999E-2</v>
      </c>
      <c r="AF39" s="243">
        <f t="shared" si="29"/>
        <v>2.3400000000000001E-2</v>
      </c>
      <c r="AG39" s="243">
        <f t="shared" si="29"/>
        <v>2.2800000000000001E-2</v>
      </c>
      <c r="AH39" s="243">
        <f t="shared" si="29"/>
        <v>2.1436643332574147E-2</v>
      </c>
      <c r="AI39" s="243"/>
      <c r="AJ39" s="243"/>
      <c r="AK39" s="243"/>
      <c r="AL39" s="243"/>
      <c r="AM39" s="243"/>
      <c r="AN39" s="2"/>
    </row>
    <row r="40" spans="2:43" x14ac:dyDescent="0.55000000000000004">
      <c r="B40" s="18" t="s">
        <v>1076</v>
      </c>
      <c r="C40" s="70"/>
      <c r="D40" s="70"/>
      <c r="E40" s="70"/>
      <c r="F40" s="70"/>
      <c r="G40" s="70"/>
      <c r="H40" s="70"/>
      <c r="I40" s="70"/>
      <c r="J40" s="70"/>
      <c r="K40" s="243">
        <f>K38-K39</f>
        <v>0</v>
      </c>
      <c r="L40" s="243">
        <f t="shared" ref="L40:S40" si="30">L38-L39</f>
        <v>0</v>
      </c>
      <c r="M40" s="243">
        <f t="shared" si="30"/>
        <v>0</v>
      </c>
      <c r="N40" s="243">
        <f t="shared" si="30"/>
        <v>0</v>
      </c>
      <c r="O40" s="243">
        <f t="shared" si="30"/>
        <v>0</v>
      </c>
      <c r="P40" s="243">
        <f t="shared" si="30"/>
        <v>0</v>
      </c>
      <c r="Q40" s="243">
        <f t="shared" si="30"/>
        <v>-2.2863185111946099E-3</v>
      </c>
      <c r="R40" s="243">
        <f t="shared" si="30"/>
        <v>-1.4580035271295234E-3</v>
      </c>
      <c r="S40" s="243">
        <f t="shared" si="30"/>
        <v>0</v>
      </c>
      <c r="T40" s="243">
        <f>T38-T39</f>
        <v>0</v>
      </c>
      <c r="U40" s="243">
        <f ca="1">U38-U39</f>
        <v>0</v>
      </c>
      <c r="V40" s="243">
        <v>0</v>
      </c>
      <c r="W40" s="243">
        <v>0</v>
      </c>
      <c r="X40" s="478">
        <v>0</v>
      </c>
      <c r="Y40" s="478">
        <v>0</v>
      </c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"/>
    </row>
    <row r="41" spans="2:43" x14ac:dyDescent="0.55000000000000004">
      <c r="B41" s="18" t="s">
        <v>1157</v>
      </c>
      <c r="C41" s="70"/>
      <c r="D41" s="70"/>
      <c r="E41" s="70"/>
      <c r="F41" s="70"/>
      <c r="G41" s="70"/>
      <c r="H41" s="70"/>
      <c r="I41" s="70"/>
      <c r="J41" s="70"/>
      <c r="K41" s="243"/>
      <c r="L41" s="243"/>
      <c r="M41" s="243"/>
      <c r="N41" s="243"/>
      <c r="O41" s="243">
        <f t="shared" ref="O41:T41" si="31">O39-K39</f>
        <v>1.8439240321767546E-3</v>
      </c>
      <c r="P41" s="243">
        <f t="shared" si="31"/>
        <v>-5.0816432577649867E-3</v>
      </c>
      <c r="Q41" s="243">
        <f t="shared" si="31"/>
        <v>-5.925554420948647E-3</v>
      </c>
      <c r="R41" s="243">
        <f t="shared" si="31"/>
        <v>-5.7491561837202873E-3</v>
      </c>
      <c r="S41" s="243">
        <f t="shared" si="31"/>
        <v>-8.9817827143520747E-3</v>
      </c>
      <c r="T41" s="243">
        <f t="shared" si="31"/>
        <v>-2.8709627390341753E-3</v>
      </c>
      <c r="U41" s="243">
        <f t="shared" ref="U41:AD41" ca="1" si="32">U39-Q39</f>
        <v>-1.5799401197604777E-3</v>
      </c>
      <c r="V41" s="243">
        <f t="shared" si="32"/>
        <v>-1.6965779467680644E-3</v>
      </c>
      <c r="W41" s="243">
        <f t="shared" si="32"/>
        <v>1.894509363295882E-3</v>
      </c>
      <c r="X41" s="243">
        <f t="shared" si="32"/>
        <v>3.1658415355212098E-3</v>
      </c>
      <c r="Y41" s="243">
        <f t="shared" ca="1" si="32"/>
        <v>4.7721881817759833E-3</v>
      </c>
      <c r="Z41" s="243">
        <f t="shared" si="32"/>
        <v>3.1820498449653054E-3</v>
      </c>
      <c r="AA41" s="243">
        <f t="shared" si="32"/>
        <v>7.1512066518734235E-5</v>
      </c>
      <c r="AB41" s="243">
        <f t="shared" si="32"/>
        <v>-2.1706641536960239E-3</v>
      </c>
      <c r="AC41" s="243">
        <f t="shared" si="32"/>
        <v>-4.4363867172759822E-3</v>
      </c>
      <c r="AD41" s="243">
        <f t="shared" si="32"/>
        <v>-2.8213348842868573E-3</v>
      </c>
      <c r="AE41" s="243">
        <f>AE39-AA39</f>
        <v>-2.3640214298146153E-3</v>
      </c>
      <c r="AF41" s="243">
        <f>AF39-AB39</f>
        <v>-1.9157596131201167E-3</v>
      </c>
      <c r="AG41" s="243">
        <f>AG39-AC39</f>
        <v>-1.7558613447395226E-3</v>
      </c>
      <c r="AH41" s="243">
        <f>AH39-AD39</f>
        <v>-1.6274936813362381E-3</v>
      </c>
      <c r="AI41" s="243"/>
      <c r="AJ41" s="243"/>
      <c r="AK41" s="243"/>
      <c r="AL41" s="243"/>
      <c r="AM41" s="243"/>
      <c r="AN41" s="2"/>
    </row>
    <row r="42" spans="2:43" x14ac:dyDescent="0.55000000000000004">
      <c r="B42" s="18"/>
      <c r="C42" s="70"/>
      <c r="D42" s="70"/>
      <c r="E42" s="70"/>
      <c r="F42" s="70"/>
      <c r="G42" s="70"/>
      <c r="H42" s="70"/>
      <c r="I42" s="70"/>
      <c r="J42" s="70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76"/>
      <c r="AF42" s="276"/>
      <c r="AG42" s="276"/>
      <c r="AH42" s="276"/>
      <c r="AI42" s="276"/>
      <c r="AJ42" s="276"/>
      <c r="AK42" s="276"/>
      <c r="AL42" s="276"/>
      <c r="AM42" s="276"/>
      <c r="AN42" s="2"/>
    </row>
    <row r="43" spans="2:43" x14ac:dyDescent="0.55000000000000004">
      <c r="B43" s="18" t="s">
        <v>1158</v>
      </c>
      <c r="C43" s="70"/>
      <c r="D43" s="70"/>
      <c r="E43" s="70"/>
      <c r="F43" s="70"/>
      <c r="G43" s="70"/>
      <c r="H43" s="70"/>
      <c r="I43" s="70"/>
      <c r="J43" s="70"/>
      <c r="K43" s="243">
        <f t="shared" ref="K43:AH43" si="33">(K21-K36-K37-K232)/K163</f>
        <v>3.1235858682175318E-2</v>
      </c>
      <c r="L43" s="243">
        <f t="shared" si="33"/>
        <v>3.2273188228094093E-2</v>
      </c>
      <c r="M43" s="243">
        <f t="shared" si="33"/>
        <v>3.1725554420948647E-2</v>
      </c>
      <c r="N43" s="243">
        <f t="shared" si="33"/>
        <v>3.0149156183720289E-2</v>
      </c>
      <c r="O43" s="243">
        <f t="shared" si="33"/>
        <v>2.80694245804789E-2</v>
      </c>
      <c r="P43" s="243">
        <f t="shared" si="33"/>
        <v>2.4342391163562307E-2</v>
      </c>
      <c r="Q43" s="243">
        <f t="shared" si="33"/>
        <v>2.0295743387978665E-2</v>
      </c>
      <c r="R43" s="243">
        <f t="shared" si="33"/>
        <v>1.9748686399967869E-2</v>
      </c>
      <c r="S43" s="243">
        <f t="shared" si="33"/>
        <v>2.09631721879588E-2</v>
      </c>
      <c r="T43" s="243">
        <f t="shared" si="33"/>
        <v>2.0882654890729147E-2</v>
      </c>
      <c r="U43" s="243">
        <f t="shared" si="33"/>
        <v>2.0343508504983728E-2</v>
      </c>
      <c r="V43" s="243">
        <f t="shared" si="33"/>
        <v>1.8793229014612538E-2</v>
      </c>
      <c r="W43" s="243">
        <f t="shared" si="33"/>
        <v>2.1840626879599766E-2</v>
      </c>
      <c r="X43" s="243">
        <f t="shared" si="33"/>
        <v>2.3632584400326066E-2</v>
      </c>
      <c r="Y43" s="243">
        <f t="shared" si="33"/>
        <v>2.4830944833428983E-2</v>
      </c>
      <c r="Z43" s="243">
        <f t="shared" si="33"/>
        <v>2.2048850457398881E-2</v>
      </c>
      <c r="AA43" s="243">
        <f t="shared" si="33"/>
        <v>2.2311498539914345E-2</v>
      </c>
      <c r="AB43" s="243">
        <f t="shared" si="33"/>
        <v>2.2694400389819149E-2</v>
      </c>
      <c r="AC43" s="243">
        <f t="shared" si="33"/>
        <v>2.1951590340292228E-2</v>
      </c>
      <c r="AD43" s="243">
        <f t="shared" si="33"/>
        <v>2.0845715961278804E-2</v>
      </c>
      <c r="AE43" s="243">
        <f t="shared" si="33"/>
        <v>2.1176298758679858E-2</v>
      </c>
      <c r="AF43" s="243">
        <f t="shared" si="33"/>
        <v>2.1045647962729085E-2</v>
      </c>
      <c r="AG43" s="243">
        <f t="shared" ca="1" si="33"/>
        <v>2.0513150438132909E-2</v>
      </c>
      <c r="AH43" s="243">
        <f t="shared" ca="1" si="33"/>
        <v>1.9192248757596751E-2</v>
      </c>
      <c r="AI43" s="243"/>
      <c r="AJ43" s="243"/>
      <c r="AK43" s="243"/>
      <c r="AL43" s="243"/>
      <c r="AM43" s="243"/>
      <c r="AN43" s="2"/>
    </row>
    <row r="44" spans="2:43" x14ac:dyDescent="0.55000000000000004">
      <c r="B44" t="s">
        <v>2199</v>
      </c>
      <c r="C44" s="70"/>
      <c r="D44" s="70"/>
      <c r="E44" s="70"/>
      <c r="F44" s="70"/>
      <c r="G44" s="70"/>
      <c r="H44" s="70"/>
      <c r="I44" s="70"/>
      <c r="J44" s="70"/>
      <c r="K44" s="243"/>
      <c r="L44" s="243"/>
      <c r="M44" s="243"/>
      <c r="N44" s="62"/>
      <c r="O44" s="62"/>
      <c r="P44" s="62"/>
      <c r="Q44" s="62"/>
      <c r="R44" s="62"/>
      <c r="S44" s="62">
        <f t="shared" ref="S44:X44" si="34">S47-S67</f>
        <v>1039.9875045635788</v>
      </c>
      <c r="T44" s="62">
        <f t="shared" si="34"/>
        <v>1175.9243632692264</v>
      </c>
      <c r="U44" s="62">
        <f t="shared" si="34"/>
        <v>1359.2820360232452</v>
      </c>
      <c r="V44" s="62">
        <f t="shared" si="34"/>
        <v>1482.7857692529292</v>
      </c>
      <c r="W44" s="62">
        <f t="shared" si="34"/>
        <v>1749.4342130559412</v>
      </c>
      <c r="X44" s="62">
        <f t="shared" si="34"/>
        <v>2108.0265285090845</v>
      </c>
      <c r="Y44" s="62">
        <f t="shared" ref="Y44:AD44" si="35">Y47-Y67</f>
        <v>2242.2343184586371</v>
      </c>
      <c r="Z44" s="62">
        <f t="shared" si="35"/>
        <v>2079.2065981327146</v>
      </c>
      <c r="AA44" s="62">
        <f t="shared" si="35"/>
        <v>1965.6430213664537</v>
      </c>
      <c r="AB44" s="62">
        <f t="shared" si="35"/>
        <v>2103.770916136235</v>
      </c>
      <c r="AC44" s="62">
        <f t="shared" si="35"/>
        <v>2191.5589732134149</v>
      </c>
      <c r="AD44" s="62">
        <f t="shared" si="35"/>
        <v>2376.4116195857837</v>
      </c>
      <c r="AE44" s="62">
        <f>AE47-AE67</f>
        <v>2202.3350709027054</v>
      </c>
      <c r="AF44" s="62">
        <f>AF47-AF67</f>
        <v>2251.8843320120122</v>
      </c>
      <c r="AG44" s="62">
        <f ca="1">AG47-AG67</f>
        <v>2379.5254508234175</v>
      </c>
      <c r="AH44" s="62">
        <f ca="1">AH47-AH67</f>
        <v>2510.8489426883775</v>
      </c>
      <c r="AI44" s="62"/>
      <c r="AJ44" s="62"/>
      <c r="AK44" s="62"/>
      <c r="AL44" s="62"/>
      <c r="AM44" s="62"/>
      <c r="AN44" s="2"/>
    </row>
    <row r="45" spans="2:43" x14ac:dyDescent="0.55000000000000004">
      <c r="B45" s="15" t="s">
        <v>2200</v>
      </c>
      <c r="C45" s="484"/>
      <c r="D45" s="484"/>
      <c r="E45" s="484"/>
      <c r="F45" s="484"/>
      <c r="G45" s="484"/>
      <c r="H45" s="484"/>
      <c r="I45" s="484"/>
      <c r="J45" s="484"/>
      <c r="K45" s="485"/>
      <c r="L45" s="485"/>
      <c r="M45" s="485"/>
      <c r="N45" s="486"/>
      <c r="O45" s="486"/>
      <c r="P45" s="486"/>
      <c r="Q45" s="486"/>
      <c r="R45" s="486"/>
      <c r="S45" s="487">
        <f t="shared" ref="S45:AH45" si="36">S44/S163</f>
        <v>2.0787277724636795E-2</v>
      </c>
      <c r="T45" s="487">
        <f t="shared" si="36"/>
        <v>2.0873779413672255E-2</v>
      </c>
      <c r="U45" s="487">
        <f t="shared" si="36"/>
        <v>2.0343508504983725E-2</v>
      </c>
      <c r="V45" s="487">
        <f t="shared" si="36"/>
        <v>1.8793229014612538E-2</v>
      </c>
      <c r="W45" s="487">
        <f t="shared" si="36"/>
        <v>2.1840626879599766E-2</v>
      </c>
      <c r="X45" s="487">
        <f t="shared" si="36"/>
        <v>2.3632584400326059E-2</v>
      </c>
      <c r="Y45" s="487">
        <f t="shared" si="36"/>
        <v>2.4830944833428983E-2</v>
      </c>
      <c r="Z45" s="487">
        <f t="shared" si="36"/>
        <v>2.2048850457398881E-2</v>
      </c>
      <c r="AA45" s="487">
        <f t="shared" si="36"/>
        <v>2.2311498539914345E-2</v>
      </c>
      <c r="AB45" s="487">
        <f t="shared" si="36"/>
        <v>2.2694400389819149E-2</v>
      </c>
      <c r="AC45" s="487">
        <f t="shared" si="36"/>
        <v>2.1951590340292228E-2</v>
      </c>
      <c r="AD45" s="487">
        <f t="shared" si="36"/>
        <v>2.0845715961278804E-2</v>
      </c>
      <c r="AE45" s="487">
        <f t="shared" si="36"/>
        <v>2.1176298758679858E-2</v>
      </c>
      <c r="AF45" s="487">
        <f t="shared" si="36"/>
        <v>2.1045647962729085E-2</v>
      </c>
      <c r="AG45" s="487">
        <f t="shared" ca="1" si="36"/>
        <v>2.0513150438132909E-2</v>
      </c>
      <c r="AH45" s="487">
        <f t="shared" ca="1" si="36"/>
        <v>1.9192248757596748E-2</v>
      </c>
      <c r="AI45" s="62"/>
      <c r="AJ45" s="62"/>
      <c r="AK45" s="62"/>
      <c r="AL45" s="62"/>
      <c r="AM45" s="62"/>
      <c r="AN45" s="2"/>
    </row>
    <row r="46" spans="2:43" x14ac:dyDescent="0.55000000000000004">
      <c r="C46" s="70"/>
      <c r="D46" s="70"/>
      <c r="E46" s="70"/>
      <c r="F46" s="70"/>
      <c r="G46" s="70"/>
      <c r="H46" s="70"/>
      <c r="I46" s="70"/>
      <c r="J46" s="70"/>
      <c r="K46" s="243"/>
      <c r="L46" s="243"/>
      <c r="M46" s="243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2"/>
    </row>
    <row r="47" spans="2:43" x14ac:dyDescent="0.55000000000000004">
      <c r="B47" t="s">
        <v>2203</v>
      </c>
      <c r="C47" s="70"/>
      <c r="D47" s="70"/>
      <c r="E47" s="70"/>
      <c r="F47" s="70"/>
      <c r="G47" s="70"/>
      <c r="H47" s="70"/>
      <c r="I47" s="70"/>
      <c r="J47" s="70"/>
      <c r="K47" s="243"/>
      <c r="L47" s="243"/>
      <c r="M47" s="243"/>
      <c r="N47" s="62"/>
      <c r="O47" s="62"/>
      <c r="P47" s="62"/>
      <c r="Q47" s="62"/>
      <c r="R47" s="62"/>
      <c r="S47" s="62">
        <f t="shared" ref="S47:AH47" si="37">S24-S232</f>
        <v>995.5875045635787</v>
      </c>
      <c r="T47" s="62">
        <f t="shared" si="37"/>
        <v>1042.1243632692265</v>
      </c>
      <c r="U47" s="62">
        <f t="shared" si="37"/>
        <v>1149.4590360232451</v>
      </c>
      <c r="V47" s="62">
        <f t="shared" si="37"/>
        <v>1080.1857692529293</v>
      </c>
      <c r="W47" s="62">
        <f t="shared" si="37"/>
        <v>1128.4342130559412</v>
      </c>
      <c r="X47" s="62">
        <f t="shared" si="37"/>
        <v>1352.0265285090848</v>
      </c>
      <c r="Y47" s="62">
        <f t="shared" si="37"/>
        <v>1321.2343184586371</v>
      </c>
      <c r="Z47" s="62">
        <f t="shared" si="37"/>
        <v>1224.4972996311826</v>
      </c>
      <c r="AA47" s="62">
        <f t="shared" si="37"/>
        <v>1152.6430213664537</v>
      </c>
      <c r="AB47" s="62">
        <f t="shared" si="37"/>
        <v>1307.770916136235</v>
      </c>
      <c r="AC47" s="62">
        <f t="shared" si="37"/>
        <v>1371.5589732134149</v>
      </c>
      <c r="AD47" s="62">
        <f>AD24-AD232</f>
        <v>1535.4116195857837</v>
      </c>
      <c r="AE47" s="62">
        <f t="shared" si="37"/>
        <v>1491.1146498500741</v>
      </c>
      <c r="AF47" s="62">
        <f t="shared" si="37"/>
        <v>1568.9303635909596</v>
      </c>
      <c r="AG47" s="62">
        <f t="shared" ca="1" si="37"/>
        <v>1683.1981069637684</v>
      </c>
      <c r="AH47" s="62">
        <f t="shared" ca="1" si="37"/>
        <v>1786.7397242517684</v>
      </c>
      <c r="AI47" s="62"/>
      <c r="AJ47" s="62"/>
      <c r="AK47" s="62"/>
      <c r="AL47" s="62"/>
      <c r="AM47" s="62"/>
      <c r="AN47" s="2"/>
    </row>
    <row r="48" spans="2:43" x14ac:dyDescent="0.55000000000000004">
      <c r="B48" t="s">
        <v>2201</v>
      </c>
      <c r="C48" s="69"/>
      <c r="D48" s="69"/>
      <c r="E48" s="69"/>
      <c r="F48" s="69"/>
      <c r="G48" s="69"/>
      <c r="H48" s="69"/>
      <c r="I48" s="69"/>
      <c r="J48" s="69"/>
      <c r="K48" s="394"/>
      <c r="L48" s="394"/>
      <c r="M48" s="394"/>
      <c r="N48" s="394"/>
      <c r="O48" s="394"/>
      <c r="P48" s="394"/>
      <c r="Q48" s="394"/>
      <c r="R48" s="394"/>
      <c r="S48" s="487">
        <f t="shared" ref="S48:AH48" si="38">S47/S163</f>
        <v>1.9899810205148485E-2</v>
      </c>
      <c r="T48" s="487">
        <f t="shared" si="38"/>
        <v>1.8498701753248008E-2</v>
      </c>
      <c r="U48" s="487">
        <f t="shared" si="38"/>
        <v>1.7203221300475857E-2</v>
      </c>
      <c r="V48" s="487">
        <f t="shared" si="38"/>
        <v>1.3690567417654363E-2</v>
      </c>
      <c r="W48" s="487">
        <f t="shared" si="38"/>
        <v>1.408781789083572E-2</v>
      </c>
      <c r="X48" s="487">
        <f t="shared" si="38"/>
        <v>1.5157248077456107E-2</v>
      </c>
      <c r="Y48" s="487">
        <f t="shared" si="38"/>
        <v>1.4631609285256225E-2</v>
      </c>
      <c r="Z48" s="487">
        <f t="shared" si="38"/>
        <v>1.2985125128644566E-2</v>
      </c>
      <c r="AA48" s="487">
        <f t="shared" si="38"/>
        <v>1.3083348710175411E-2</v>
      </c>
      <c r="AB48" s="487">
        <f t="shared" si="38"/>
        <v>1.410756112336823E-2</v>
      </c>
      <c r="AC48" s="487">
        <f t="shared" si="38"/>
        <v>1.3738120249343072E-2</v>
      </c>
      <c r="AD48" s="487">
        <f>AD47/AD163</f>
        <v>1.3468522978822664E-2</v>
      </c>
      <c r="AE48" s="487">
        <f t="shared" si="38"/>
        <v>1.433764086394302E-2</v>
      </c>
      <c r="AF48" s="487">
        <f t="shared" si="38"/>
        <v>1.4662900594308033E-2</v>
      </c>
      <c r="AG48" s="487">
        <f t="shared" ca="1" si="38"/>
        <v>1.4510328508308348E-2</v>
      </c>
      <c r="AH48" s="487">
        <f t="shared" ca="1" si="38"/>
        <v>1.365735416014459E-2</v>
      </c>
      <c r="AI48" s="62"/>
      <c r="AJ48" s="62"/>
      <c r="AK48" s="62"/>
      <c r="AL48" s="62"/>
      <c r="AM48" s="62"/>
      <c r="AN48" s="2"/>
    </row>
    <row r="49" spans="2:40" x14ac:dyDescent="0.55000000000000004"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2:40" x14ac:dyDescent="0.55000000000000004">
      <c r="B50" s="18" t="s">
        <v>1820</v>
      </c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4"/>
      <c r="S50" s="4">
        <f t="shared" ref="S50:X50" si="39">S176</f>
        <v>5753.45</v>
      </c>
      <c r="T50" s="4">
        <f t="shared" si="39"/>
        <v>7323.55</v>
      </c>
      <c r="U50" s="4">
        <f t="shared" si="39"/>
        <v>10022.475</v>
      </c>
      <c r="V50" s="4">
        <f t="shared" si="39"/>
        <v>15780</v>
      </c>
      <c r="W50" s="4">
        <f t="shared" si="39"/>
        <v>20025</v>
      </c>
      <c r="X50" s="4">
        <f t="shared" si="39"/>
        <v>24976.000000000004</v>
      </c>
      <c r="Y50" s="4">
        <f>Y176</f>
        <v>27993</v>
      </c>
      <c r="Z50" s="4"/>
      <c r="AA50" s="4"/>
      <c r="AB50" s="4"/>
      <c r="AC50" s="4"/>
      <c r="AD50" s="4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2:40" x14ac:dyDescent="0.55000000000000004">
      <c r="B51" s="18" t="s">
        <v>1823</v>
      </c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243"/>
      <c r="S51" s="243">
        <v>1.7899999999999999E-2</v>
      </c>
      <c r="T51" s="243">
        <v>1.7899999999999999E-2</v>
      </c>
      <c r="U51" s="243">
        <v>1.67E-2</v>
      </c>
      <c r="V51" s="243">
        <v>1.7100000000000001E-2</v>
      </c>
      <c r="W51" s="243">
        <v>2.06E-2</v>
      </c>
      <c r="X51" s="478">
        <v>2.0899999999999998E-2</v>
      </c>
      <c r="Y51" s="478">
        <v>2.2100000000000002E-2</v>
      </c>
      <c r="Z51" s="4"/>
      <c r="AA51" s="4"/>
      <c r="AB51" s="4"/>
      <c r="AC51" s="4"/>
      <c r="AD51" s="4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2:40" x14ac:dyDescent="0.55000000000000004">
      <c r="B52" s="18" t="s">
        <v>1821</v>
      </c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4"/>
      <c r="S52" s="4">
        <f t="shared" ref="S52:X52" si="40">S51*S50</f>
        <v>102.98675499999999</v>
      </c>
      <c r="T52" s="4">
        <f t="shared" si="40"/>
        <v>131.091545</v>
      </c>
      <c r="U52" s="4">
        <f t="shared" si="40"/>
        <v>167.37533250000001</v>
      </c>
      <c r="V52" s="4">
        <f t="shared" si="40"/>
        <v>269.83800000000002</v>
      </c>
      <c r="W52" s="4">
        <f t="shared" si="40"/>
        <v>412.51499999999999</v>
      </c>
      <c r="X52" s="4">
        <f t="shared" si="40"/>
        <v>521.99840000000006</v>
      </c>
      <c r="Y52" s="4">
        <f>Y51*Y50</f>
        <v>618.64530000000002</v>
      </c>
      <c r="Z52" s="4"/>
      <c r="AA52" s="4"/>
      <c r="AB52" s="4"/>
      <c r="AC52" s="4"/>
      <c r="AD52" s="4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2:40" x14ac:dyDescent="0.55000000000000004">
      <c r="B53" s="18" t="s">
        <v>1822</v>
      </c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4"/>
      <c r="S53" s="4">
        <f t="shared" ref="S53:Y53" si="41">S21-S232-S52</f>
        <v>937.00074956357878</v>
      </c>
      <c r="T53" s="4">
        <f t="shared" si="41"/>
        <v>1044.8328182692264</v>
      </c>
      <c r="U53" s="4">
        <f t="shared" si="41"/>
        <v>1191.9067035232454</v>
      </c>
      <c r="V53" s="4">
        <f t="shared" si="41"/>
        <v>1212.9477692529292</v>
      </c>
      <c r="W53" s="4">
        <f t="shared" si="41"/>
        <v>1336.9192130559413</v>
      </c>
      <c r="X53" s="4">
        <f t="shared" si="41"/>
        <v>1586.028128509085</v>
      </c>
      <c r="Y53" s="4">
        <f t="shared" si="41"/>
        <v>1623.5890184586369</v>
      </c>
      <c r="Z53" s="4"/>
      <c r="AA53" s="4"/>
      <c r="AB53" s="4"/>
      <c r="AC53" s="4"/>
      <c r="AD53" s="4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2:40" x14ac:dyDescent="0.55000000000000004">
      <c r="B54" s="18" t="s">
        <v>1922</v>
      </c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243"/>
      <c r="S54" s="243">
        <f t="shared" ref="S54:Y54" si="42">S53/(S163-S50)</f>
        <v>2.1162460705804284E-2</v>
      </c>
      <c r="T54" s="243">
        <f t="shared" si="42"/>
        <v>2.1318137257094548E-2</v>
      </c>
      <c r="U54" s="243">
        <f t="shared" si="42"/>
        <v>2.0986480594098505E-2</v>
      </c>
      <c r="V54" s="243">
        <f t="shared" si="42"/>
        <v>1.9216536268265673E-2</v>
      </c>
      <c r="W54" s="243">
        <f t="shared" si="42"/>
        <v>2.2254169172799688E-2</v>
      </c>
      <c r="X54" s="243">
        <f t="shared" si="42"/>
        <v>2.4695256111563979E-2</v>
      </c>
      <c r="Y54" s="243">
        <f t="shared" si="42"/>
        <v>2.6057891062940552E-2</v>
      </c>
      <c r="Z54" s="243"/>
      <c r="AA54" s="243"/>
      <c r="AB54" s="243"/>
      <c r="AC54" s="243"/>
      <c r="AD54" s="243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2:40" x14ac:dyDescent="0.55000000000000004">
      <c r="B55" s="18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243"/>
      <c r="S55" s="243"/>
      <c r="T55" s="243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2:40" x14ac:dyDescent="0.55000000000000004">
      <c r="B56" s="18" t="s">
        <v>1819</v>
      </c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2:40" x14ac:dyDescent="0.55000000000000004"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2:40" x14ac:dyDescent="0.55000000000000004">
      <c r="B58" s="18" t="s">
        <v>251</v>
      </c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4">
        <v>100</v>
      </c>
      <c r="AM58" s="4">
        <f>(AN58+1)*AL58</f>
        <v>114.99999999999999</v>
      </c>
      <c r="AN58" s="163">
        <v>0.15</v>
      </c>
    </row>
    <row r="59" spans="2:40" x14ac:dyDescent="0.55000000000000004">
      <c r="B59" t="s">
        <v>1775</v>
      </c>
      <c r="C59" s="4">
        <v>-90.561301520000015</v>
      </c>
      <c r="D59" s="4">
        <v>-121.69771897000001</v>
      </c>
      <c r="E59" s="4">
        <v>-161.48711366000003</v>
      </c>
      <c r="F59" s="4">
        <v>-213.56948463000003</v>
      </c>
      <c r="G59" s="4">
        <v>-226.46537230000001</v>
      </c>
      <c r="H59" s="4">
        <v>-265.68257070000004</v>
      </c>
      <c r="I59" s="4">
        <v>-309.72155623999998</v>
      </c>
      <c r="J59" s="4">
        <v>-360.87286975000001</v>
      </c>
      <c r="K59" s="4">
        <v>-354.03634832000006</v>
      </c>
      <c r="L59" s="4">
        <v>-399.81202991000009</v>
      </c>
      <c r="M59" s="4">
        <v>-436.95274562999998</v>
      </c>
      <c r="N59" s="4">
        <v>-492.42777464999989</v>
      </c>
      <c r="O59" s="4">
        <v>-432.66913863999997</v>
      </c>
      <c r="P59" s="4">
        <v>-419.30907050999997</v>
      </c>
      <c r="Q59" s="4">
        <v>-597.68101764000005</v>
      </c>
      <c r="R59" s="4">
        <f t="shared" ref="R59:AH59" si="43">R10</f>
        <v>-668.18102446</v>
      </c>
      <c r="S59" s="4">
        <f t="shared" si="43"/>
        <v>-705.7</v>
      </c>
      <c r="T59" s="4">
        <f t="shared" si="43"/>
        <v>-828.1</v>
      </c>
      <c r="U59" s="4">
        <f t="shared" si="43"/>
        <v>-985</v>
      </c>
      <c r="V59" s="4">
        <f t="shared" si="43"/>
        <v>-1178</v>
      </c>
      <c r="W59" s="4">
        <f t="shared" si="43"/>
        <v>-1230</v>
      </c>
      <c r="X59" s="4">
        <f t="shared" si="43"/>
        <v>-1365</v>
      </c>
      <c r="Y59" s="4">
        <f t="shared" si="43"/>
        <v>-1379</v>
      </c>
      <c r="Z59" s="4">
        <f t="shared" si="43"/>
        <v>-1412</v>
      </c>
      <c r="AA59" s="4">
        <f t="shared" si="43"/>
        <v>-1338.17849682</v>
      </c>
      <c r="AB59" s="4">
        <f t="shared" si="43"/>
        <v>-1357.0185106399999</v>
      </c>
      <c r="AC59" s="4">
        <f t="shared" si="43"/>
        <v>-1449.9760000000001</v>
      </c>
      <c r="AD59" s="4">
        <f>AD10</f>
        <v>-1629.49450424</v>
      </c>
      <c r="AE59" s="4">
        <f t="shared" si="43"/>
        <v>-1497.6</v>
      </c>
      <c r="AF59" s="4">
        <f t="shared" si="43"/>
        <v>-1540.8</v>
      </c>
      <c r="AG59" s="4">
        <f t="shared" si="43"/>
        <v>-1670.3999999999999</v>
      </c>
      <c r="AH59" s="4">
        <f t="shared" si="43"/>
        <v>-1889.4580308440661</v>
      </c>
      <c r="AI59" s="4"/>
      <c r="AJ59" s="4"/>
      <c r="AK59" s="4"/>
      <c r="AL59" s="2">
        <v>0.125</v>
      </c>
      <c r="AM59" s="2">
        <v>0.13750000000000001</v>
      </c>
      <c r="AN59" s="163">
        <f>AM59/AL59-1</f>
        <v>0.10000000000000009</v>
      </c>
    </row>
    <row r="60" spans="2:40" x14ac:dyDescent="0.55000000000000004">
      <c r="B60" s="1" t="s">
        <v>279</v>
      </c>
      <c r="C60" s="94">
        <v>-14.299865949999983</v>
      </c>
      <c r="D60" s="94">
        <v>-18.734324240000035</v>
      </c>
      <c r="E60" s="94">
        <v>-20.462922019999951</v>
      </c>
      <c r="F60" s="94">
        <v>-20.254588809999916</v>
      </c>
      <c r="G60" s="94">
        <v>-20.695620241195911</v>
      </c>
      <c r="H60" s="94">
        <v>-15.725537861911448</v>
      </c>
      <c r="I60" s="94">
        <v>-16.920890455210213</v>
      </c>
      <c r="J60" s="94">
        <v>-30.395497451682388</v>
      </c>
      <c r="K60" s="351">
        <v>-26.904651679999915</v>
      </c>
      <c r="L60" s="351">
        <v>-32.918970089999959</v>
      </c>
      <c r="M60" s="351">
        <v>-31.076943030000109</v>
      </c>
      <c r="N60" s="351">
        <v>-41.3444829729753</v>
      </c>
      <c r="O60" s="351">
        <v>-123.76529144278589</v>
      </c>
      <c r="P60" s="351">
        <v>-170.111002322064</v>
      </c>
      <c r="Q60" s="351">
        <v>-204.17241107000018</v>
      </c>
      <c r="R60" s="351">
        <v>-157.54724097515043</v>
      </c>
      <c r="S60" s="351">
        <f t="shared" ref="S60:X60" si="44">S61-S59</f>
        <v>-140.19999999999993</v>
      </c>
      <c r="T60" s="351">
        <f t="shared" si="44"/>
        <v>-137</v>
      </c>
      <c r="U60" s="351">
        <f t="shared" si="44"/>
        <v>-127</v>
      </c>
      <c r="V60" s="351">
        <f t="shared" si="44"/>
        <v>-220</v>
      </c>
      <c r="W60" s="351">
        <f t="shared" si="44"/>
        <v>-73</v>
      </c>
      <c r="X60" s="351">
        <f t="shared" si="44"/>
        <v>-49</v>
      </c>
      <c r="Y60" s="351">
        <f t="shared" ref="Y60:AD60" si="45">Y61-Y59</f>
        <v>8</v>
      </c>
      <c r="Z60" s="351">
        <f t="shared" si="45"/>
        <v>-66</v>
      </c>
      <c r="AA60" s="351">
        <f t="shared" si="45"/>
        <v>-50.821503180000036</v>
      </c>
      <c r="AB60" s="351">
        <f t="shared" si="45"/>
        <v>-56.981489360000069</v>
      </c>
      <c r="AC60" s="351">
        <f t="shared" si="45"/>
        <v>-58.023999999999887</v>
      </c>
      <c r="AD60" s="351">
        <f t="shared" si="45"/>
        <v>-15.505495760000031</v>
      </c>
      <c r="AE60" s="352">
        <v>-35</v>
      </c>
      <c r="AF60" s="352">
        <v>-35</v>
      </c>
      <c r="AG60" s="352">
        <v>-35</v>
      </c>
      <c r="AH60" s="351">
        <f>-Master!L29-AE60-AF60-AG60</f>
        <v>-70.650000000000006</v>
      </c>
      <c r="AI60" s="506"/>
      <c r="AJ60" s="506"/>
      <c r="AK60" s="506"/>
      <c r="AL60" s="506">
        <f>AL58*AL59</f>
        <v>12.5</v>
      </c>
      <c r="AM60" s="506">
        <f>AM58*AM59</f>
        <v>15.8125</v>
      </c>
      <c r="AN60" s="163">
        <f>AM60/AL60-1</f>
        <v>0.2649999999999999</v>
      </c>
    </row>
    <row r="61" spans="2:40" x14ac:dyDescent="0.55000000000000004">
      <c r="B61" s="18" t="s">
        <v>474</v>
      </c>
      <c r="C61" s="4">
        <f>SUM(C59:C60)</f>
        <v>-104.86116747</v>
      </c>
      <c r="D61" s="4">
        <f t="shared" ref="D61:R61" si="46">SUM(D59:D60)</f>
        <v>-140.43204321000005</v>
      </c>
      <c r="E61" s="4">
        <f t="shared" si="46"/>
        <v>-181.95003567999998</v>
      </c>
      <c r="F61" s="4">
        <f t="shared" si="46"/>
        <v>-233.82407343999995</v>
      </c>
      <c r="G61" s="4">
        <f t="shared" si="46"/>
        <v>-247.16099254119592</v>
      </c>
      <c r="H61" s="4">
        <f t="shared" si="46"/>
        <v>-281.40810856191149</v>
      </c>
      <c r="I61" s="4">
        <f t="shared" si="46"/>
        <v>-326.6424466952102</v>
      </c>
      <c r="J61" s="4">
        <f t="shared" si="46"/>
        <v>-391.26836720168239</v>
      </c>
      <c r="K61" s="4">
        <f t="shared" si="46"/>
        <v>-380.94099999999997</v>
      </c>
      <c r="L61" s="4">
        <f t="shared" si="46"/>
        <v>-432.73100000000005</v>
      </c>
      <c r="M61" s="4">
        <f t="shared" si="46"/>
        <v>-468.02968866000009</v>
      </c>
      <c r="N61" s="4">
        <f t="shared" si="46"/>
        <v>-533.77225762297519</v>
      </c>
      <c r="O61" s="4">
        <f t="shared" si="46"/>
        <v>-556.43443008278587</v>
      </c>
      <c r="P61" s="4">
        <f t="shared" si="46"/>
        <v>-589.42007283206397</v>
      </c>
      <c r="Q61" s="4">
        <f t="shared" si="46"/>
        <v>-801.85342871000023</v>
      </c>
      <c r="R61" s="4">
        <f t="shared" si="46"/>
        <v>-825.72826543515043</v>
      </c>
      <c r="S61" s="4">
        <v>-845.9</v>
      </c>
      <c r="T61" s="4">
        <v>-965.1</v>
      </c>
      <c r="U61" s="4">
        <v>-1112</v>
      </c>
      <c r="V61" s="4">
        <v>-1398</v>
      </c>
      <c r="W61" s="4">
        <v>-1303</v>
      </c>
      <c r="X61" s="44">
        <v>-1414</v>
      </c>
      <c r="Y61" s="44">
        <v>-1371</v>
      </c>
      <c r="Z61" s="4">
        <v>-1478</v>
      </c>
      <c r="AA61" s="4">
        <v>-1389</v>
      </c>
      <c r="AB61" s="4">
        <v>-1414</v>
      </c>
      <c r="AC61" s="4">
        <v>-1508</v>
      </c>
      <c r="AD61" s="4">
        <v>-1645</v>
      </c>
      <c r="AE61" s="4">
        <f>SUM(AE59:AE60)</f>
        <v>-1532.6</v>
      </c>
      <c r="AF61" s="4">
        <f>SUM(AF59:AF60)</f>
        <v>-1575.8</v>
      </c>
      <c r="AG61" s="4">
        <f>SUM(AG59:AG60)</f>
        <v>-1705.3999999999999</v>
      </c>
      <c r="AH61" s="4">
        <f>SUM(AH59:AH60)</f>
        <v>-1960.1080308440662</v>
      </c>
      <c r="AI61" s="4"/>
      <c r="AJ61" s="4"/>
      <c r="AK61" s="4"/>
      <c r="AL61" s="4"/>
      <c r="AM61" s="4"/>
      <c r="AN61" s="4"/>
    </row>
    <row r="62" spans="2:40" x14ac:dyDescent="0.55000000000000004">
      <c r="B62" s="18" t="s">
        <v>1097</v>
      </c>
      <c r="C62" s="4"/>
      <c r="D62" s="4"/>
      <c r="E62" s="4"/>
      <c r="F62" s="4"/>
      <c r="G62" s="4"/>
      <c r="H62" s="4"/>
      <c r="I62" s="4"/>
      <c r="J62" s="4"/>
      <c r="K62" s="12">
        <f t="shared" ref="K62:AH62" si="47">-K59/K5</f>
        <v>0.49654763224346504</v>
      </c>
      <c r="L62" s="12">
        <f t="shared" si="47"/>
        <v>0.50042238815313145</v>
      </c>
      <c r="M62" s="12">
        <f t="shared" si="47"/>
        <v>0.49694794732152897</v>
      </c>
      <c r="N62" s="12">
        <f t="shared" si="47"/>
        <v>0.50004388032066416</v>
      </c>
      <c r="O62" s="12">
        <f t="shared" si="47"/>
        <v>0.44752500132839484</v>
      </c>
      <c r="P62" s="12">
        <f t="shared" si="47"/>
        <v>0.48958283302761652</v>
      </c>
      <c r="Q62" s="12">
        <f t="shared" si="47"/>
        <v>0.49314814114391364</v>
      </c>
      <c r="R62" s="12">
        <f t="shared" si="47"/>
        <v>0.45346523546657619</v>
      </c>
      <c r="S62" s="12">
        <f t="shared" si="47"/>
        <v>0.5095306859205776</v>
      </c>
      <c r="T62" s="12">
        <f t="shared" si="47"/>
        <v>0.53491376526064216</v>
      </c>
      <c r="U62" s="12">
        <f t="shared" si="47"/>
        <v>0.54960383885727038</v>
      </c>
      <c r="V62" s="12">
        <f t="shared" si="47"/>
        <v>0.57290146872872294</v>
      </c>
      <c r="W62" s="12">
        <f t="shared" si="47"/>
        <v>0.59883154819863682</v>
      </c>
      <c r="X62" s="12">
        <f t="shared" si="47"/>
        <v>0.6051371489040811</v>
      </c>
      <c r="Y62" s="12">
        <f t="shared" si="47"/>
        <v>0.60165794066317624</v>
      </c>
      <c r="Z62" s="12">
        <f t="shared" si="47"/>
        <v>0.61284722222222221</v>
      </c>
      <c r="AA62" s="12">
        <f>-AA59/AA5</f>
        <v>0.62211924538354257</v>
      </c>
      <c r="AB62" s="12">
        <f>-AB59/AB5</f>
        <v>0.62650900768236373</v>
      </c>
      <c r="AC62" s="12">
        <f>-AC59/AC5</f>
        <v>0.63903746143675633</v>
      </c>
      <c r="AD62" s="12">
        <f>-AD59/AD5</f>
        <v>0.6675520295944285</v>
      </c>
      <c r="AE62" s="12">
        <f t="shared" si="47"/>
        <v>0.6815327204878493</v>
      </c>
      <c r="AF62" s="12">
        <f t="shared" si="47"/>
        <v>0.68340282089949422</v>
      </c>
      <c r="AG62" s="12">
        <f t="shared" si="47"/>
        <v>0.67485455720749843</v>
      </c>
      <c r="AH62" s="12">
        <f t="shared" si="47"/>
        <v>0.65791263008209944</v>
      </c>
      <c r="AI62" s="12"/>
      <c r="AJ62" s="12"/>
      <c r="AK62" s="12"/>
      <c r="AL62" s="12"/>
      <c r="AM62" s="12"/>
      <c r="AN62" s="4"/>
    </row>
    <row r="63" spans="2:40" x14ac:dyDescent="0.55000000000000004">
      <c r="B63" s="1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2:40" x14ac:dyDescent="0.55000000000000004">
      <c r="B64" t="s">
        <v>308</v>
      </c>
      <c r="C64" s="4">
        <v>-100.40192361999999</v>
      </c>
      <c r="D64" s="4">
        <v>-125.78697333000007</v>
      </c>
      <c r="E64" s="4">
        <v>-113.90195097999988</v>
      </c>
      <c r="F64" s="4">
        <v>-111.54371021000007</v>
      </c>
      <c r="G64" s="4">
        <v>-99.444266920885923</v>
      </c>
      <c r="H64" s="4">
        <v>-127.07066880411773</v>
      </c>
      <c r="I64" s="4">
        <v>-147.67930659881088</v>
      </c>
      <c r="J64" s="4">
        <v>-193.61293967618548</v>
      </c>
      <c r="K64" s="4">
        <v>-147.78299999999999</v>
      </c>
      <c r="L64" s="4">
        <v>-158.279</v>
      </c>
      <c r="M64" s="4">
        <v>-88.944000000000003</v>
      </c>
      <c r="N64" s="4">
        <v>-68.156986600406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2:62" x14ac:dyDescent="0.55000000000000004">
      <c r="B65" t="s">
        <v>309</v>
      </c>
      <c r="C65" s="4">
        <v>-69.892630299999993</v>
      </c>
      <c r="D65" s="4">
        <v>-69.058173639999964</v>
      </c>
      <c r="E65" s="4">
        <v>-65.669241040000017</v>
      </c>
      <c r="F65" s="4">
        <v>-70.773899420000006</v>
      </c>
      <c r="G65" s="4">
        <v>-90.939413707024599</v>
      </c>
      <c r="H65" s="4">
        <v>-102.30818841998386</v>
      </c>
      <c r="I65" s="4">
        <v>-93.328968433967759</v>
      </c>
      <c r="J65" s="4">
        <v>-88.942101439023801</v>
      </c>
      <c r="K65" s="4">
        <v>-79.992000000000004</v>
      </c>
      <c r="L65" s="4">
        <v>-116.13137816814655</v>
      </c>
      <c r="M65" s="4">
        <v>-136.02005020999991</v>
      </c>
      <c r="N65" s="4">
        <v>-144.32274114695488</v>
      </c>
      <c r="O65" s="4">
        <v>-156.20876746351843</v>
      </c>
      <c r="P65" s="4">
        <v>-98.011156376408792</v>
      </c>
      <c r="Q65" s="4">
        <v>-115.93355741490382</v>
      </c>
      <c r="R65" s="4">
        <v>-140.4867962403975</v>
      </c>
      <c r="S65" s="4">
        <v>-190</v>
      </c>
      <c r="T65" s="4">
        <v>-213</v>
      </c>
      <c r="U65" s="4">
        <v>-210.441</v>
      </c>
      <c r="V65" s="4">
        <v>-177.8</v>
      </c>
      <c r="W65" s="4">
        <v>-172</v>
      </c>
      <c r="X65" s="44">
        <v>-167</v>
      </c>
      <c r="Y65" s="44">
        <v>-200</v>
      </c>
      <c r="Z65" s="4">
        <v>-177.95756170999999</v>
      </c>
      <c r="AA65" s="4">
        <v>-118</v>
      </c>
      <c r="AB65" s="4">
        <v>-129</v>
      </c>
      <c r="AC65" s="4">
        <v>-140</v>
      </c>
      <c r="AD65" s="4">
        <v>-194</v>
      </c>
      <c r="AE65" s="105">
        <v>-145</v>
      </c>
      <c r="AF65" s="105">
        <v>-160</v>
      </c>
      <c r="AG65" s="105">
        <v>-170</v>
      </c>
      <c r="AH65" s="4">
        <f>-Master!L48-AE65-AF65-AG65</f>
        <v>-222.35530333470433</v>
      </c>
      <c r="AI65" s="4"/>
      <c r="AJ65" s="4"/>
      <c r="AK65" s="4"/>
      <c r="AL65" s="4"/>
      <c r="AM65" s="4"/>
      <c r="AN65" s="2"/>
    </row>
    <row r="66" spans="2:62" x14ac:dyDescent="0.55000000000000004">
      <c r="B66" t="s">
        <v>310</v>
      </c>
      <c r="C66" s="4">
        <v>-20.318000854860991</v>
      </c>
      <c r="D66" s="4">
        <v>-26.40716810816701</v>
      </c>
      <c r="E66" s="4">
        <v>-27.966649504605972</v>
      </c>
      <c r="F66" s="4">
        <v>-31.102378022366043</v>
      </c>
      <c r="G66" s="4">
        <v>-242.35347333074063</v>
      </c>
      <c r="H66" s="4">
        <v>-97.840534746052782</v>
      </c>
      <c r="I66" s="4">
        <v>-154.78406860121561</v>
      </c>
      <c r="J66" s="4">
        <v>-51.848395321990942</v>
      </c>
      <c r="K66" s="4">
        <v>-77.790000000000006</v>
      </c>
      <c r="L66" s="4">
        <v>-93.461133113411776</v>
      </c>
      <c r="M66" s="4">
        <v>-136.28153542968138</v>
      </c>
      <c r="N66" s="4">
        <v>-91.571702631318004</v>
      </c>
      <c r="O66" s="4">
        <v>-105.02841993885276</v>
      </c>
      <c r="P66" s="4">
        <v>-98.397755101145407</v>
      </c>
      <c r="Q66" s="4">
        <v>-205.89442044230148</v>
      </c>
      <c r="R66" s="4">
        <v>-209.81598534221621</v>
      </c>
      <c r="S66" s="4">
        <v>-232</v>
      </c>
      <c r="T66" s="4">
        <v>-249</v>
      </c>
      <c r="U66" s="4">
        <v>-335.50700000000001</v>
      </c>
      <c r="V66" s="4">
        <v>-258.5</v>
      </c>
      <c r="W66" s="4">
        <v>-255</v>
      </c>
      <c r="X66" s="44">
        <v>-291.87599999999998</v>
      </c>
      <c r="Y66" s="44">
        <v>-278</v>
      </c>
      <c r="Z66" s="4">
        <v>-207.52445172790692</v>
      </c>
      <c r="AA66" s="4">
        <v>-272</v>
      </c>
      <c r="AB66" s="4">
        <v>-276</v>
      </c>
      <c r="AC66" s="4">
        <v>-274</v>
      </c>
      <c r="AD66" s="4">
        <v>-300</v>
      </c>
      <c r="AE66" s="105">
        <v>-270</v>
      </c>
      <c r="AF66" s="105">
        <v>-280</v>
      </c>
      <c r="AG66" s="105">
        <v>-310</v>
      </c>
      <c r="AH66" s="4">
        <f>-Master!L51-AE66-AF66-AG66</f>
        <v>-334.22095696068141</v>
      </c>
      <c r="AI66" s="4"/>
      <c r="AJ66" s="4"/>
      <c r="AK66" s="4"/>
      <c r="AL66" s="4"/>
      <c r="AM66" s="4"/>
      <c r="AN66" s="2"/>
    </row>
    <row r="67" spans="2:62" x14ac:dyDescent="0.55000000000000004">
      <c r="B67" t="s">
        <v>179</v>
      </c>
      <c r="C67" s="4">
        <v>-19.218084329999996</v>
      </c>
      <c r="D67" s="4">
        <v>-23.540114429999999</v>
      </c>
      <c r="E67" s="4">
        <v>-21.033999999999999</v>
      </c>
      <c r="F67" s="4">
        <v>-40.751801239999992</v>
      </c>
      <c r="G67" s="4">
        <v>-16.523</v>
      </c>
      <c r="H67" s="4">
        <v>-2.8043396799999973</v>
      </c>
      <c r="I67" s="4">
        <v>-7.2258540800000048</v>
      </c>
      <c r="J67" s="4">
        <v>-4.6558820099999974</v>
      </c>
      <c r="K67" s="4">
        <v>-5.8390000000000004</v>
      </c>
      <c r="L67" s="4">
        <v>-2.2040000000000002</v>
      </c>
      <c r="M67" s="4">
        <v>-6.6099013700000011</v>
      </c>
      <c r="N67" s="4">
        <v>-23.585409509999991</v>
      </c>
      <c r="O67" s="4">
        <v>-45.561989969999999</v>
      </c>
      <c r="P67" s="4">
        <v>-17.872514700000004</v>
      </c>
      <c r="Q67" s="4">
        <v>-16.255824970000006</v>
      </c>
      <c r="R67" s="4">
        <v>-29.542062089999998</v>
      </c>
      <c r="S67" s="4">
        <v>-44.4</v>
      </c>
      <c r="T67" s="4">
        <v>-133.80000000000001</v>
      </c>
      <c r="U67" s="4">
        <v>-209.82300000000001</v>
      </c>
      <c r="V67" s="4">
        <v>-402.6</v>
      </c>
      <c r="W67" s="4">
        <v>-621</v>
      </c>
      <c r="X67" s="44">
        <v>-756</v>
      </c>
      <c r="Y67" s="44">
        <v>-921</v>
      </c>
      <c r="Z67" s="4">
        <v>-854.70929850153209</v>
      </c>
      <c r="AA67" s="4">
        <v>-813</v>
      </c>
      <c r="AB67" s="4">
        <v>-796</v>
      </c>
      <c r="AC67" s="4">
        <v>-820</v>
      </c>
      <c r="AD67" s="4">
        <v>-841</v>
      </c>
      <c r="AE67" s="105">
        <f>AD67*(AE93/AD93)*(AE159/AD159)*1.03</f>
        <v>-711.22042105263154</v>
      </c>
      <c r="AF67" s="105">
        <f>AE67*(AF93/AE93)*(AF159/AE159)</f>
        <v>-682.95396842105254</v>
      </c>
      <c r="AG67" s="105">
        <f>AF67*(AG93/AF93)*(AG159/AF159)</f>
        <v>-696.32734385964898</v>
      </c>
      <c r="AH67" s="4">
        <f>-Master!L62-AE67-AF67-AG67</f>
        <v>-724.10921843660924</v>
      </c>
      <c r="AI67" s="4"/>
      <c r="AJ67" s="2"/>
      <c r="AK67" s="2"/>
      <c r="AL67" s="4"/>
      <c r="AM67" s="4"/>
      <c r="AN67" s="2"/>
    </row>
    <row r="68" spans="2:62" x14ac:dyDescent="0.55000000000000004">
      <c r="B68" t="s">
        <v>3029</v>
      </c>
      <c r="C68" s="4">
        <v>-17.434257389999999</v>
      </c>
      <c r="D68" s="4">
        <v>-7.849375049999999</v>
      </c>
      <c r="E68" s="4">
        <v>-10.144890119999999</v>
      </c>
      <c r="F68" s="4">
        <v>-12.425418829999998</v>
      </c>
      <c r="G68" s="4">
        <v>-14.43797298</v>
      </c>
      <c r="H68" s="4">
        <v>-13.707775329999995</v>
      </c>
      <c r="I68" s="4">
        <v>-22.251337780000007</v>
      </c>
      <c r="J68" s="4">
        <v>-21.094256909999988</v>
      </c>
      <c r="K68" s="4">
        <v>-32.835000000000001</v>
      </c>
      <c r="L68" s="4">
        <v>-41.647968629999994</v>
      </c>
      <c r="M68" s="4">
        <v>-62.257362580000034</v>
      </c>
      <c r="N68" s="4">
        <v>-63.892754299999972</v>
      </c>
      <c r="O68" s="4">
        <v>-70.171495870000001</v>
      </c>
      <c r="P68" s="4">
        <v>-60.324426360000004</v>
      </c>
      <c r="Q68" s="4">
        <v>-82.473348340000015</v>
      </c>
      <c r="R68" s="4">
        <v>-75.339767269999996</v>
      </c>
      <c r="S68" s="4">
        <v>-173</v>
      </c>
      <c r="T68" s="4">
        <v>-147</v>
      </c>
      <c r="U68" s="4">
        <v>-129.89099999999999</v>
      </c>
      <c r="V68" s="4">
        <v>-214.2</v>
      </c>
      <c r="W68" s="4">
        <v>-250</v>
      </c>
      <c r="X68" s="44">
        <v>-270.48399999999998</v>
      </c>
      <c r="Y68" s="44">
        <v>-273</v>
      </c>
      <c r="Z68" s="4">
        <v>-191.53634024999999</v>
      </c>
      <c r="AA68" s="4">
        <v>-126</v>
      </c>
      <c r="AB68" s="4">
        <v>-122</v>
      </c>
      <c r="AC68" s="4">
        <v>-165</v>
      </c>
      <c r="AD68" s="4">
        <v>-123</v>
      </c>
      <c r="AE68" s="105">
        <v>-130</v>
      </c>
      <c r="AF68" s="105">
        <v>-130</v>
      </c>
      <c r="AG68" s="105">
        <v>-130</v>
      </c>
      <c r="AH68" s="4">
        <f>-Master!L69-AE68-AF68-AG68</f>
        <v>-144.10754210201117</v>
      </c>
      <c r="AI68" s="4"/>
      <c r="AJ68" s="4"/>
      <c r="AK68" s="4"/>
      <c r="AL68" s="4"/>
      <c r="AM68" s="4"/>
      <c r="AN68" s="2"/>
    </row>
    <row r="69" spans="2:62" x14ac:dyDescent="0.55000000000000004">
      <c r="B69" t="s">
        <v>312</v>
      </c>
      <c r="C69" s="4">
        <v>-10.739059286122002</v>
      </c>
      <c r="D69" s="4">
        <v>-11.933667379328</v>
      </c>
      <c r="E69" s="4">
        <v>-13.492266995413001</v>
      </c>
      <c r="F69" s="4">
        <v>-15.406494519136968</v>
      </c>
      <c r="G69" s="4">
        <v>-18.006200776278</v>
      </c>
      <c r="H69" s="4">
        <v>-20.540659115095991</v>
      </c>
      <c r="I69" s="4">
        <v>-23.925763707406396</v>
      </c>
      <c r="J69" s="4">
        <v>-32.889000000000003</v>
      </c>
      <c r="K69" s="4">
        <v>-26.4</v>
      </c>
      <c r="L69" s="4">
        <v>-21.7</v>
      </c>
      <c r="M69" s="4">
        <v>-34.1</v>
      </c>
      <c r="N69" s="4">
        <v>-46.099999999999994</v>
      </c>
      <c r="O69" s="4">
        <v>-59.6</v>
      </c>
      <c r="P69" s="4">
        <v>-81.400000000000006</v>
      </c>
      <c r="Q69" s="4">
        <v>-101.52798060813829</v>
      </c>
      <c r="R69" s="4">
        <v>-133.82178216510505</v>
      </c>
      <c r="S69" s="4">
        <v>-158.30000000000001</v>
      </c>
      <c r="T69" s="4">
        <v>-181.5</v>
      </c>
      <c r="U69" s="4">
        <v>-203.3</v>
      </c>
      <c r="V69" s="4">
        <v>-225.5</v>
      </c>
      <c r="W69" s="4">
        <v>-249</v>
      </c>
      <c r="X69" s="44">
        <v>-280.56599999999997</v>
      </c>
      <c r="Y69" s="44">
        <v>-294</v>
      </c>
      <c r="Z69" s="4">
        <v>-306.649080200865</v>
      </c>
      <c r="AA69" s="4">
        <v>-317</v>
      </c>
      <c r="AB69" s="4">
        <v>-326</v>
      </c>
      <c r="AC69" s="4">
        <v>-346</v>
      </c>
      <c r="AD69" s="4">
        <v>-366</v>
      </c>
      <c r="AE69" s="105">
        <v>-395</v>
      </c>
      <c r="AF69" s="105">
        <v>-430</v>
      </c>
      <c r="AG69" s="105">
        <v>-460</v>
      </c>
      <c r="AH69" s="4">
        <f>-Master!L72-AE69-AF69-AG69</f>
        <v>-488.54706458419037</v>
      </c>
      <c r="AI69" s="4"/>
      <c r="AJ69" s="4"/>
      <c r="AK69" s="4"/>
      <c r="AL69" s="4"/>
      <c r="AM69" s="4"/>
      <c r="AN69" s="62"/>
    </row>
    <row r="70" spans="2:62" x14ac:dyDescent="0.55000000000000004">
      <c r="B70" t="s">
        <v>3290</v>
      </c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>
        <v>0</v>
      </c>
      <c r="X70" s="44">
        <v>-93.141000000000005</v>
      </c>
      <c r="Y70" s="44">
        <v>-41.164966999999997</v>
      </c>
      <c r="Z70" s="4">
        <v>-65.599999999999994</v>
      </c>
      <c r="AA70" s="4">
        <v>-62.256</v>
      </c>
      <c r="AB70" s="4">
        <v>-64.739999999999995</v>
      </c>
      <c r="AC70" s="4">
        <v>-63.747</v>
      </c>
      <c r="AD70" s="4">
        <v>-56.814999999999998</v>
      </c>
      <c r="AE70" s="105">
        <v>-50</v>
      </c>
      <c r="AF70" s="105">
        <v>-50</v>
      </c>
      <c r="AG70" s="105">
        <v>-50</v>
      </c>
      <c r="AH70" s="4">
        <f>-Master!L81-AE70-AF70-AG70</f>
        <v>-50</v>
      </c>
      <c r="AI70" s="4"/>
      <c r="AJ70" s="4"/>
      <c r="AK70" s="4"/>
      <c r="AL70" s="4"/>
      <c r="AM70" s="4"/>
      <c r="AN70" s="62"/>
    </row>
    <row r="71" spans="2:62" x14ac:dyDescent="0.55000000000000004">
      <c r="B71" s="1" t="s">
        <v>313</v>
      </c>
      <c r="C71" s="6">
        <v>-23.465303082445995</v>
      </c>
      <c r="D71" s="6">
        <v>-35.778271691038029</v>
      </c>
      <c r="E71" s="6">
        <v>-37.803684563427957</v>
      </c>
      <c r="F71" s="6">
        <v>-44.973895893088049</v>
      </c>
      <c r="G71" s="6">
        <v>-36.164999999999999</v>
      </c>
      <c r="H71" s="6">
        <v>-43.356245066964398</v>
      </c>
      <c r="I71" s="6">
        <v>-40.968528405746241</v>
      </c>
      <c r="J71" s="6">
        <v>-61.885253912457777</v>
      </c>
      <c r="K71" s="6">
        <v>-50.357999999999997</v>
      </c>
      <c r="L71" s="6">
        <v>-62.454999999999998</v>
      </c>
      <c r="M71" s="6">
        <v>-62.806944640335303</v>
      </c>
      <c r="N71" s="6">
        <v>-97.794307262842665</v>
      </c>
      <c r="O71" s="6">
        <v>-98.142087508910407</v>
      </c>
      <c r="P71" s="6">
        <v>0.41013832930178751</v>
      </c>
      <c r="Q71" s="6">
        <v>-105.34306354303449</v>
      </c>
      <c r="R71" s="6">
        <v>-159.86786759581364</v>
      </c>
      <c r="S71" s="6">
        <v>-63</v>
      </c>
      <c r="T71" s="6">
        <v>-143</v>
      </c>
      <c r="U71" s="6">
        <v>-153.471</v>
      </c>
      <c r="V71" s="6">
        <v>-191.2</v>
      </c>
      <c r="W71" s="6">
        <v>-160.30000000000001</v>
      </c>
      <c r="X71" s="45">
        <f>-287.715-X70</f>
        <v>-194.57399999999996</v>
      </c>
      <c r="Y71" s="45">
        <f>-273-Y70</f>
        <v>-231.83503300000001</v>
      </c>
      <c r="Z71" s="6">
        <f>-270.43664416561-Z70</f>
        <v>-204.83664416561001</v>
      </c>
      <c r="AA71" s="6">
        <f>-267-AA70</f>
        <v>-204.744</v>
      </c>
      <c r="AB71" s="6">
        <f>-278-AB70</f>
        <v>-213.26</v>
      </c>
      <c r="AC71" s="6">
        <f>-261-AC70</f>
        <v>-197.25299999999999</v>
      </c>
      <c r="AD71" s="6">
        <f>-294-AD70</f>
        <v>-237.185</v>
      </c>
      <c r="AE71" s="350">
        <v>-215</v>
      </c>
      <c r="AF71" s="350">
        <v>-220</v>
      </c>
      <c r="AG71" s="350">
        <v>-195</v>
      </c>
      <c r="AH71" s="6">
        <f>-Master!L83-AE71-AF71-AG71</f>
        <v>-241.69412916838053</v>
      </c>
      <c r="AI71" s="4"/>
      <c r="AJ71" s="4"/>
      <c r="AK71" s="4"/>
      <c r="AL71" s="4"/>
      <c r="AM71" s="4"/>
      <c r="AN71" s="2"/>
    </row>
    <row r="72" spans="2:62" x14ac:dyDescent="0.55000000000000004">
      <c r="B72" s="18" t="s">
        <v>319</v>
      </c>
      <c r="C72" s="95">
        <f t="shared" ref="C72:Q72" si="48">C61+SUM(C64:C71)</f>
        <v>-366.33042633342899</v>
      </c>
      <c r="D72" s="95">
        <f t="shared" si="48"/>
        <v>-440.78578683853311</v>
      </c>
      <c r="E72" s="95">
        <f t="shared" si="48"/>
        <v>-471.96271888344683</v>
      </c>
      <c r="F72" s="95">
        <f t="shared" si="48"/>
        <v>-560.80167157459118</v>
      </c>
      <c r="G72" s="95">
        <f t="shared" si="48"/>
        <v>-765.03032025612504</v>
      </c>
      <c r="H72" s="95">
        <f t="shared" si="48"/>
        <v>-689.03651972412626</v>
      </c>
      <c r="I72" s="95">
        <f t="shared" si="48"/>
        <v>-816.80627430235711</v>
      </c>
      <c r="J72" s="95">
        <f t="shared" si="48"/>
        <v>-846.19619647134039</v>
      </c>
      <c r="K72" s="95">
        <f t="shared" si="48"/>
        <v>-801.93799999999987</v>
      </c>
      <c r="L72" s="95">
        <f t="shared" si="48"/>
        <v>-928.60947991155831</v>
      </c>
      <c r="M72" s="95">
        <f t="shared" si="48"/>
        <v>-995.04948289001686</v>
      </c>
      <c r="N72" s="95">
        <f t="shared" si="48"/>
        <v>-1069.1961590744968</v>
      </c>
      <c r="O72" s="95">
        <f t="shared" si="48"/>
        <v>-1091.1471908340675</v>
      </c>
      <c r="P72" s="95">
        <f t="shared" si="48"/>
        <v>-945.01578704031635</v>
      </c>
      <c r="Q72" s="95">
        <f t="shared" si="48"/>
        <v>-1429.2816240283782</v>
      </c>
      <c r="R72" s="95">
        <v>-1574.6</v>
      </c>
      <c r="S72" s="95">
        <f t="shared" ref="S72:AH72" si="49">SUM(S65:S71)+S61</f>
        <v>-1706.6</v>
      </c>
      <c r="T72" s="95">
        <f t="shared" si="49"/>
        <v>-2032.4</v>
      </c>
      <c r="U72" s="95">
        <f t="shared" si="49"/>
        <v>-2354.433</v>
      </c>
      <c r="V72" s="95">
        <f t="shared" si="49"/>
        <v>-2867.8</v>
      </c>
      <c r="W72" s="95">
        <f t="shared" si="49"/>
        <v>-3010.3</v>
      </c>
      <c r="X72" s="95">
        <f t="shared" si="49"/>
        <v>-3467.6410000000001</v>
      </c>
      <c r="Y72" s="95">
        <f t="shared" si="49"/>
        <v>-3610</v>
      </c>
      <c r="Z72" s="95">
        <f t="shared" si="49"/>
        <v>-3486.8133765559141</v>
      </c>
      <c r="AA72" s="95">
        <f t="shared" si="49"/>
        <v>-3302</v>
      </c>
      <c r="AB72" s="95">
        <f t="shared" si="49"/>
        <v>-3341</v>
      </c>
      <c r="AC72" s="95">
        <f t="shared" si="49"/>
        <v>-3514</v>
      </c>
      <c r="AD72" s="95">
        <f t="shared" si="49"/>
        <v>-3763</v>
      </c>
      <c r="AE72" s="95">
        <f t="shared" si="49"/>
        <v>-3448.8204210526314</v>
      </c>
      <c r="AF72" s="95">
        <f t="shared" si="49"/>
        <v>-3528.7539684210524</v>
      </c>
      <c r="AG72" s="95">
        <f t="shared" si="49"/>
        <v>-3716.7273438596485</v>
      </c>
      <c r="AH72" s="95">
        <f t="shared" si="49"/>
        <v>-4165.142245430643</v>
      </c>
      <c r="AI72" s="95"/>
      <c r="AJ72" s="95"/>
      <c r="AK72" s="95"/>
      <c r="AL72" s="95"/>
      <c r="AM72" s="95"/>
      <c r="AN72" s="2"/>
    </row>
    <row r="73" spans="2:62" x14ac:dyDescent="0.55000000000000004">
      <c r="B73" s="18" t="s">
        <v>3292</v>
      </c>
      <c r="C73" s="95"/>
      <c r="D73" s="95"/>
      <c r="E73" s="95"/>
      <c r="F73" s="95"/>
      <c r="G73" s="95"/>
      <c r="H73" s="95"/>
      <c r="I73" s="95"/>
      <c r="J73" s="95"/>
      <c r="K73" s="95">
        <f t="shared" ref="K73:Y73" si="50">K72-K69-K61</f>
        <v>-394.59699999999992</v>
      </c>
      <c r="L73" s="95">
        <f t="shared" si="50"/>
        <v>-474.17847991155821</v>
      </c>
      <c r="M73" s="95">
        <f t="shared" si="50"/>
        <v>-492.91979423001675</v>
      </c>
      <c r="N73" s="95">
        <f t="shared" si="50"/>
        <v>-489.32390145152158</v>
      </c>
      <c r="O73" s="95">
        <f t="shared" si="50"/>
        <v>-475.11276075128171</v>
      </c>
      <c r="P73" s="95">
        <f t="shared" si="50"/>
        <v>-274.19571420825241</v>
      </c>
      <c r="Q73" s="95">
        <f t="shared" si="50"/>
        <v>-525.90021471023977</v>
      </c>
      <c r="R73" s="95">
        <f t="shared" si="50"/>
        <v>-615.04995239974437</v>
      </c>
      <c r="S73" s="95">
        <f t="shared" si="50"/>
        <v>-702.4</v>
      </c>
      <c r="T73" s="95">
        <f t="shared" si="50"/>
        <v>-885.80000000000007</v>
      </c>
      <c r="U73" s="95">
        <f t="shared" si="50"/>
        <v>-1039.1329999999998</v>
      </c>
      <c r="V73" s="95">
        <f t="shared" si="50"/>
        <v>-1244.3000000000002</v>
      </c>
      <c r="W73" s="95">
        <f t="shared" si="50"/>
        <v>-1458.3000000000002</v>
      </c>
      <c r="X73" s="95">
        <f t="shared" si="50"/>
        <v>-1773.0750000000003</v>
      </c>
      <c r="Y73" s="95">
        <f t="shared" si="50"/>
        <v>-1945</v>
      </c>
      <c r="Z73" s="95">
        <f>Z72-Z69-Z61-Z67-Z70</f>
        <v>-781.85499785351726</v>
      </c>
      <c r="AA73" s="95">
        <f t="shared" ref="AA73:AH73" si="51">AA72-AA69-AA61-AA67-AA70</f>
        <v>-720.74400000000003</v>
      </c>
      <c r="AB73" s="95">
        <f t="shared" si="51"/>
        <v>-740.26</v>
      </c>
      <c r="AC73" s="95">
        <f t="shared" si="51"/>
        <v>-776.25300000000004</v>
      </c>
      <c r="AD73" s="95">
        <f t="shared" si="51"/>
        <v>-854.18499999999995</v>
      </c>
      <c r="AE73" s="95">
        <f t="shared" si="51"/>
        <v>-760</v>
      </c>
      <c r="AF73" s="95">
        <f t="shared" si="51"/>
        <v>-789.99999999999989</v>
      </c>
      <c r="AG73" s="95">
        <f t="shared" si="51"/>
        <v>-804.99999999999966</v>
      </c>
      <c r="AH73" s="95">
        <f t="shared" si="51"/>
        <v>-942.37793156577698</v>
      </c>
      <c r="AI73" s="95"/>
      <c r="AJ73" s="95"/>
      <c r="AK73" s="95"/>
      <c r="AL73" s="95"/>
      <c r="AM73" s="95"/>
      <c r="AN73" s="2"/>
      <c r="BC73" s="41">
        <f t="shared" ref="BC73:BJ73" si="52">AA73/W73-1</f>
        <v>-0.50576424603990955</v>
      </c>
      <c r="BD73" s="41">
        <f t="shared" si="52"/>
        <v>-0.58249933025957734</v>
      </c>
      <c r="BE73" s="41">
        <f t="shared" si="52"/>
        <v>-0.60089820051413878</v>
      </c>
      <c r="BF73" s="41">
        <f t="shared" si="52"/>
        <v>9.2510762667061597E-2</v>
      </c>
      <c r="BG73" s="41">
        <f t="shared" si="52"/>
        <v>5.4465940750113795E-2</v>
      </c>
      <c r="BH73" s="41">
        <f t="shared" si="52"/>
        <v>6.7192608002593524E-2</v>
      </c>
      <c r="BI73" s="41">
        <f t="shared" si="52"/>
        <v>3.7033029179919019E-2</v>
      </c>
      <c r="BJ73" s="41">
        <f t="shared" si="52"/>
        <v>0.10324804528969378</v>
      </c>
    </row>
    <row r="74" spans="2:62" x14ac:dyDescent="0.55000000000000004">
      <c r="B74" s="18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2"/>
    </row>
    <row r="75" spans="2:62" x14ac:dyDescent="0.55000000000000004">
      <c r="B75" t="s">
        <v>2196</v>
      </c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12">
        <f t="shared" ref="O75:AH75" si="53">-O69/O9</f>
        <v>3.7548150147306253E-2</v>
      </c>
      <c r="P75" s="12">
        <f t="shared" si="53"/>
        <v>5.9965637995068058E-2</v>
      </c>
      <c r="Q75" s="12">
        <f t="shared" si="53"/>
        <v>5.6991022163162944E-2</v>
      </c>
      <c r="R75" s="12">
        <f t="shared" si="53"/>
        <v>6.4075548080011993E-2</v>
      </c>
      <c r="S75" s="12">
        <f t="shared" si="53"/>
        <v>7.6577012383900939E-2</v>
      </c>
      <c r="T75" s="12">
        <f t="shared" si="53"/>
        <v>7.659520594193113E-2</v>
      </c>
      <c r="U75" s="12">
        <f t="shared" si="53"/>
        <v>7.3240146984653073E-2</v>
      </c>
      <c r="V75" s="12">
        <f t="shared" si="53"/>
        <v>6.9680489462950385E-2</v>
      </c>
      <c r="W75" s="12">
        <f t="shared" si="53"/>
        <v>7.2658301721622409E-2</v>
      </c>
      <c r="X75" s="12">
        <f t="shared" si="53"/>
        <v>7.1745771319591728E-2</v>
      </c>
      <c r="Y75" s="12">
        <f t="shared" si="53"/>
        <v>7.2862453531598509E-2</v>
      </c>
      <c r="Z75" s="12">
        <f t="shared" si="53"/>
        <v>7.7397546744286977E-2</v>
      </c>
      <c r="AA75" s="12">
        <f t="shared" si="53"/>
        <v>8.4533333333333335E-2</v>
      </c>
      <c r="AB75" s="12">
        <f t="shared" si="53"/>
        <v>8.5206481965499223E-2</v>
      </c>
      <c r="AC75" s="12">
        <f t="shared" si="53"/>
        <v>8.5941381023348237E-2</v>
      </c>
      <c r="AD75" s="12">
        <f t="shared" si="53"/>
        <v>8.4195997239475504E-2</v>
      </c>
      <c r="AE75" s="12">
        <f t="shared" si="53"/>
        <v>9.7835240501312731E-2</v>
      </c>
      <c r="AF75" s="12">
        <f t="shared" si="53"/>
        <v>0.10437906592873093</v>
      </c>
      <c r="AG75" s="12">
        <f t="shared" si="53"/>
        <v>0.10477882556603345</v>
      </c>
      <c r="AH75" s="12">
        <f t="shared" si="53"/>
        <v>9.997519917643452E-2</v>
      </c>
      <c r="AI75" s="12"/>
      <c r="AJ75" s="12"/>
      <c r="AK75" s="12"/>
      <c r="AL75" s="12"/>
      <c r="AM75" s="12"/>
      <c r="AN75" s="2"/>
    </row>
    <row r="76" spans="2:62" x14ac:dyDescent="0.55000000000000004">
      <c r="Q76" s="2"/>
      <c r="R76" s="2"/>
      <c r="S76" s="67"/>
      <c r="T76" s="67"/>
      <c r="U76" s="67"/>
      <c r="V76" s="67"/>
      <c r="W76" s="4"/>
      <c r="X76" s="4"/>
      <c r="Y76" s="4"/>
      <c r="Z76" s="4"/>
      <c r="AA76" s="4"/>
      <c r="AB76" s="4"/>
      <c r="AC76" s="4"/>
      <c r="AD76" s="4"/>
      <c r="AN76" s="2"/>
    </row>
    <row r="77" spans="2:62" x14ac:dyDescent="0.55000000000000004">
      <c r="B77" s="9" t="s">
        <v>3030</v>
      </c>
      <c r="Q77" s="2"/>
      <c r="R77" s="2"/>
      <c r="S77" s="67"/>
      <c r="T77" s="67"/>
      <c r="U77" s="67"/>
      <c r="V77" s="67"/>
      <c r="W77" s="4"/>
      <c r="X77" s="4"/>
      <c r="Y77" s="4"/>
      <c r="Z77" s="4"/>
      <c r="AA77" s="4"/>
      <c r="AB77" s="4"/>
      <c r="AC77" s="4"/>
      <c r="AD77" s="4"/>
      <c r="AN77" s="2"/>
    </row>
    <row r="78" spans="2:62" x14ac:dyDescent="0.55000000000000004">
      <c r="B78" t="s">
        <v>311</v>
      </c>
      <c r="Q78" s="2"/>
      <c r="R78" s="2"/>
      <c r="S78" s="67"/>
      <c r="T78" s="67"/>
      <c r="U78" s="67"/>
      <c r="V78" s="67"/>
      <c r="W78" s="4">
        <f>-W68-W80</f>
        <v>89</v>
      </c>
      <c r="X78" s="4">
        <f t="shared" ref="X78:AH78" si="54">-X68-X80</f>
        <v>113.58399999999989</v>
      </c>
      <c r="Y78" s="4">
        <f t="shared" si="54"/>
        <v>125.90000000000009</v>
      </c>
      <c r="Z78" s="4">
        <f t="shared" si="54"/>
        <v>108.53634024999999</v>
      </c>
      <c r="AA78" s="4">
        <f t="shared" si="54"/>
        <v>87</v>
      </c>
      <c r="AB78" s="4">
        <f t="shared" si="54"/>
        <v>116</v>
      </c>
      <c r="AC78" s="4">
        <f t="shared" si="54"/>
        <v>131</v>
      </c>
      <c r="AD78" s="4">
        <f t="shared" si="54"/>
        <v>94</v>
      </c>
      <c r="AE78" s="4">
        <f t="shared" si="54"/>
        <v>118.50762</v>
      </c>
      <c r="AF78" s="4">
        <f t="shared" si="54"/>
        <v>118.64511999999999</v>
      </c>
      <c r="AG78" s="4">
        <f t="shared" si="54"/>
        <v>117.58261999999999</v>
      </c>
      <c r="AH78" s="4">
        <f t="shared" si="54"/>
        <v>131.48393210201118</v>
      </c>
      <c r="AN78" s="2"/>
    </row>
    <row r="79" spans="2:62" x14ac:dyDescent="0.55000000000000004">
      <c r="B79" t="s">
        <v>3033</v>
      </c>
      <c r="Q79" s="2"/>
      <c r="R79" s="2"/>
      <c r="S79" s="67"/>
      <c r="T79" s="67"/>
      <c r="U79" s="67"/>
      <c r="V79" s="67"/>
      <c r="W79" s="2">
        <f>W78/W27</f>
        <v>5.0873590636216777E-2</v>
      </c>
      <c r="X79" s="2">
        <f t="shared" ref="X79:AH79" si="55">X78/X27</f>
        <v>5.3881674857447305E-2</v>
      </c>
      <c r="Y79" s="2">
        <f t="shared" si="55"/>
        <v>5.6149350209993495E-2</v>
      </c>
      <c r="Z79" s="2">
        <f t="shared" si="55"/>
        <v>5.2200844469940541E-2</v>
      </c>
      <c r="AA79" s="2">
        <f t="shared" si="55"/>
        <v>4.4260325529261318E-2</v>
      </c>
      <c r="AB79" s="2">
        <f t="shared" si="55"/>
        <v>5.5139083400318346E-2</v>
      </c>
      <c r="AC79" s="2">
        <f t="shared" si="55"/>
        <v>5.9774800313914786E-2</v>
      </c>
      <c r="AD79" s="2">
        <f>AD78/AD27</f>
        <v>3.9555436955986817E-2</v>
      </c>
      <c r="AE79" s="2">
        <f t="shared" si="55"/>
        <v>5.3809986303049444E-2</v>
      </c>
      <c r="AF79" s="2">
        <f t="shared" si="55"/>
        <v>5.2687040055024947E-2</v>
      </c>
      <c r="AG79" s="2">
        <f t="shared" ca="1" si="55"/>
        <v>4.941431492540304E-2</v>
      </c>
      <c r="AH79" s="2">
        <f t="shared" ca="1" si="55"/>
        <v>5.2366325136720772E-2</v>
      </c>
      <c r="AN79" s="2"/>
    </row>
    <row r="80" spans="2:62" x14ac:dyDescent="0.55000000000000004">
      <c r="B80" t="s">
        <v>3031</v>
      </c>
      <c r="Q80" s="2"/>
      <c r="R80" s="2"/>
      <c r="S80" s="67"/>
      <c r="T80" s="67"/>
      <c r="U80" s="67"/>
      <c r="W80" s="72">
        <f>W264</f>
        <v>161</v>
      </c>
      <c r="X80" s="72">
        <f t="shared" ref="X80:AL80" si="56">X264</f>
        <v>156.90000000000009</v>
      </c>
      <c r="Y80" s="72">
        <f t="shared" si="56"/>
        <v>147.09999999999991</v>
      </c>
      <c r="Z80" s="72">
        <f t="shared" si="56"/>
        <v>83</v>
      </c>
      <c r="AA80" s="72">
        <f t="shared" si="56"/>
        <v>39</v>
      </c>
      <c r="AB80" s="72">
        <f t="shared" si="56"/>
        <v>6</v>
      </c>
      <c r="AC80" s="72">
        <f t="shared" si="56"/>
        <v>34</v>
      </c>
      <c r="AD80" s="72">
        <f>AD264</f>
        <v>29</v>
      </c>
      <c r="AE80" s="72">
        <f t="shared" si="56"/>
        <v>11.492380000000001</v>
      </c>
      <c r="AF80" s="72">
        <f t="shared" si="56"/>
        <v>11.354880000000001</v>
      </c>
      <c r="AG80" s="72">
        <f t="shared" si="56"/>
        <v>12.417380000000001</v>
      </c>
      <c r="AH80" s="72">
        <f t="shared" si="56"/>
        <v>12.623609999999999</v>
      </c>
      <c r="AI80" s="72">
        <f t="shared" si="56"/>
        <v>17.227875000000001</v>
      </c>
      <c r="AJ80" s="72">
        <f t="shared" si="56"/>
        <v>19.290375000000001</v>
      </c>
      <c r="AK80" s="72">
        <f t="shared" si="56"/>
        <v>21.852875000000001</v>
      </c>
      <c r="AL80" s="72">
        <f t="shared" si="56"/>
        <v>31.134024999999998</v>
      </c>
      <c r="AN80" s="2"/>
    </row>
    <row r="81" spans="2:40" x14ac:dyDescent="0.55000000000000004">
      <c r="Q81" s="2"/>
      <c r="R81" s="2"/>
      <c r="S81" s="67"/>
      <c r="T81" s="67"/>
      <c r="U81" s="67"/>
      <c r="V81" s="67"/>
      <c r="W81" s="4"/>
      <c r="X81" s="4"/>
      <c r="Y81" s="4"/>
      <c r="Z81" s="4"/>
      <c r="AA81" s="4"/>
      <c r="AB81" s="4"/>
      <c r="AC81" s="4"/>
      <c r="AD81" s="4"/>
      <c r="AN81" s="2"/>
    </row>
    <row r="82" spans="2:40" x14ac:dyDescent="0.55000000000000004">
      <c r="Q82" s="2"/>
      <c r="R82" s="2"/>
      <c r="S82" s="67"/>
      <c r="T82" s="67"/>
      <c r="U82" s="67"/>
      <c r="V82" s="67"/>
      <c r="W82" s="4"/>
      <c r="X82" s="4"/>
      <c r="Y82" s="4"/>
      <c r="Z82" s="4"/>
      <c r="AA82" s="4"/>
      <c r="AB82" s="4"/>
      <c r="AC82" s="4"/>
      <c r="AD82" s="4"/>
      <c r="AN82" s="2"/>
    </row>
    <row r="83" spans="2:40" x14ac:dyDescent="0.55000000000000004">
      <c r="B83" s="9" t="s">
        <v>2169</v>
      </c>
      <c r="Q83" s="2"/>
      <c r="R83" s="2"/>
      <c r="S83" s="67"/>
      <c r="T83" s="67"/>
      <c r="U83" s="67"/>
      <c r="V83" s="67"/>
      <c r="W83" s="4"/>
      <c r="X83" s="4"/>
      <c r="Y83" s="4"/>
      <c r="Z83" s="4"/>
      <c r="AA83" s="4"/>
      <c r="AB83" s="4"/>
      <c r="AC83" s="4"/>
      <c r="AD83" s="4"/>
      <c r="AN83" s="2"/>
    </row>
    <row r="84" spans="2:40" x14ac:dyDescent="0.55000000000000004">
      <c r="B84" t="s">
        <v>2465</v>
      </c>
      <c r="Q84" s="2"/>
      <c r="R84" s="2"/>
      <c r="S84" s="72">
        <v>23</v>
      </c>
      <c r="T84" s="4">
        <v>59.655000000000001</v>
      </c>
      <c r="U84" s="4">
        <v>115.5</v>
      </c>
      <c r="V84" s="4">
        <f>427-S84-T84-U84</f>
        <v>228.84500000000003</v>
      </c>
      <c r="W84" s="4">
        <v>361</v>
      </c>
      <c r="X84" s="4">
        <v>349.18200000000002</v>
      </c>
      <c r="Y84" s="4">
        <v>306.8</v>
      </c>
      <c r="Z84" s="4">
        <v>216</v>
      </c>
      <c r="AA84" s="4">
        <v>214</v>
      </c>
      <c r="AB84" s="4">
        <v>245</v>
      </c>
      <c r="AC84" s="4">
        <v>248.7</v>
      </c>
      <c r="AD84" s="4">
        <v>246</v>
      </c>
      <c r="AE84" s="2"/>
      <c r="AF84" s="2"/>
      <c r="AN84" s="2"/>
    </row>
    <row r="85" spans="2:40" x14ac:dyDescent="0.55000000000000004">
      <c r="B85" t="s">
        <v>2466</v>
      </c>
      <c r="Q85" s="2"/>
      <c r="R85" s="2"/>
      <c r="S85" s="67"/>
      <c r="T85" s="4"/>
      <c r="U85" s="4">
        <f>AVERAGE(T298,U298)*(U93/4)</f>
        <v>94.5</v>
      </c>
      <c r="V85" s="4">
        <f>AVERAGE(U298,V298)*(V93/4)</f>
        <v>161.6</v>
      </c>
      <c r="W85" s="4">
        <f>548-X85</f>
        <v>221</v>
      </c>
      <c r="X85" s="4">
        <v>327</v>
      </c>
      <c r="Y85" s="51">
        <v>470</v>
      </c>
      <c r="Z85" s="4">
        <f>654+918-W85-X85-Y85</f>
        <v>554</v>
      </c>
      <c r="AA85" s="4">
        <f>990-AB85</f>
        <v>511</v>
      </c>
      <c r="AB85" s="4">
        <v>479</v>
      </c>
      <c r="AC85" s="4">
        <v>485</v>
      </c>
      <c r="AD85" s="4"/>
      <c r="AE85" s="2"/>
      <c r="AF85" s="2"/>
      <c r="AN85" s="2"/>
    </row>
    <row r="86" spans="2:40" x14ac:dyDescent="0.55000000000000004">
      <c r="B86" s="1" t="s">
        <v>5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30"/>
      <c r="R86" s="30"/>
      <c r="S86" s="88"/>
      <c r="T86" s="88"/>
      <c r="U86" s="6">
        <f t="shared" ref="U86:AC86" si="57">U87-U84-U85</f>
        <v>-0.1769999999999925</v>
      </c>
      <c r="V86" s="6">
        <f t="shared" si="57"/>
        <v>12.155000000000001</v>
      </c>
      <c r="W86" s="6">
        <f t="shared" si="57"/>
        <v>39</v>
      </c>
      <c r="X86" s="6">
        <f t="shared" si="57"/>
        <v>79.817999999999984</v>
      </c>
      <c r="Y86" s="6">
        <f t="shared" si="57"/>
        <v>144.20000000000005</v>
      </c>
      <c r="Z86" s="6">
        <f t="shared" si="57"/>
        <v>84.709298501532089</v>
      </c>
      <c r="AA86" s="6">
        <f t="shared" si="57"/>
        <v>88</v>
      </c>
      <c r="AB86" s="6">
        <f t="shared" si="57"/>
        <v>72</v>
      </c>
      <c r="AC86" s="6">
        <f t="shared" si="57"/>
        <v>86.299999999999955</v>
      </c>
      <c r="AD86" s="6"/>
      <c r="AE86" s="30"/>
      <c r="AF86" s="30"/>
      <c r="AG86" s="1"/>
      <c r="AH86" s="1"/>
      <c r="AN86" s="2"/>
    </row>
    <row r="87" spans="2:40" x14ac:dyDescent="0.55000000000000004">
      <c r="B87" t="s">
        <v>243</v>
      </c>
      <c r="Q87" s="2"/>
      <c r="R87" s="2"/>
      <c r="S87" s="67"/>
      <c r="T87" s="4">
        <f t="shared" ref="T87:AH87" si="58">-T67</f>
        <v>133.80000000000001</v>
      </c>
      <c r="U87" s="4">
        <f t="shared" si="58"/>
        <v>209.82300000000001</v>
      </c>
      <c r="V87" s="4">
        <f t="shared" si="58"/>
        <v>402.6</v>
      </c>
      <c r="W87" s="4">
        <f t="shared" si="58"/>
        <v>621</v>
      </c>
      <c r="X87" s="4">
        <f t="shared" si="58"/>
        <v>756</v>
      </c>
      <c r="Y87" s="4">
        <f t="shared" si="58"/>
        <v>921</v>
      </c>
      <c r="Z87" s="4">
        <f t="shared" si="58"/>
        <v>854.70929850153209</v>
      </c>
      <c r="AA87" s="4">
        <f t="shared" si="58"/>
        <v>813</v>
      </c>
      <c r="AB87" s="4">
        <f t="shared" si="58"/>
        <v>796</v>
      </c>
      <c r="AC87" s="4">
        <f t="shared" si="58"/>
        <v>820</v>
      </c>
      <c r="AD87" s="4">
        <f t="shared" si="58"/>
        <v>841</v>
      </c>
      <c r="AE87" s="4">
        <f t="shared" si="58"/>
        <v>711.22042105263154</v>
      </c>
      <c r="AF87" s="4">
        <f t="shared" si="58"/>
        <v>682.95396842105254</v>
      </c>
      <c r="AG87" s="4">
        <f t="shared" si="58"/>
        <v>696.32734385964898</v>
      </c>
      <c r="AH87" s="4">
        <f t="shared" si="58"/>
        <v>724.10921843660924</v>
      </c>
      <c r="AN87" s="2"/>
    </row>
    <row r="88" spans="2:40" x14ac:dyDescent="0.55000000000000004">
      <c r="Q88" s="2"/>
      <c r="R88" s="2"/>
      <c r="S88" s="67"/>
      <c r="T88" s="67"/>
      <c r="U88" s="67"/>
      <c r="V88" s="67"/>
      <c r="W88" s="4"/>
      <c r="X88" s="4"/>
      <c r="Y88" s="4"/>
      <c r="Z88" s="4"/>
      <c r="AA88" s="4"/>
      <c r="AB88" s="4"/>
      <c r="AC88" s="4"/>
      <c r="AD88" s="4"/>
      <c r="AN88" s="2"/>
    </row>
    <row r="89" spans="2:40" x14ac:dyDescent="0.55000000000000004">
      <c r="B89" t="s">
        <v>2805</v>
      </c>
      <c r="Q89" s="2"/>
      <c r="R89" s="2"/>
      <c r="S89" s="67"/>
      <c r="T89" s="67"/>
      <c r="U89" s="67"/>
      <c r="V89" s="67"/>
      <c r="W89" s="2">
        <f t="shared" ref="W89:AD89" si="59">W85*4/AVERAGE(V298,W298)</f>
        <v>8.8400000000000006E-2</v>
      </c>
      <c r="X89" s="2">
        <f t="shared" si="59"/>
        <v>9.7977528089887647E-2</v>
      </c>
      <c r="Y89" s="2">
        <f t="shared" si="59"/>
        <v>0.10773021603346514</v>
      </c>
      <c r="Z89" s="2">
        <f t="shared" si="59"/>
        <v>0.11051817864445664</v>
      </c>
      <c r="AA89" s="12">
        <f t="shared" si="59"/>
        <v>0.10402035623409669</v>
      </c>
      <c r="AB89" s="12">
        <f t="shared" si="59"/>
        <v>0.10387638926538358</v>
      </c>
      <c r="AC89" s="12">
        <f t="shared" si="59"/>
        <v>9.7343134549286239E-2</v>
      </c>
      <c r="AD89" s="12">
        <f t="shared" si="59"/>
        <v>0</v>
      </c>
      <c r="AN89" s="2"/>
    </row>
    <row r="90" spans="2:40" x14ac:dyDescent="0.55000000000000004">
      <c r="B90" t="s">
        <v>2806</v>
      </c>
      <c r="Q90" s="2"/>
      <c r="R90" s="2"/>
      <c r="S90" s="67"/>
      <c r="T90" s="67"/>
      <c r="U90" s="67"/>
      <c r="V90" s="67"/>
      <c r="W90" s="2">
        <f t="shared" ref="W90:AB90" si="60">W89/W93</f>
        <v>0.85825242718446615</v>
      </c>
      <c r="X90" s="2">
        <f t="shared" si="60"/>
        <v>0.79014135556361009</v>
      </c>
      <c r="Y90" s="2">
        <f t="shared" si="60"/>
        <v>0.79310588490894773</v>
      </c>
      <c r="Z90" s="2">
        <f t="shared" si="60"/>
        <v>0.80376857195968454</v>
      </c>
      <c r="AA90" s="2">
        <f t="shared" si="60"/>
        <v>0.75651168170252137</v>
      </c>
      <c r="AB90" s="2">
        <f t="shared" si="60"/>
        <v>0.75546464920278955</v>
      </c>
      <c r="AC90" s="2">
        <f>AC89/AC93</f>
        <v>0.72553889105058056</v>
      </c>
      <c r="AD90" s="2">
        <f>AD89/AD93</f>
        <v>0</v>
      </c>
      <c r="AN90" s="2"/>
    </row>
    <row r="91" spans="2:40" x14ac:dyDescent="0.55000000000000004">
      <c r="Q91" s="2"/>
      <c r="R91" s="2"/>
      <c r="S91" s="67"/>
      <c r="T91" s="67"/>
      <c r="U91" s="67"/>
      <c r="V91" s="67"/>
      <c r="W91" s="4"/>
      <c r="X91" s="4"/>
      <c r="Y91" s="4"/>
      <c r="Z91" s="4"/>
      <c r="AA91" s="4"/>
      <c r="AB91" s="4"/>
      <c r="AC91" s="4"/>
      <c r="AD91" s="4"/>
      <c r="AN91" s="2"/>
    </row>
    <row r="92" spans="2:40" x14ac:dyDescent="0.55000000000000004">
      <c r="B92" t="s">
        <v>1800</v>
      </c>
      <c r="Q92" s="69">
        <f t="shared" ref="Q92:AH92" si="61">-Q67*4/(Q163*0.5*0.6)</f>
        <v>4.8314361357387169E-3</v>
      </c>
      <c r="R92" s="69">
        <f t="shared" si="61"/>
        <v>7.1317117496142212E-3</v>
      </c>
      <c r="S92" s="69">
        <f t="shared" si="61"/>
        <v>1.1832900259844093E-2</v>
      </c>
      <c r="T92" s="69">
        <f t="shared" si="61"/>
        <v>3.1667702138989971E-2</v>
      </c>
      <c r="U92" s="69">
        <f t="shared" si="61"/>
        <v>4.1870496060104914E-2</v>
      </c>
      <c r="V92" s="69">
        <f t="shared" si="61"/>
        <v>6.8035487959442337E-2</v>
      </c>
      <c r="W92" s="69">
        <f t="shared" si="61"/>
        <v>0.10337078651685393</v>
      </c>
      <c r="X92" s="69">
        <f t="shared" si="61"/>
        <v>0.11300448430493273</v>
      </c>
      <c r="Y92" s="69">
        <f t="shared" si="61"/>
        <v>0.13599114064230344</v>
      </c>
      <c r="Z92" s="69">
        <f t="shared" si="61"/>
        <v>0.12084967105005756</v>
      </c>
      <c r="AA92" s="69">
        <f t="shared" si="61"/>
        <v>0.12304199772985244</v>
      </c>
      <c r="AB92" s="69">
        <f t="shared" si="61"/>
        <v>0.11449119021934556</v>
      </c>
      <c r="AC92" s="69">
        <f t="shared" si="61"/>
        <v>0.10951293454598876</v>
      </c>
      <c r="AD92" s="69">
        <f t="shared" si="61"/>
        <v>9.8362573099415207E-2</v>
      </c>
      <c r="AE92" s="69">
        <f t="shared" si="61"/>
        <v>9.1182105263157884E-2</v>
      </c>
      <c r="AF92" s="69">
        <f t="shared" si="61"/>
        <v>8.5103298245614023E-2</v>
      </c>
      <c r="AG92" s="69">
        <f t="shared" si="61"/>
        <v>8.0037625730994141E-2</v>
      </c>
      <c r="AH92" s="69">
        <f t="shared" si="61"/>
        <v>7.3798594632695447E-2</v>
      </c>
      <c r="AI92" s="69"/>
      <c r="AJ92" s="69"/>
      <c r="AK92" s="69"/>
      <c r="AL92" s="69"/>
      <c r="AM92" s="69"/>
      <c r="AN92" s="2"/>
    </row>
    <row r="93" spans="2:40" x14ac:dyDescent="0.55000000000000004">
      <c r="B93" t="s">
        <v>2721</v>
      </c>
      <c r="Q93" s="69"/>
      <c r="R93" s="69"/>
      <c r="S93" s="397">
        <v>2.1299999999999999E-2</v>
      </c>
      <c r="T93" s="397">
        <v>3.338E-2</v>
      </c>
      <c r="U93" s="397">
        <v>5.2499999999999998E-2</v>
      </c>
      <c r="V93" s="397">
        <v>8.0799999999999997E-2</v>
      </c>
      <c r="W93" s="397">
        <v>0.10299999999999999</v>
      </c>
      <c r="X93" s="397">
        <v>0.124</v>
      </c>
      <c r="Y93" s="397">
        <v>0.135833333333333</v>
      </c>
      <c r="Z93" s="409">
        <v>0.13750000000000001</v>
      </c>
      <c r="AA93" s="409">
        <v>0.13750000000000001</v>
      </c>
      <c r="AB93" s="409">
        <v>0.13750000000000001</v>
      </c>
      <c r="AC93" s="409">
        <f>(13.75%+13.25%*2)/3</f>
        <v>0.13416666666666668</v>
      </c>
      <c r="AD93" s="409">
        <v>0.125</v>
      </c>
      <c r="AE93" s="394">
        <f>AVERAGE(AD94:AE94)</f>
        <v>0.11249999999999999</v>
      </c>
      <c r="AF93" s="394">
        <f t="shared" ref="AF93:AL93" si="62">AVERAGE(AE94:AF94)</f>
        <v>0.105</v>
      </c>
      <c r="AG93" s="394">
        <f t="shared" si="62"/>
        <v>9.8750000000000004E-2</v>
      </c>
      <c r="AH93" s="394">
        <f t="shared" si="62"/>
        <v>9.2499999999999999E-2</v>
      </c>
      <c r="AI93" s="394">
        <f t="shared" si="62"/>
        <v>8.8749999999999996E-2</v>
      </c>
      <c r="AJ93" s="394">
        <f t="shared" si="62"/>
        <v>8.6249999999999993E-2</v>
      </c>
      <c r="AK93" s="394">
        <f t="shared" si="62"/>
        <v>8.5000000000000006E-2</v>
      </c>
      <c r="AL93" s="394">
        <f t="shared" si="62"/>
        <v>8.5000000000000006E-2</v>
      </c>
      <c r="AM93" s="69"/>
      <c r="AN93" s="2"/>
    </row>
    <row r="94" spans="2:40" x14ac:dyDescent="0.55000000000000004">
      <c r="B94" t="s">
        <v>2722</v>
      </c>
      <c r="Q94" s="69"/>
      <c r="R94" s="69"/>
      <c r="S94" s="397"/>
      <c r="T94" s="397"/>
      <c r="U94" s="397"/>
      <c r="V94" s="397"/>
      <c r="W94" s="397"/>
      <c r="X94" s="397"/>
      <c r="Y94" s="397"/>
      <c r="Z94" s="397"/>
      <c r="AA94" s="397"/>
      <c r="AB94" s="397"/>
      <c r="AC94" s="397">
        <v>0.13250000000000001</v>
      </c>
      <c r="AD94" s="397">
        <v>0.11749999999999999</v>
      </c>
      <c r="AE94" s="409">
        <v>0.1075</v>
      </c>
      <c r="AF94" s="409">
        <v>0.10249999999999999</v>
      </c>
      <c r="AG94" s="409">
        <v>9.5000000000000001E-2</v>
      </c>
      <c r="AH94" s="409">
        <v>0.09</v>
      </c>
      <c r="AI94" s="409">
        <v>8.7499999999999994E-2</v>
      </c>
      <c r="AJ94" s="409">
        <v>8.5000000000000006E-2</v>
      </c>
      <c r="AK94" s="409">
        <v>8.5000000000000006E-2</v>
      </c>
      <c r="AL94" s="409">
        <v>8.5000000000000006E-2</v>
      </c>
      <c r="AM94" s="69"/>
      <c r="AN94" s="2"/>
    </row>
    <row r="95" spans="2:40" x14ac:dyDescent="0.55000000000000004">
      <c r="B95" t="s">
        <v>2198</v>
      </c>
      <c r="Q95" s="2"/>
      <c r="R95" s="2"/>
      <c r="S95" s="398">
        <f>S92/S93</f>
        <v>0.5555352234668588</v>
      </c>
      <c r="T95" s="398">
        <f>T92/T93</f>
        <v>0.94870288013750659</v>
      </c>
      <c r="U95" s="398">
        <f>U92/U93</f>
        <v>0.79753325828771271</v>
      </c>
      <c r="V95" s="398">
        <f>V92/V93</f>
        <v>0.8420233658346824</v>
      </c>
      <c r="W95" s="398">
        <f>W92/W93</f>
        <v>1.0035998690956693</v>
      </c>
      <c r="X95" s="398">
        <f t="shared" ref="X95:AD95" si="63">X92/X93</f>
        <v>0.91132648633010271</v>
      </c>
      <c r="Y95" s="398">
        <f t="shared" si="63"/>
        <v>1.0011617715997825</v>
      </c>
      <c r="Z95" s="398">
        <f t="shared" si="63"/>
        <v>0.87890669854587311</v>
      </c>
      <c r="AA95" s="398">
        <f t="shared" si="63"/>
        <v>0.89485089258074502</v>
      </c>
      <c r="AB95" s="398">
        <f t="shared" si="63"/>
        <v>0.83266320159524043</v>
      </c>
      <c r="AC95" s="398">
        <f t="shared" si="63"/>
        <v>0.81624547487693477</v>
      </c>
      <c r="AD95" s="398">
        <f t="shared" si="63"/>
        <v>0.78690058479532166</v>
      </c>
      <c r="AE95" s="398">
        <f>AE92/AE93</f>
        <v>0.81050760233918129</v>
      </c>
      <c r="AF95" s="398">
        <f>AF92/AF93</f>
        <v>0.81050760233918118</v>
      </c>
      <c r="AG95" s="398">
        <f>AG92/AG93</f>
        <v>0.81050760233918118</v>
      </c>
      <c r="AH95" s="398">
        <f>AH92/AH93</f>
        <v>0.79782264467778863</v>
      </c>
      <c r="AI95" s="69"/>
      <c r="AJ95" s="69"/>
      <c r="AK95" s="69"/>
      <c r="AL95" s="69"/>
      <c r="AM95" s="69"/>
      <c r="AN95" s="2"/>
    </row>
    <row r="96" spans="2:40" x14ac:dyDescent="0.55000000000000004">
      <c r="B96" s="15" t="s">
        <v>2197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6"/>
      <c r="R96" s="16"/>
      <c r="S96" s="398"/>
      <c r="T96" s="398"/>
      <c r="U96" s="398"/>
      <c r="V96" s="483"/>
      <c r="W96" s="483"/>
      <c r="X96" s="398"/>
      <c r="Y96" s="398"/>
      <c r="Z96" s="483"/>
      <c r="AA96" s="483"/>
      <c r="AB96" s="483"/>
      <c r="AC96" s="483"/>
      <c r="AD96" s="483"/>
      <c r="AE96" s="483"/>
      <c r="AF96" s="16"/>
      <c r="AG96" s="16"/>
      <c r="AH96" s="483">
        <f>AG67*(AH159/AG159)*(AH93/AG93)</f>
        <v>-735.62217164665753</v>
      </c>
      <c r="AI96" s="69"/>
      <c r="AJ96" s="69"/>
      <c r="AK96" s="69"/>
      <c r="AL96" s="69"/>
      <c r="AM96" s="69"/>
      <c r="AN96" s="2"/>
    </row>
    <row r="97" spans="2:42" x14ac:dyDescent="0.55000000000000004">
      <c r="Q97" s="2"/>
      <c r="R97" s="2"/>
      <c r="S97" s="398"/>
      <c r="T97" s="398"/>
      <c r="U97" s="398"/>
      <c r="V97" s="398"/>
      <c r="W97" s="398"/>
      <c r="X97" s="398"/>
      <c r="Y97" s="398"/>
      <c r="Z97" s="398"/>
      <c r="AA97" s="398"/>
      <c r="AB97" s="398"/>
      <c r="AC97" s="398"/>
      <c r="AD97" s="482">
        <f>AVERAGE(AA93:AD93)</f>
        <v>0.13354166666666667</v>
      </c>
      <c r="AE97" s="2"/>
      <c r="AF97" s="2"/>
      <c r="AG97" s="2"/>
      <c r="AH97" s="482">
        <f>AVERAGE(AE93:AH93)</f>
        <v>0.10218749999999999</v>
      </c>
      <c r="AI97" s="69"/>
      <c r="AJ97" s="69"/>
      <c r="AK97" s="69"/>
      <c r="AL97" s="69"/>
      <c r="AM97" s="69"/>
      <c r="AN97" s="2"/>
    </row>
    <row r="98" spans="2:42" x14ac:dyDescent="0.55000000000000004">
      <c r="B98" s="18" t="s">
        <v>476</v>
      </c>
      <c r="C98" s="67">
        <f t="shared" ref="C98:AH98" si="64">C9+C72</f>
        <v>82.17757366657105</v>
      </c>
      <c r="D98" s="67">
        <f t="shared" si="64"/>
        <v>116.40521316146692</v>
      </c>
      <c r="E98" s="67">
        <f t="shared" si="64"/>
        <v>214.67428111655323</v>
      </c>
      <c r="F98" s="67">
        <f t="shared" si="64"/>
        <v>270.2473284254088</v>
      </c>
      <c r="G98" s="67">
        <f t="shared" si="64"/>
        <v>163.00167974387489</v>
      </c>
      <c r="H98" s="67">
        <f t="shared" si="64"/>
        <v>312.7484802758737</v>
      </c>
      <c r="I98" s="67">
        <f t="shared" si="64"/>
        <v>320.53472569764278</v>
      </c>
      <c r="J98" s="67">
        <f t="shared" si="64"/>
        <v>421.33780352865949</v>
      </c>
      <c r="K98" s="67">
        <f t="shared" si="64"/>
        <v>449.39808047199995</v>
      </c>
      <c r="L98" s="67">
        <f t="shared" si="64"/>
        <v>461.1375273064416</v>
      </c>
      <c r="M98" s="67">
        <f t="shared" si="64"/>
        <v>467.91750744998308</v>
      </c>
      <c r="N98" s="67">
        <f t="shared" si="64"/>
        <v>533.97234799550392</v>
      </c>
      <c r="O98" s="67">
        <f t="shared" si="64"/>
        <v>496.14804917593256</v>
      </c>
      <c r="P98" s="67">
        <f t="shared" si="64"/>
        <v>412.42828795968353</v>
      </c>
      <c r="Q98" s="67">
        <f t="shared" si="64"/>
        <v>352.19161078162165</v>
      </c>
      <c r="R98" s="67">
        <f t="shared" si="64"/>
        <v>513.90000000000009</v>
      </c>
      <c r="S98" s="67">
        <f t="shared" si="64"/>
        <v>360.59999999999991</v>
      </c>
      <c r="T98" s="67">
        <f t="shared" si="64"/>
        <v>337.19999999999982</v>
      </c>
      <c r="U98" s="67">
        <f t="shared" si="64"/>
        <v>421.36700000000019</v>
      </c>
      <c r="V98" s="67">
        <f t="shared" si="64"/>
        <v>368.39999999999964</v>
      </c>
      <c r="W98" s="67">
        <f t="shared" si="64"/>
        <v>416.69999999999982</v>
      </c>
      <c r="X98" s="67">
        <f t="shared" si="64"/>
        <v>442.91699999999992</v>
      </c>
      <c r="Y98" s="67">
        <f t="shared" si="64"/>
        <v>425</v>
      </c>
      <c r="Z98" s="67">
        <f t="shared" si="64"/>
        <v>475.18662344408585</v>
      </c>
      <c r="AA98" s="67">
        <f t="shared" si="64"/>
        <v>448</v>
      </c>
      <c r="AB98" s="67">
        <f t="shared" si="64"/>
        <v>485</v>
      </c>
      <c r="AC98" s="67">
        <f t="shared" si="64"/>
        <v>512</v>
      </c>
      <c r="AD98" s="67">
        <f>AD9+AD72</f>
        <v>584</v>
      </c>
      <c r="AE98" s="67">
        <f t="shared" si="64"/>
        <v>588.57957894736819</v>
      </c>
      <c r="AF98" s="67">
        <f t="shared" si="64"/>
        <v>590.84603157894799</v>
      </c>
      <c r="AG98" s="67">
        <f t="shared" si="64"/>
        <v>673.47265614035132</v>
      </c>
      <c r="AH98" s="67">
        <f t="shared" si="64"/>
        <v>721.54033793696635</v>
      </c>
      <c r="AI98" s="67"/>
      <c r="AJ98" s="67"/>
      <c r="AK98" s="67"/>
      <c r="AL98" s="67"/>
      <c r="AM98" s="67"/>
      <c r="AN98" s="2"/>
      <c r="AO98" s="8" t="s">
        <v>4</v>
      </c>
      <c r="AP98" s="8" t="s">
        <v>1814</v>
      </c>
    </row>
    <row r="99" spans="2:42" x14ac:dyDescent="0.55000000000000004">
      <c r="Q99" s="2"/>
      <c r="R99" s="2"/>
      <c r="S99" s="2"/>
      <c r="T99" s="2"/>
      <c r="U99" s="2"/>
      <c r="V99" s="2"/>
      <c r="W99" s="2"/>
      <c r="X99" s="369"/>
      <c r="Y99" s="369"/>
      <c r="Z99" s="369"/>
      <c r="AA99" s="369"/>
      <c r="AB99" s="369"/>
      <c r="AC99" s="369"/>
      <c r="AD99" s="369"/>
      <c r="AN99" s="2"/>
      <c r="AO99" s="2" t="e">
        <f>#REF!</f>
        <v>#REF!</v>
      </c>
      <c r="AP99" s="2">
        <v>5.7356664558308047E-2</v>
      </c>
    </row>
    <row r="100" spans="2:42" x14ac:dyDescent="0.55000000000000004">
      <c r="B100" t="s">
        <v>475</v>
      </c>
      <c r="C100" s="13">
        <v>-19.084636230000001</v>
      </c>
      <c r="D100" s="13">
        <v>-38.829201470000001</v>
      </c>
      <c r="E100" s="13">
        <v>-66.204162299999993</v>
      </c>
      <c r="F100" s="13">
        <v>-90.86999999999999</v>
      </c>
      <c r="G100" s="13">
        <v>-20.934674010000002</v>
      </c>
      <c r="H100" s="13">
        <v>-99.257999999999996</v>
      </c>
      <c r="I100" s="13">
        <v>-40.067</v>
      </c>
      <c r="J100" s="13">
        <v>-20.623999999999999</v>
      </c>
      <c r="K100" s="13">
        <v>-50.14</v>
      </c>
      <c r="L100" s="13">
        <v>-1.349</v>
      </c>
      <c r="M100" s="13">
        <v>12.515000000000001</v>
      </c>
      <c r="N100" s="13">
        <v>14.503</v>
      </c>
      <c r="O100" s="13">
        <v>-3.8010000000000002</v>
      </c>
      <c r="P100" s="13">
        <v>-17.967309220000001</v>
      </c>
      <c r="Q100" s="13">
        <v>-13.348372850000001</v>
      </c>
      <c r="R100" s="13">
        <v>-27.7</v>
      </c>
      <c r="S100" s="13">
        <v>-20</v>
      </c>
      <c r="T100" s="13"/>
      <c r="U100" s="13">
        <v>-7.6520000000000001</v>
      </c>
      <c r="V100" s="13">
        <v>-17</v>
      </c>
      <c r="W100" s="13"/>
      <c r="X100" s="13"/>
      <c r="Y100" s="13"/>
      <c r="Z100" s="13"/>
      <c r="AA100" s="13"/>
      <c r="AB100" s="13"/>
      <c r="AC100" s="13"/>
      <c r="AD100" s="13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2:42" x14ac:dyDescent="0.55000000000000004">
      <c r="B101" s="1" t="s">
        <v>334</v>
      </c>
      <c r="C101" s="96">
        <v>-2.4682446299999996</v>
      </c>
      <c r="D101" s="96">
        <v>4.6454753000000011</v>
      </c>
      <c r="E101" s="96">
        <v>-1.0732306699999998</v>
      </c>
      <c r="F101" s="96">
        <v>9.1739999999999977</v>
      </c>
      <c r="G101" s="96">
        <v>6.391</v>
      </c>
      <c r="H101" s="96">
        <v>14.117000000000001</v>
      </c>
      <c r="I101" s="96">
        <v>-48.908000000000001</v>
      </c>
      <c r="J101" s="96">
        <v>-97.930999999999997</v>
      </c>
      <c r="K101" s="96">
        <v>-89.503</v>
      </c>
      <c r="L101" s="96">
        <v>-137.017</v>
      </c>
      <c r="M101" s="96">
        <v>-138.054</v>
      </c>
      <c r="N101" s="96">
        <v>-156.46899999999999</v>
      </c>
      <c r="O101" s="96">
        <v>-135.43899999999999</v>
      </c>
      <c r="P101" s="96">
        <v>-98.156919869999996</v>
      </c>
      <c r="Q101" s="96">
        <v>-75.412201460000006</v>
      </c>
      <c r="R101" s="96">
        <v>-110.5</v>
      </c>
      <c r="S101" s="96">
        <v>-69</v>
      </c>
      <c r="T101" s="96"/>
      <c r="U101" s="96">
        <v>-91.983000000000004</v>
      </c>
      <c r="V101" s="96">
        <v>-84.1</v>
      </c>
      <c r="W101" s="96"/>
      <c r="X101" s="96"/>
      <c r="Y101" s="96"/>
      <c r="Z101" s="96"/>
      <c r="AA101" s="96"/>
      <c r="AB101" s="96"/>
      <c r="AC101" s="96"/>
      <c r="AD101" s="96"/>
      <c r="AE101" s="30"/>
      <c r="AF101" s="30"/>
      <c r="AG101" s="30"/>
      <c r="AH101" s="30"/>
      <c r="AI101" s="2"/>
      <c r="AJ101" s="2"/>
      <c r="AK101" s="2"/>
      <c r="AL101" s="2"/>
      <c r="AM101" s="2"/>
      <c r="AN101" s="2"/>
    </row>
    <row r="102" spans="2:42" x14ac:dyDescent="0.55000000000000004">
      <c r="B102" t="s">
        <v>321</v>
      </c>
      <c r="C102" s="13">
        <v>-21.552880860000002</v>
      </c>
      <c r="D102" s="13">
        <v>-34.18372617</v>
      </c>
      <c r="E102" s="13">
        <v>-67.277392969999994</v>
      </c>
      <c r="F102" s="13">
        <v>-81.695999999999998</v>
      </c>
      <c r="G102" s="13">
        <v>-14.543674010000002</v>
      </c>
      <c r="H102" s="13">
        <v>-85.140999999999991</v>
      </c>
      <c r="I102" s="13">
        <v>-88.974999999999994</v>
      </c>
      <c r="J102" s="13">
        <v>-118.55499999999999</v>
      </c>
      <c r="K102" s="13">
        <v>-139.643</v>
      </c>
      <c r="L102" s="13">
        <v>-138.36599999999999</v>
      </c>
      <c r="M102" s="13">
        <v>-125.539</v>
      </c>
      <c r="N102" s="13">
        <v>-141.96600000000001</v>
      </c>
      <c r="O102" s="13">
        <v>-139.23999999999998</v>
      </c>
      <c r="P102" s="13">
        <v>-116.12422909</v>
      </c>
      <c r="Q102" s="13">
        <v>-88.76057431000001</v>
      </c>
      <c r="R102" s="13">
        <f>SUM(R100:R101)</f>
        <v>-138.19999999999999</v>
      </c>
      <c r="S102" s="13">
        <f>SUM(S100:S101)</f>
        <v>-89</v>
      </c>
      <c r="T102" s="13">
        <v>-66</v>
      </c>
      <c r="U102" s="13">
        <v>-99.635000000000005</v>
      </c>
      <c r="V102" s="13">
        <v>-67.099999999999994</v>
      </c>
      <c r="W102" s="13">
        <v>-66.599999999999994</v>
      </c>
      <c r="X102" s="32">
        <v>-76</v>
      </c>
      <c r="Y102" s="32">
        <v>-45</v>
      </c>
      <c r="Z102" s="32">
        <v>-67</v>
      </c>
      <c r="AA102" s="32">
        <v>-78</v>
      </c>
      <c r="AB102" s="32">
        <v>-100</v>
      </c>
      <c r="AC102" s="32">
        <v>-101</v>
      </c>
      <c r="AD102" s="32">
        <v>-112</v>
      </c>
      <c r="AE102" s="13">
        <f>-AE103*AE98</f>
        <v>-117.71591578947364</v>
      </c>
      <c r="AF102" s="13">
        <f>-AF103*AF98</f>
        <v>-118.16920631578961</v>
      </c>
      <c r="AG102" s="13">
        <f>-AG103*AG98</f>
        <v>-134.69453122807028</v>
      </c>
      <c r="AH102" s="13">
        <f>-Master!L91-AE102-AF102-AG102</f>
        <v>-144.3080675873926</v>
      </c>
      <c r="AI102" s="13"/>
      <c r="AJ102" s="13"/>
      <c r="AK102" s="13"/>
      <c r="AL102" s="13"/>
      <c r="AM102" s="13"/>
      <c r="AN102" s="2"/>
    </row>
    <row r="103" spans="2:42" x14ac:dyDescent="0.55000000000000004">
      <c r="B103" t="s">
        <v>1933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2">
        <f>-O102/O98</f>
        <v>0.28064203866420101</v>
      </c>
      <c r="P103" s="2">
        <f t="shared" ref="P103:W103" si="65">-P102/P98</f>
        <v>0.28156223149599185</v>
      </c>
      <c r="Q103" s="2">
        <f t="shared" si="65"/>
        <v>0.25202353376053721</v>
      </c>
      <c r="R103" s="2">
        <f t="shared" si="65"/>
        <v>0.2689239151585911</v>
      </c>
      <c r="S103" s="2">
        <f t="shared" si="65"/>
        <v>0.24681087077093739</v>
      </c>
      <c r="T103" s="2">
        <f t="shared" si="65"/>
        <v>0.19572953736654816</v>
      </c>
      <c r="U103" s="2">
        <f t="shared" si="65"/>
        <v>0.23645658060550531</v>
      </c>
      <c r="V103" s="2">
        <f t="shared" si="65"/>
        <v>0.18213897937024989</v>
      </c>
      <c r="W103" s="2">
        <f t="shared" si="65"/>
        <v>0.15982721382289422</v>
      </c>
      <c r="X103" s="2">
        <f t="shared" ref="X103:AD103" si="66">-X102/X98</f>
        <v>0.17158971093906988</v>
      </c>
      <c r="Y103" s="2">
        <f t="shared" si="66"/>
        <v>0.10588235294117647</v>
      </c>
      <c r="Z103" s="2">
        <f t="shared" si="66"/>
        <v>0.14099723496927041</v>
      </c>
      <c r="AA103" s="2">
        <f t="shared" si="66"/>
        <v>0.17410714285714285</v>
      </c>
      <c r="AB103" s="2">
        <f t="shared" si="66"/>
        <v>0.20618556701030927</v>
      </c>
      <c r="AC103" s="2">
        <f t="shared" si="66"/>
        <v>0.197265625</v>
      </c>
      <c r="AD103" s="2">
        <f t="shared" si="66"/>
        <v>0.19178082191780821</v>
      </c>
      <c r="AE103" s="5">
        <v>0.2</v>
      </c>
      <c r="AF103" s="5">
        <v>0.2</v>
      </c>
      <c r="AG103" s="5">
        <v>0.2</v>
      </c>
      <c r="AH103" s="2">
        <f>-AH102/AH98</f>
        <v>0.19999999999999907</v>
      </c>
      <c r="AI103" s="2"/>
      <c r="AJ103" s="2"/>
      <c r="AK103" s="2"/>
      <c r="AL103" s="2"/>
      <c r="AM103" s="2"/>
      <c r="AN103" s="2"/>
    </row>
    <row r="104" spans="2:42" x14ac:dyDescent="0.55000000000000004"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2:42" x14ac:dyDescent="0.55000000000000004">
      <c r="B105" t="s">
        <v>807</v>
      </c>
      <c r="C105" s="13">
        <v>60.624692806570991</v>
      </c>
      <c r="D105" s="13">
        <v>82.221486991467032</v>
      </c>
      <c r="E105" s="13">
        <v>147.39662144196217</v>
      </c>
      <c r="F105" s="13">
        <v>188.55119875999972</v>
      </c>
      <c r="G105" s="13">
        <v>148.45532598999992</v>
      </c>
      <c r="H105" s="13">
        <v>227.60700000000006</v>
      </c>
      <c r="I105" s="13">
        <v>231.559</v>
      </c>
      <c r="J105" s="13">
        <v>302.78499999999991</v>
      </c>
      <c r="K105" s="13">
        <v>309.73408047199973</v>
      </c>
      <c r="L105" s="13">
        <v>322.75800721799999</v>
      </c>
      <c r="M105" s="13">
        <v>342.46199033999994</v>
      </c>
      <c r="N105" s="13">
        <v>391.93735428489674</v>
      </c>
      <c r="O105" s="13">
        <v>356.91424001000019</v>
      </c>
      <c r="P105" s="13">
        <v>296.31234241395111</v>
      </c>
      <c r="Q105" s="13">
        <v>263.42994763162187</v>
      </c>
      <c r="R105" s="13">
        <f>R98+R102</f>
        <v>375.7000000000001</v>
      </c>
      <c r="S105" s="13">
        <f>S98+S102</f>
        <v>271.59999999999991</v>
      </c>
      <c r="T105" s="13">
        <v>272.10000000000002</v>
      </c>
      <c r="U105" s="13">
        <f>U98+U102</f>
        <v>321.7320000000002</v>
      </c>
      <c r="V105" s="13">
        <f>V98+V102</f>
        <v>301.29999999999961</v>
      </c>
      <c r="W105" s="13">
        <f>W98+W102</f>
        <v>350.0999999999998</v>
      </c>
      <c r="X105" s="13">
        <f t="shared" ref="X105:AC105" si="67">X98+X102</f>
        <v>366.91699999999992</v>
      </c>
      <c r="Y105" s="13">
        <f t="shared" si="67"/>
        <v>380</v>
      </c>
      <c r="Z105" s="13">
        <f t="shared" si="67"/>
        <v>408.18662344408585</v>
      </c>
      <c r="AA105" s="13">
        <f t="shared" si="67"/>
        <v>370</v>
      </c>
      <c r="AB105" s="13">
        <f t="shared" si="67"/>
        <v>385</v>
      </c>
      <c r="AC105" s="13">
        <f t="shared" si="67"/>
        <v>411</v>
      </c>
      <c r="AD105" s="13">
        <v>488</v>
      </c>
      <c r="AE105" s="13">
        <f>AE98+AE102</f>
        <v>470.86366315789456</v>
      </c>
      <c r="AF105" s="13">
        <f>AF98+AF102</f>
        <v>472.67682526315838</v>
      </c>
      <c r="AG105" s="13">
        <f>AG98+AG102</f>
        <v>538.7781249122811</v>
      </c>
      <c r="AH105" s="13">
        <f>AH98+AH102</f>
        <v>577.23227034957381</v>
      </c>
      <c r="AI105" s="13"/>
      <c r="AJ105" s="13"/>
      <c r="AK105" s="13"/>
      <c r="AL105" s="13"/>
      <c r="AM105" s="13"/>
      <c r="AN105" s="2"/>
    </row>
    <row r="106" spans="2:42" x14ac:dyDescent="0.55000000000000004">
      <c r="B106" t="s">
        <v>477</v>
      </c>
      <c r="C106" s="12">
        <f t="shared" ref="C106:AH106" si="68">C105/C9</f>
        <v>0.13516970222732033</v>
      </c>
      <c r="D106" s="12">
        <f t="shared" si="68"/>
        <v>0.14756427686640133</v>
      </c>
      <c r="E106" s="12">
        <f t="shared" si="68"/>
        <v>0.21466454828673981</v>
      </c>
      <c r="F106" s="12">
        <f t="shared" si="68"/>
        <v>0.22688337120915822</v>
      </c>
      <c r="G106" s="12">
        <f t="shared" si="68"/>
        <v>0.15996789549282775</v>
      </c>
      <c r="H106" s="12">
        <f t="shared" si="68"/>
        <v>0.22720144541992549</v>
      </c>
      <c r="I106" s="12">
        <f t="shared" si="68"/>
        <v>0.20359681045526365</v>
      </c>
      <c r="J106" s="12">
        <f t="shared" si="68"/>
        <v>0.23887722143942486</v>
      </c>
      <c r="K106" s="12">
        <f t="shared" si="68"/>
        <v>0.24752269618500017</v>
      </c>
      <c r="L106" s="12">
        <f t="shared" si="68"/>
        <v>0.23224227542255912</v>
      </c>
      <c r="M106" s="12">
        <f t="shared" si="68"/>
        <v>0.2340872983473197</v>
      </c>
      <c r="N106" s="12">
        <f t="shared" si="68"/>
        <v>0.24447670507276451</v>
      </c>
      <c r="O106" s="12">
        <f t="shared" si="68"/>
        <v>0.22485687036253671</v>
      </c>
      <c r="P106" s="12">
        <f t="shared" si="68"/>
        <v>0.21828696140866882</v>
      </c>
      <c r="Q106" s="12">
        <f t="shared" si="68"/>
        <v>0.14787196489074256</v>
      </c>
      <c r="R106" s="12">
        <f t="shared" si="68"/>
        <v>0.17988987311467566</v>
      </c>
      <c r="S106" s="12">
        <f t="shared" si="68"/>
        <v>0.13138544891640863</v>
      </c>
      <c r="T106" s="12">
        <f t="shared" si="68"/>
        <v>0.1148295070898042</v>
      </c>
      <c r="U106" s="12">
        <f t="shared" si="68"/>
        <v>0.11590604510411419</v>
      </c>
      <c r="V106" s="12">
        <f t="shared" si="68"/>
        <v>9.3103022062913182E-2</v>
      </c>
      <c r="W106" s="12">
        <f t="shared" si="68"/>
        <v>0.10215932302305217</v>
      </c>
      <c r="X106" s="12">
        <f t="shared" si="68"/>
        <v>9.3827274777665975E-2</v>
      </c>
      <c r="Y106" s="12">
        <f t="shared" si="68"/>
        <v>9.4175960346964058E-2</v>
      </c>
      <c r="Z106" s="12">
        <f t="shared" si="68"/>
        <v>0.1030253971337925</v>
      </c>
      <c r="AA106" s="12">
        <f t="shared" si="68"/>
        <v>9.8666666666666666E-2</v>
      </c>
      <c r="AB106" s="12">
        <f t="shared" si="68"/>
        <v>0.10062728698379508</v>
      </c>
      <c r="AC106" s="12">
        <f t="shared" si="68"/>
        <v>0.10208643815201192</v>
      </c>
      <c r="AD106" s="12">
        <f>AD105/AD9</f>
        <v>0.112261329652634</v>
      </c>
      <c r="AE106" s="12">
        <f t="shared" si="68"/>
        <v>0.11662546766678918</v>
      </c>
      <c r="AF106" s="12">
        <f t="shared" si="68"/>
        <v>0.11473852443517776</v>
      </c>
      <c r="AG106" s="12">
        <f t="shared" si="68"/>
        <v>0.12272291123690973</v>
      </c>
      <c r="AH106" s="12">
        <f t="shared" si="68"/>
        <v>0.11812354506393576</v>
      </c>
      <c r="AI106" s="12"/>
      <c r="AJ106" s="12"/>
      <c r="AK106" s="12"/>
      <c r="AL106" s="12"/>
      <c r="AM106" s="12"/>
      <c r="AN106" s="2"/>
    </row>
    <row r="107" spans="2:42" x14ac:dyDescent="0.55000000000000004">
      <c r="B107" t="s">
        <v>2723</v>
      </c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>
        <f t="shared" ref="W107:AH107" si="69">W105/W13</f>
        <v>0.15935366408739179</v>
      </c>
      <c r="X107" s="12">
        <f t="shared" si="69"/>
        <v>0.14414010601997673</v>
      </c>
      <c r="Y107" s="12">
        <f t="shared" si="69"/>
        <v>0.14307228915662651</v>
      </c>
      <c r="Z107" s="12">
        <f t="shared" si="69"/>
        <v>0.16007318566434739</v>
      </c>
      <c r="AA107" s="12">
        <f t="shared" si="69"/>
        <v>0.15341102130159837</v>
      </c>
      <c r="AB107" s="12">
        <f t="shared" si="69"/>
        <v>0.15593474542403241</v>
      </c>
      <c r="AC107" s="12">
        <f t="shared" si="69"/>
        <v>0.1595482029670531</v>
      </c>
      <c r="AD107" s="12">
        <f>AD105/AD13</f>
        <v>0.17957645375930395</v>
      </c>
      <c r="AE107" s="12">
        <f t="shared" si="69"/>
        <v>0.18539399289624955</v>
      </c>
      <c r="AF107" s="12">
        <f t="shared" si="69"/>
        <v>0.18329332451650315</v>
      </c>
      <c r="AG107" s="12">
        <f t="shared" si="69"/>
        <v>0.19809475877354257</v>
      </c>
      <c r="AH107" s="12">
        <f t="shared" si="69"/>
        <v>0.19258893027002844</v>
      </c>
      <c r="AI107" s="12"/>
      <c r="AJ107" s="12"/>
      <c r="AK107" s="12"/>
      <c r="AL107" s="12"/>
      <c r="AM107" s="12"/>
      <c r="AN107" s="2"/>
    </row>
    <row r="108" spans="2:42" x14ac:dyDescent="0.55000000000000004">
      <c r="Q108" s="2"/>
      <c r="R108" s="242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2:42" x14ac:dyDescent="0.55000000000000004">
      <c r="B109" t="s">
        <v>881</v>
      </c>
      <c r="K109" s="13">
        <f>K110-K105</f>
        <v>15.724159895400021</v>
      </c>
      <c r="L109" s="13">
        <f t="shared" ref="L109:W109" si="70">L110-L105</f>
        <v>20.068369981788692</v>
      </c>
      <c r="M109" s="13">
        <f t="shared" si="70"/>
        <v>47.706439695554081</v>
      </c>
      <c r="N109" s="13">
        <f t="shared" si="70"/>
        <v>19.680596774053072</v>
      </c>
      <c r="O109" s="13">
        <f t="shared" si="70"/>
        <v>10.094225216876282</v>
      </c>
      <c r="P109" s="13">
        <f t="shared" si="70"/>
        <v>10.677510913995661</v>
      </c>
      <c r="Q109" s="13">
        <f t="shared" si="70"/>
        <v>66.952295505670634</v>
      </c>
      <c r="R109" s="13">
        <f t="shared" si="70"/>
        <v>53.622438307884067</v>
      </c>
      <c r="S109" s="13">
        <f t="shared" si="70"/>
        <v>55.500000000000114</v>
      </c>
      <c r="T109" s="13">
        <f t="shared" si="70"/>
        <v>73.099999999999966</v>
      </c>
      <c r="U109" s="13">
        <f t="shared" si="70"/>
        <v>96.96799999999979</v>
      </c>
      <c r="V109" s="13">
        <f t="shared" si="70"/>
        <v>33.000000000000398</v>
      </c>
      <c r="W109" s="13">
        <f t="shared" si="70"/>
        <v>20.900000000000205</v>
      </c>
      <c r="X109" s="13">
        <f t="shared" ref="X109:AD109" si="71">X110-X105</f>
        <v>36.083000000000084</v>
      </c>
      <c r="Y109" s="13">
        <f t="shared" si="71"/>
        <v>31.300000000000011</v>
      </c>
      <c r="Z109" s="13">
        <f t="shared" si="71"/>
        <v>3.113376555914158</v>
      </c>
      <c r="AA109" s="13">
        <f t="shared" si="71"/>
        <v>22</v>
      </c>
      <c r="AB109" s="13">
        <f t="shared" si="71"/>
        <v>30</v>
      </c>
      <c r="AC109" s="13">
        <f t="shared" si="71"/>
        <v>29</v>
      </c>
      <c r="AD109" s="13">
        <f t="shared" si="71"/>
        <v>32</v>
      </c>
      <c r="AE109" s="48">
        <v>27</v>
      </c>
      <c r="AF109" s="48">
        <v>27</v>
      </c>
      <c r="AG109" s="48">
        <v>27</v>
      </c>
      <c r="AH109" s="4">
        <f>Master!L109-AE109-AF109-AG109</f>
        <v>26.856000000000222</v>
      </c>
      <c r="AI109" s="4"/>
      <c r="AJ109" s="4"/>
      <c r="AK109" s="4"/>
      <c r="AL109" s="4"/>
      <c r="AM109" s="4"/>
      <c r="AN109" s="2"/>
    </row>
    <row r="110" spans="2:42" x14ac:dyDescent="0.55000000000000004">
      <c r="B110" t="s">
        <v>814</v>
      </c>
      <c r="C110" s="13">
        <v>60.624692806570991</v>
      </c>
      <c r="D110" s="13">
        <v>82.221486991467032</v>
      </c>
      <c r="E110" s="13">
        <v>147.39662144196217</v>
      </c>
      <c r="F110" s="13">
        <v>188.55119875999972</v>
      </c>
      <c r="G110" s="13">
        <v>212.8562263899999</v>
      </c>
      <c r="H110" s="13">
        <v>242.14666775137479</v>
      </c>
      <c r="I110" s="13">
        <v>290.46211044215954</v>
      </c>
      <c r="J110" s="13">
        <v>323.43066836991323</v>
      </c>
      <c r="K110" s="13">
        <v>325.45824036739975</v>
      </c>
      <c r="L110" s="13">
        <v>342.82637719978868</v>
      </c>
      <c r="M110" s="13">
        <v>390.16843003555402</v>
      </c>
      <c r="N110" s="13">
        <v>411.61795105894981</v>
      </c>
      <c r="O110" s="13">
        <v>367.00846522687647</v>
      </c>
      <c r="P110" s="13">
        <v>306.98985332794678</v>
      </c>
      <c r="Q110" s="13">
        <v>330.38224313729251</v>
      </c>
      <c r="R110" s="13">
        <f>1433.703-O110-P110-Q110</f>
        <v>429.32243830788417</v>
      </c>
      <c r="S110" s="13">
        <v>327.10000000000002</v>
      </c>
      <c r="T110" s="13">
        <v>345.2</v>
      </c>
      <c r="U110" s="13">
        <v>418.7</v>
      </c>
      <c r="V110" s="13">
        <v>334.3</v>
      </c>
      <c r="W110" s="13">
        <v>371</v>
      </c>
      <c r="X110" s="32">
        <v>403</v>
      </c>
      <c r="Y110" s="32">
        <v>411.3</v>
      </c>
      <c r="Z110" s="32">
        <v>411.3</v>
      </c>
      <c r="AA110" s="32">
        <v>392</v>
      </c>
      <c r="AB110" s="32">
        <v>415</v>
      </c>
      <c r="AC110" s="32">
        <v>440</v>
      </c>
      <c r="AD110" s="32">
        <v>520</v>
      </c>
      <c r="AE110" s="13">
        <f>AE105+AE109</f>
        <v>497.86366315789456</v>
      </c>
      <c r="AF110" s="13">
        <f>AF105+AF109</f>
        <v>499.67682526315838</v>
      </c>
      <c r="AG110" s="13">
        <f>AG105+AG109</f>
        <v>565.7781249122811</v>
      </c>
      <c r="AH110" s="13">
        <f>AH105+AH109</f>
        <v>604.08827034957403</v>
      </c>
      <c r="AI110" s="13"/>
      <c r="AJ110" s="13"/>
      <c r="AK110" s="13"/>
      <c r="AL110" s="13"/>
      <c r="AM110" s="13"/>
      <c r="AN110" s="2"/>
    </row>
    <row r="111" spans="2:42" x14ac:dyDescent="0.55000000000000004">
      <c r="B111" t="s">
        <v>477</v>
      </c>
      <c r="C111" s="12">
        <f t="shared" ref="C111:AH111" si="72">C110/C9</f>
        <v>0.13516970222732033</v>
      </c>
      <c r="D111" s="12">
        <f t="shared" si="72"/>
        <v>0.14756427686640133</v>
      </c>
      <c r="E111" s="12">
        <f t="shared" si="72"/>
        <v>0.21466454828673981</v>
      </c>
      <c r="F111" s="12">
        <f t="shared" si="72"/>
        <v>0.22688337120915822</v>
      </c>
      <c r="G111" s="12">
        <f t="shared" si="72"/>
        <v>0.22936302454010199</v>
      </c>
      <c r="H111" s="12">
        <f t="shared" si="72"/>
        <v>0.24171520610847119</v>
      </c>
      <c r="I111" s="12">
        <f t="shared" si="72"/>
        <v>0.25538700393475622</v>
      </c>
      <c r="J111" s="12">
        <f t="shared" si="72"/>
        <v>0.25516528027643698</v>
      </c>
      <c r="K111" s="12">
        <f t="shared" si="72"/>
        <v>0.26008859286198954</v>
      </c>
      <c r="L111" s="12">
        <f t="shared" si="72"/>
        <v>0.24668257993666029</v>
      </c>
      <c r="M111" s="12">
        <f t="shared" si="72"/>
        <v>0.26669667368562922</v>
      </c>
      <c r="N111" s="12">
        <f t="shared" si="72"/>
        <v>0.25675276756230403</v>
      </c>
      <c r="O111" s="12">
        <f t="shared" si="72"/>
        <v>0.23121625767904672</v>
      </c>
      <c r="P111" s="12">
        <f t="shared" si="72"/>
        <v>0.226152855194382</v>
      </c>
      <c r="Q111" s="12">
        <f t="shared" si="72"/>
        <v>0.18545450848299097</v>
      </c>
      <c r="R111" s="12">
        <f t="shared" si="72"/>
        <v>0.20556496926400966</v>
      </c>
      <c r="S111" s="12">
        <f t="shared" si="72"/>
        <v>0.15823335913312697</v>
      </c>
      <c r="T111" s="12">
        <f t="shared" si="72"/>
        <v>0.14567859554355164</v>
      </c>
      <c r="U111" s="12">
        <f t="shared" si="72"/>
        <v>0.15083939765112758</v>
      </c>
      <c r="V111" s="12">
        <f t="shared" si="72"/>
        <v>0.10330016686236945</v>
      </c>
      <c r="W111" s="12">
        <f t="shared" si="72"/>
        <v>0.10825795156113219</v>
      </c>
      <c r="X111" s="12">
        <f t="shared" si="72"/>
        <v>0.10305434671982873</v>
      </c>
      <c r="Y111" s="12">
        <f t="shared" si="72"/>
        <v>0.10193308550185874</v>
      </c>
      <c r="Z111" s="12">
        <f t="shared" si="72"/>
        <v>0.10381120646138314</v>
      </c>
      <c r="AA111" s="12">
        <f t="shared" si="72"/>
        <v>0.10453333333333334</v>
      </c>
      <c r="AB111" s="12">
        <f t="shared" si="72"/>
        <v>0.10846837428123367</v>
      </c>
      <c r="AC111" s="12">
        <f t="shared" si="72"/>
        <v>0.10928961748633879</v>
      </c>
      <c r="AD111" s="12">
        <f>AD110/AD9</f>
        <v>0.11962272831838049</v>
      </c>
      <c r="AE111" s="12">
        <f t="shared" si="72"/>
        <v>0.12331293980232194</v>
      </c>
      <c r="AF111" s="12">
        <f t="shared" si="72"/>
        <v>0.12129255880744692</v>
      </c>
      <c r="AG111" s="12">
        <f t="shared" si="72"/>
        <v>0.12887297273752474</v>
      </c>
      <c r="AH111" s="12">
        <f t="shared" si="72"/>
        <v>0.12361929796824915</v>
      </c>
      <c r="AI111" s="12"/>
      <c r="AJ111" s="12"/>
      <c r="AK111" s="12"/>
      <c r="AL111" s="12"/>
      <c r="AM111" s="12"/>
      <c r="AN111" s="2"/>
    </row>
    <row r="112" spans="2:42" x14ac:dyDescent="0.55000000000000004"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>
        <f>AC110/AC13</f>
        <v>0.17080586205718581</v>
      </c>
      <c r="AD112" s="12">
        <f>AD110/AD13</f>
        <v>0.19135195892384846</v>
      </c>
      <c r="AE112" s="12"/>
      <c r="AF112" s="12"/>
      <c r="AG112" s="12"/>
      <c r="AH112" s="12"/>
      <c r="AI112" s="12"/>
      <c r="AJ112" s="12"/>
      <c r="AK112" s="12"/>
      <c r="AL112" s="12"/>
      <c r="AM112" s="12"/>
      <c r="AN112" s="2"/>
    </row>
    <row r="113" spans="2:62" x14ac:dyDescent="0.55000000000000004"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"/>
    </row>
    <row r="114" spans="2:62" x14ac:dyDescent="0.55000000000000004">
      <c r="B114" t="s">
        <v>1945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3">
        <f t="shared" ref="S114:X114" si="73">S115-S110</f>
        <v>29.325480713954221</v>
      </c>
      <c r="T114" s="13">
        <f t="shared" si="73"/>
        <v>-3.1885579293543742E-2</v>
      </c>
      <c r="U114" s="13">
        <f t="shared" si="73"/>
        <v>-3.6204324976836233E-2</v>
      </c>
      <c r="V114" s="13">
        <f t="shared" si="73"/>
        <v>91.571829322273629</v>
      </c>
      <c r="W114" s="13">
        <f t="shared" si="73"/>
        <v>0.28428005414173185</v>
      </c>
      <c r="X114" s="13">
        <f t="shared" si="73"/>
        <v>0</v>
      </c>
      <c r="Y114" s="13">
        <f t="shared" ref="Y114:AD114" si="74">Y115-Y110</f>
        <v>0</v>
      </c>
      <c r="Z114" s="13">
        <f t="shared" si="74"/>
        <v>0</v>
      </c>
      <c r="AA114" s="13">
        <f t="shared" si="74"/>
        <v>0</v>
      </c>
      <c r="AB114" s="13">
        <f t="shared" si="74"/>
        <v>0</v>
      </c>
      <c r="AC114" s="13">
        <f t="shared" si="74"/>
        <v>0</v>
      </c>
      <c r="AD114" s="13">
        <f t="shared" si="74"/>
        <v>0</v>
      </c>
      <c r="AE114" s="48">
        <v>0</v>
      </c>
      <c r="AF114" s="48">
        <v>0</v>
      </c>
      <c r="AG114" s="48">
        <v>0</v>
      </c>
      <c r="AH114" s="48">
        <v>0</v>
      </c>
      <c r="AI114" s="48"/>
      <c r="AJ114" s="48"/>
      <c r="AK114" s="48"/>
      <c r="AL114" s="48"/>
      <c r="AM114" s="48"/>
      <c r="AN114" s="2"/>
    </row>
    <row r="115" spans="2:62" x14ac:dyDescent="0.55000000000000004">
      <c r="B115" s="18" t="s">
        <v>1946</v>
      </c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27">
        <v>356.42548071395424</v>
      </c>
      <c r="T115" s="27">
        <v>345.16811442070644</v>
      </c>
      <c r="U115" s="27">
        <v>418.66379567502315</v>
      </c>
      <c r="V115" s="27">
        <v>425.87182932227364</v>
      </c>
      <c r="W115" s="27">
        <v>371.28428005414173</v>
      </c>
      <c r="X115" s="480">
        <v>403</v>
      </c>
      <c r="Y115" s="480">
        <v>411.3</v>
      </c>
      <c r="Z115" s="480">
        <v>411.3</v>
      </c>
      <c r="AA115" s="480">
        <v>392</v>
      </c>
      <c r="AB115" s="480">
        <v>415</v>
      </c>
      <c r="AC115" s="480">
        <v>440</v>
      </c>
      <c r="AD115" s="480">
        <v>520</v>
      </c>
      <c r="AE115" s="27">
        <f>AE110+AE114</f>
        <v>497.86366315789456</v>
      </c>
      <c r="AF115" s="27">
        <f>AF110+AF114</f>
        <v>499.67682526315838</v>
      </c>
      <c r="AG115" s="27">
        <f>AG110+AG114</f>
        <v>565.7781249122811</v>
      </c>
      <c r="AH115" s="27">
        <f>AH110+AH114</f>
        <v>604.08827034957403</v>
      </c>
      <c r="AI115" s="27"/>
      <c r="AJ115" s="27" t="e">
        <f>#REF!*4</f>
        <v>#REF!</v>
      </c>
      <c r="AK115" s="27">
        <f>SUM(AE115:AH115)</f>
        <v>2167.4068836829083</v>
      </c>
      <c r="AL115" s="27"/>
      <c r="AM115" s="27"/>
      <c r="AN115" s="2"/>
      <c r="AY115" s="2">
        <f t="shared" ref="AY115:BJ115" si="75">W115/S115-1</f>
        <v>4.1688375675116962E-2</v>
      </c>
      <c r="AZ115" s="2">
        <f t="shared" si="75"/>
        <v>0.16754701017604834</v>
      </c>
      <c r="BA115" s="2">
        <f t="shared" si="75"/>
        <v>-1.7588804551753268E-2</v>
      </c>
      <c r="BB115" s="2">
        <f t="shared" si="75"/>
        <v>-3.4216466831025305E-2</v>
      </c>
      <c r="BC115" s="2">
        <f t="shared" si="75"/>
        <v>5.5794767133252821E-2</v>
      </c>
      <c r="BD115" s="2">
        <f t="shared" si="75"/>
        <v>2.977667493796532E-2</v>
      </c>
      <c r="BE115" s="2">
        <f t="shared" si="75"/>
        <v>6.977875030391445E-2</v>
      </c>
      <c r="BF115" s="2">
        <f t="shared" si="75"/>
        <v>0.26428397763189881</v>
      </c>
      <c r="BG115" s="2">
        <f t="shared" si="75"/>
        <v>0.27006036519871057</v>
      </c>
      <c r="BH115" s="2">
        <f t="shared" si="75"/>
        <v>0.20404054280279138</v>
      </c>
      <c r="BI115" s="2">
        <f t="shared" si="75"/>
        <v>0.28585937480063883</v>
      </c>
      <c r="BJ115" s="2">
        <f t="shared" si="75"/>
        <v>0.16170821221071918</v>
      </c>
    </row>
    <row r="116" spans="2:62" x14ac:dyDescent="0.55000000000000004">
      <c r="Q116" s="2"/>
      <c r="R116" s="242"/>
      <c r="S116" s="242"/>
      <c r="T116" s="242"/>
      <c r="U116" s="242"/>
      <c r="V116" s="242"/>
      <c r="W116" s="505"/>
      <c r="X116" s="505"/>
      <c r="Y116" s="505"/>
      <c r="Z116" s="505"/>
      <c r="AA116" s="27">
        <v>40.226999999999997</v>
      </c>
      <c r="AB116" s="27">
        <v>73.116</v>
      </c>
      <c r="AC116" s="27">
        <v>109</v>
      </c>
      <c r="AD116" s="27"/>
      <c r="AE116" s="571"/>
      <c r="AF116" s="571"/>
      <c r="AG116" s="571"/>
      <c r="AH116" s="571"/>
      <c r="AI116" s="2"/>
      <c r="AJ116" s="4"/>
      <c r="AK116" s="2" t="e">
        <f>AK115/AJ115-1</f>
        <v>#REF!</v>
      </c>
      <c r="AL116" s="2"/>
      <c r="AM116" s="2"/>
      <c r="AN116" s="2"/>
    </row>
    <row r="117" spans="2:62" x14ac:dyDescent="0.55000000000000004">
      <c r="Q117" s="2"/>
      <c r="R117" s="242"/>
      <c r="S117" s="242"/>
      <c r="T117" s="242"/>
      <c r="U117" s="242"/>
      <c r="V117" s="242"/>
      <c r="W117" s="505"/>
      <c r="X117" s="505"/>
      <c r="Y117" s="505"/>
      <c r="Z117" s="505"/>
      <c r="AA117" s="27"/>
      <c r="AB117" s="13">
        <f>AB116-AA116</f>
        <v>32.889000000000003</v>
      </c>
      <c r="AC117" s="13">
        <f>AC116-AB116</f>
        <v>35.884</v>
      </c>
      <c r="AD117" s="13"/>
      <c r="AE117" s="571"/>
      <c r="AF117" s="571"/>
      <c r="AG117" s="571"/>
      <c r="AH117" s="571"/>
      <c r="AI117" s="2"/>
      <c r="AJ117" s="4"/>
      <c r="AK117" s="2"/>
      <c r="AL117" s="2"/>
      <c r="AM117" s="2"/>
      <c r="AN117" s="2"/>
    </row>
    <row r="118" spans="2:62" x14ac:dyDescent="0.55000000000000004">
      <c r="Q118" s="2"/>
      <c r="R118" s="242"/>
      <c r="S118" s="242"/>
      <c r="T118" s="242"/>
      <c r="U118" s="242"/>
      <c r="V118" s="242"/>
      <c r="W118" s="505"/>
      <c r="X118" s="505"/>
      <c r="Y118" s="505"/>
      <c r="Z118" s="505"/>
      <c r="AA118" s="27"/>
      <c r="AB118" s="13"/>
      <c r="AC118" s="13">
        <v>20</v>
      </c>
      <c r="AD118" s="13"/>
      <c r="AE118" s="571"/>
      <c r="AF118" s="571"/>
      <c r="AG118" s="571"/>
      <c r="AH118" s="571"/>
      <c r="AI118" s="2"/>
      <c r="AJ118" s="4"/>
      <c r="AK118" s="2"/>
      <c r="AL118" s="2"/>
      <c r="AM118" s="2"/>
      <c r="AN118" s="2"/>
    </row>
    <row r="119" spans="2:62" x14ac:dyDescent="0.55000000000000004">
      <c r="Q119" s="2"/>
      <c r="R119" s="242"/>
      <c r="S119" s="242"/>
      <c r="T119" s="242"/>
      <c r="U119" s="242"/>
      <c r="V119" s="242"/>
      <c r="W119" s="505"/>
      <c r="X119" s="505"/>
      <c r="Y119" s="505"/>
      <c r="Z119" s="505"/>
      <c r="AA119" s="27"/>
      <c r="AB119" s="27"/>
      <c r="AC119" s="27">
        <f>AC115-AC117+AC118</f>
        <v>424.11599999999999</v>
      </c>
      <c r="AD119" s="27"/>
      <c r="AE119" s="571"/>
      <c r="AF119" s="571"/>
      <c r="AG119" s="571"/>
      <c r="AH119" s="571"/>
      <c r="AI119" s="2"/>
      <c r="AJ119" s="4"/>
      <c r="AK119" s="2"/>
      <c r="AL119" s="2"/>
      <c r="AM119" s="2"/>
      <c r="AN119" s="2"/>
    </row>
    <row r="120" spans="2:62" x14ac:dyDescent="0.55000000000000004">
      <c r="B120" t="s">
        <v>2194</v>
      </c>
      <c r="Q120" s="2"/>
      <c r="R120" s="2"/>
      <c r="S120" s="398"/>
      <c r="T120" s="398"/>
      <c r="U120" s="398"/>
      <c r="V120" s="398"/>
      <c r="W120" s="398"/>
      <c r="X120" s="398"/>
      <c r="Y120" s="398"/>
      <c r="Z120" s="398"/>
      <c r="AA120" s="398"/>
      <c r="AE120" s="4">
        <f>AE115-AD115</f>
        <v>-22.136336842105436</v>
      </c>
      <c r="AF120" s="4">
        <f>AF115-AE115</f>
        <v>1.8131621052638138</v>
      </c>
      <c r="AG120" s="4">
        <f>AG115-AF115</f>
        <v>66.101299649122723</v>
      </c>
      <c r="AH120" s="4">
        <f>AH115-AG115</f>
        <v>38.310145437292931</v>
      </c>
      <c r="AI120" s="4"/>
      <c r="AJ120" s="4">
        <f>SUM(AA115:AD115)</f>
        <v>1767</v>
      </c>
      <c r="AK120" s="4"/>
      <c r="AL120" s="4"/>
      <c r="AM120" s="4"/>
      <c r="AN120" s="2"/>
    </row>
    <row r="121" spans="2:62" x14ac:dyDescent="0.55000000000000004">
      <c r="B121" s="10" t="s">
        <v>2202</v>
      </c>
      <c r="Q121" s="2"/>
      <c r="R121" s="2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4">
        <f>(AE24-AD24)*0.8</f>
        <v>-27.785632510732469</v>
      </c>
      <c r="AF121" s="4">
        <f>(AF24-AE24)*0.8</f>
        <v>53.813162105263473</v>
      </c>
      <c r="AG121" s="4">
        <f>(AG24-AF24)*0.8</f>
        <v>102.10129964912304</v>
      </c>
      <c r="AH121" s="4">
        <f>(AH24-AG24)*0.8</f>
        <v>105.51414235726553</v>
      </c>
      <c r="AI121" s="4"/>
      <c r="AJ121" s="4">
        <f>AJ116-AJ120</f>
        <v>-1767</v>
      </c>
      <c r="AK121" s="4">
        <f>160*3</f>
        <v>480</v>
      </c>
      <c r="AL121" s="4"/>
      <c r="AM121" s="4"/>
      <c r="AN121" s="2"/>
    </row>
    <row r="122" spans="2:62" x14ac:dyDescent="0.55000000000000004">
      <c r="B122" s="10" t="s">
        <v>2195</v>
      </c>
      <c r="Q122" s="2"/>
      <c r="R122" s="2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4">
        <f>AE120-AE121</f>
        <v>5.6492956686270333</v>
      </c>
      <c r="AF122" s="4">
        <f>AF120-AF121</f>
        <v>-51.999999999999659</v>
      </c>
      <c r="AG122" s="4">
        <f>AG120-AG121</f>
        <v>-36.000000000000313</v>
      </c>
      <c r="AH122" s="4">
        <f>AH120-AH121</f>
        <v>-67.203996919972596</v>
      </c>
      <c r="AI122" s="4"/>
      <c r="AJ122" s="4"/>
      <c r="AK122" s="4"/>
      <c r="AL122" s="4"/>
      <c r="AM122" s="4">
        <v>453</v>
      </c>
      <c r="AN122" s="2"/>
    </row>
    <row r="123" spans="2:62" x14ac:dyDescent="0.55000000000000004">
      <c r="B123" s="18"/>
      <c r="Q123" s="2"/>
      <c r="R123" s="2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4"/>
      <c r="AF123" s="4"/>
      <c r="AG123" s="4"/>
      <c r="AH123" s="4"/>
      <c r="AI123" s="4"/>
      <c r="AJ123" s="4"/>
      <c r="AK123" s="4"/>
      <c r="AL123" s="4"/>
      <c r="AM123" s="4"/>
      <c r="AN123" s="2"/>
    </row>
    <row r="124" spans="2:62" x14ac:dyDescent="0.55000000000000004">
      <c r="B124" s="18" t="s">
        <v>1953</v>
      </c>
      <c r="Q124" s="2"/>
      <c r="R124" s="2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4"/>
      <c r="AF124" s="4"/>
      <c r="AG124" s="4"/>
      <c r="AH124" s="4"/>
      <c r="AI124" s="4"/>
      <c r="AJ124" s="4"/>
      <c r="AK124" s="4"/>
      <c r="AL124" s="4"/>
      <c r="AM124" s="4"/>
      <c r="AN124" s="2"/>
    </row>
    <row r="125" spans="2:62" x14ac:dyDescent="0.55000000000000004">
      <c r="B125" t="s">
        <v>1941</v>
      </c>
      <c r="Q125" s="2"/>
      <c r="R125" s="2"/>
      <c r="S125" s="4">
        <f t="shared" ref="S125:X125" si="76">S105</f>
        <v>271.59999999999991</v>
      </c>
      <c r="T125" s="4">
        <f t="shared" si="76"/>
        <v>272.10000000000002</v>
      </c>
      <c r="U125" s="4">
        <f t="shared" si="76"/>
        <v>321.7320000000002</v>
      </c>
      <c r="V125" s="4">
        <f t="shared" si="76"/>
        <v>301.29999999999961</v>
      </c>
      <c r="W125" s="4">
        <f t="shared" si="76"/>
        <v>350.0999999999998</v>
      </c>
      <c r="X125" s="4">
        <f t="shared" si="76"/>
        <v>366.91699999999992</v>
      </c>
      <c r="Y125" s="4">
        <f>Y105</f>
        <v>380</v>
      </c>
      <c r="Z125" s="4">
        <f>Z105</f>
        <v>408.18662344408585</v>
      </c>
      <c r="AA125" s="4"/>
      <c r="AB125" s="4"/>
      <c r="AC125" s="4"/>
      <c r="AD125" s="4"/>
      <c r="AE125" s="4">
        <f>AE105</f>
        <v>470.86366315789456</v>
      </c>
      <c r="AF125" s="4">
        <f>AF105</f>
        <v>472.67682526315838</v>
      </c>
      <c r="AG125" s="4">
        <f>AG105</f>
        <v>538.7781249122811</v>
      </c>
      <c r="AH125" s="4">
        <f>AH105</f>
        <v>577.23227034957381</v>
      </c>
      <c r="AI125" s="4"/>
      <c r="AJ125" s="4"/>
      <c r="AK125" s="4"/>
      <c r="AL125" s="4"/>
      <c r="AM125" s="4"/>
      <c r="AN125" s="2"/>
    </row>
    <row r="126" spans="2:62" x14ac:dyDescent="0.55000000000000004">
      <c r="B126" t="s">
        <v>1942</v>
      </c>
      <c r="Q126" s="2"/>
      <c r="R126" s="2"/>
      <c r="S126" s="4">
        <f t="shared" ref="S126:X126" si="77">-S102</f>
        <v>89</v>
      </c>
      <c r="T126" s="4">
        <f t="shared" si="77"/>
        <v>66</v>
      </c>
      <c r="U126" s="4">
        <f t="shared" si="77"/>
        <v>99.635000000000005</v>
      </c>
      <c r="V126" s="4">
        <f t="shared" si="77"/>
        <v>67.099999999999994</v>
      </c>
      <c r="W126" s="4">
        <f t="shared" si="77"/>
        <v>66.599999999999994</v>
      </c>
      <c r="X126" s="4">
        <f t="shared" si="77"/>
        <v>76</v>
      </c>
      <c r="Y126" s="4">
        <f>-Y102</f>
        <v>45</v>
      </c>
      <c r="Z126" s="4">
        <f>-Z102</f>
        <v>67</v>
      </c>
      <c r="AA126" s="4"/>
      <c r="AB126" s="4"/>
      <c r="AC126" s="4"/>
      <c r="AD126" s="4"/>
      <c r="AE126" s="4">
        <f>-AE102</f>
        <v>117.71591578947364</v>
      </c>
      <c r="AF126" s="4">
        <f>-AF102</f>
        <v>118.16920631578961</v>
      </c>
      <c r="AG126" s="4">
        <f>-AG102</f>
        <v>134.69453122807028</v>
      </c>
      <c r="AH126" s="4">
        <f>-AH102</f>
        <v>144.3080675873926</v>
      </c>
      <c r="AI126" s="4"/>
      <c r="AJ126" s="4"/>
      <c r="AK126" s="4"/>
      <c r="AL126" s="4"/>
      <c r="AM126" s="4"/>
      <c r="AN126" s="2"/>
    </row>
    <row r="127" spans="2:62" x14ac:dyDescent="0.55000000000000004">
      <c r="B127" t="s">
        <v>312</v>
      </c>
      <c r="Q127" s="2"/>
      <c r="R127" s="2"/>
      <c r="S127" s="4">
        <f t="shared" ref="S127:Z127" si="78">-S69</f>
        <v>158.30000000000001</v>
      </c>
      <c r="T127" s="4">
        <f t="shared" si="78"/>
        <v>181.5</v>
      </c>
      <c r="U127" s="4">
        <f t="shared" si="78"/>
        <v>203.3</v>
      </c>
      <c r="V127" s="4">
        <f t="shared" si="78"/>
        <v>225.5</v>
      </c>
      <c r="W127" s="4">
        <f t="shared" si="78"/>
        <v>249</v>
      </c>
      <c r="X127" s="4">
        <f t="shared" si="78"/>
        <v>280.56599999999997</v>
      </c>
      <c r="Y127" s="4">
        <f t="shared" si="78"/>
        <v>294</v>
      </c>
      <c r="Z127" s="4">
        <f t="shared" si="78"/>
        <v>306.649080200865</v>
      </c>
      <c r="AA127" s="4"/>
      <c r="AB127" s="4"/>
      <c r="AC127" s="4"/>
      <c r="AD127" s="4"/>
      <c r="AE127" s="4">
        <f>-AE69</f>
        <v>395</v>
      </c>
      <c r="AF127" s="4">
        <f>-AF69</f>
        <v>430</v>
      </c>
      <c r="AG127" s="4">
        <f>-AG69</f>
        <v>460</v>
      </c>
      <c r="AH127" s="4">
        <f>-AH69</f>
        <v>488.54706458419037</v>
      </c>
      <c r="AI127" s="4"/>
      <c r="AJ127" s="4"/>
      <c r="AK127" s="4"/>
      <c r="AL127" s="4"/>
      <c r="AM127" s="4"/>
      <c r="AN127" s="2"/>
    </row>
    <row r="128" spans="2:62" x14ac:dyDescent="0.55000000000000004">
      <c r="B128" t="s">
        <v>1943</v>
      </c>
      <c r="Q128" s="2"/>
      <c r="R128" s="2"/>
      <c r="S128" s="44">
        <v>-25.247820869999998</v>
      </c>
      <c r="T128" s="44">
        <v>1.2193639020799907</v>
      </c>
      <c r="U128" s="44">
        <v>-27.172289500000009</v>
      </c>
      <c r="V128" s="44">
        <v>-26.053273070000003</v>
      </c>
      <c r="W128" s="44">
        <v>-28.388784418273598</v>
      </c>
      <c r="X128" s="44">
        <v>-45</v>
      </c>
      <c r="Y128" s="44">
        <v>-46</v>
      </c>
      <c r="Z128" s="44">
        <v>-43</v>
      </c>
      <c r="AA128" s="44"/>
      <c r="AB128" s="44"/>
      <c r="AC128" s="44"/>
      <c r="AD128" s="44"/>
      <c r="AE128" s="48">
        <v>0</v>
      </c>
      <c r="AF128" s="48">
        <v>0</v>
      </c>
      <c r="AG128" s="48">
        <v>0</v>
      </c>
      <c r="AH128" s="48">
        <v>0</v>
      </c>
      <c r="AI128" s="48"/>
      <c r="AJ128" s="48"/>
      <c r="AK128" s="48"/>
      <c r="AL128" s="48"/>
      <c r="AM128" s="48"/>
      <c r="AN128" s="2"/>
    </row>
    <row r="129" spans="2:40" x14ac:dyDescent="0.55000000000000004">
      <c r="B129" s="18" t="s">
        <v>1936</v>
      </c>
      <c r="Q129" s="2"/>
      <c r="R129" s="2"/>
      <c r="S129" s="95">
        <f t="shared" ref="S129:Z129" si="79">S125+S126+S127+S128</f>
        <v>493.65217912999987</v>
      </c>
      <c r="T129" s="95">
        <f t="shared" si="79"/>
        <v>520.81936390208</v>
      </c>
      <c r="U129" s="95">
        <f t="shared" si="79"/>
        <v>597.49471050000011</v>
      </c>
      <c r="V129" s="95">
        <f t="shared" si="79"/>
        <v>567.84672692999959</v>
      </c>
      <c r="W129" s="95">
        <f t="shared" si="79"/>
        <v>637.31121558172617</v>
      </c>
      <c r="X129" s="95">
        <f t="shared" si="79"/>
        <v>678.48299999999995</v>
      </c>
      <c r="Y129" s="95">
        <f t="shared" si="79"/>
        <v>673</v>
      </c>
      <c r="Z129" s="95">
        <f t="shared" si="79"/>
        <v>738.83570364495085</v>
      </c>
      <c r="AA129" s="95"/>
      <c r="AB129" s="95"/>
      <c r="AC129" s="95"/>
      <c r="AD129" s="95"/>
      <c r="AE129" s="95">
        <f>AE125+AE126+AE127+AE128</f>
        <v>983.57957894736819</v>
      </c>
      <c r="AF129" s="95">
        <f>AF125+AF126+AF127+AF128</f>
        <v>1020.846031578948</v>
      </c>
      <c r="AG129" s="95">
        <f>AG125+AG126+AG127+AG128</f>
        <v>1133.4726561403513</v>
      </c>
      <c r="AH129" s="95">
        <f>AH125+AH126+AH127+AH128</f>
        <v>1210.0874025211567</v>
      </c>
      <c r="AI129" s="95"/>
      <c r="AJ129" s="95"/>
      <c r="AK129" s="95"/>
      <c r="AL129" s="95"/>
      <c r="AM129" s="95"/>
      <c r="AN129" s="2"/>
    </row>
    <row r="130" spans="2:40" x14ac:dyDescent="0.55000000000000004">
      <c r="B130" t="s">
        <v>1944</v>
      </c>
      <c r="Q130" s="2"/>
      <c r="R130" s="2"/>
      <c r="S130" s="44">
        <v>79.670035459999994</v>
      </c>
      <c r="T130" s="44">
        <v>107.72627747999999</v>
      </c>
      <c r="U130" s="44">
        <v>144.22588880402907</v>
      </c>
      <c r="V130" s="44">
        <v>44.347701729243354</v>
      </c>
      <c r="W130" s="44">
        <v>27.750788890000003</v>
      </c>
      <c r="X130" s="44">
        <v>51</v>
      </c>
      <c r="Y130" s="44">
        <v>95</v>
      </c>
      <c r="Z130" s="44">
        <v>49</v>
      </c>
      <c r="AA130" s="44"/>
      <c r="AB130" s="44"/>
      <c r="AC130" s="44"/>
      <c r="AD130" s="44"/>
      <c r="AE130" s="13">
        <f>AE109</f>
        <v>27</v>
      </c>
      <c r="AF130" s="13">
        <f>AF109</f>
        <v>27</v>
      </c>
      <c r="AG130" s="13">
        <f>AG109</f>
        <v>27</v>
      </c>
      <c r="AH130" s="13">
        <f>AH109</f>
        <v>26.856000000000222</v>
      </c>
      <c r="AI130" s="13"/>
      <c r="AJ130" s="13"/>
      <c r="AK130" s="13"/>
      <c r="AL130" s="13"/>
      <c r="AM130" s="13"/>
      <c r="AN130" s="2"/>
    </row>
    <row r="131" spans="2:40" x14ac:dyDescent="0.55000000000000004">
      <c r="B131" s="18" t="s">
        <v>1937</v>
      </c>
      <c r="Q131" s="2"/>
      <c r="R131" s="2"/>
      <c r="S131" s="95">
        <f t="shared" ref="S131:Z131" si="80">S129+S130</f>
        <v>573.32221458999982</v>
      </c>
      <c r="T131" s="95">
        <f t="shared" si="80"/>
        <v>628.54564138208002</v>
      </c>
      <c r="U131" s="95">
        <f t="shared" si="80"/>
        <v>741.72059930402918</v>
      </c>
      <c r="V131" s="95">
        <f t="shared" si="80"/>
        <v>612.19442865924293</v>
      </c>
      <c r="W131" s="95">
        <f t="shared" si="80"/>
        <v>665.06200447172614</v>
      </c>
      <c r="X131" s="95">
        <f t="shared" si="80"/>
        <v>729.48299999999995</v>
      </c>
      <c r="Y131" s="95">
        <f t="shared" si="80"/>
        <v>768</v>
      </c>
      <c r="Z131" s="95">
        <f t="shared" si="80"/>
        <v>787.83570364495085</v>
      </c>
      <c r="AA131" s="95"/>
      <c r="AB131" s="95"/>
      <c r="AC131" s="95"/>
      <c r="AD131" s="95"/>
      <c r="AE131" s="95">
        <f>AE129+AE130</f>
        <v>1010.5795789473682</v>
      </c>
      <c r="AF131" s="95">
        <f>AF129+AF130</f>
        <v>1047.846031578948</v>
      </c>
      <c r="AG131" s="95">
        <f>AG129+AG130</f>
        <v>1160.4726561403513</v>
      </c>
      <c r="AH131" s="95">
        <f>AH129+AH130</f>
        <v>1236.9434025211569</v>
      </c>
      <c r="AI131" s="95"/>
      <c r="AJ131" s="95"/>
      <c r="AK131" s="95"/>
      <c r="AL131" s="95"/>
      <c r="AM131" s="95"/>
      <c r="AN131" s="2"/>
    </row>
    <row r="132" spans="2:40" x14ac:dyDescent="0.55000000000000004">
      <c r="B132" s="1" t="s">
        <v>1940</v>
      </c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30"/>
      <c r="R132" s="30"/>
      <c r="S132" s="6">
        <f t="shared" ref="S132:X132" si="81">S133-S131</f>
        <v>44.149897621499122</v>
      </c>
      <c r="T132" s="6">
        <f t="shared" si="81"/>
        <v>9.5401719902042714E-2</v>
      </c>
      <c r="U132" s="6">
        <f t="shared" si="81"/>
        <v>-0.20754009319227862</v>
      </c>
      <c r="V132" s="6">
        <f t="shared" si="81"/>
        <v>138.572652576873</v>
      </c>
      <c r="W132" s="6">
        <f t="shared" si="81"/>
        <v>-0.20406766118344422</v>
      </c>
      <c r="X132" s="6">
        <f t="shared" si="81"/>
        <v>101.51700000000005</v>
      </c>
      <c r="Y132" s="6">
        <f>Y133-Y131</f>
        <v>2</v>
      </c>
      <c r="Z132" s="6">
        <f>Z133-Z131</f>
        <v>0.16429635504914586</v>
      </c>
      <c r="AA132" s="6"/>
      <c r="AB132" s="6"/>
      <c r="AC132" s="6"/>
      <c r="AD132" s="6"/>
      <c r="AE132" s="410">
        <v>0</v>
      </c>
      <c r="AF132" s="410">
        <v>0</v>
      </c>
      <c r="AG132" s="410">
        <v>0</v>
      </c>
      <c r="AH132" s="410">
        <v>0</v>
      </c>
      <c r="AI132" s="48"/>
      <c r="AJ132" s="48"/>
      <c r="AK132" s="48"/>
      <c r="AL132" s="48"/>
      <c r="AM132" s="48"/>
      <c r="AN132" s="2"/>
    </row>
    <row r="133" spans="2:40" x14ac:dyDescent="0.55000000000000004">
      <c r="B133" s="18" t="s">
        <v>1939</v>
      </c>
      <c r="Q133" s="2"/>
      <c r="R133" s="2"/>
      <c r="S133" s="95">
        <v>617.47211221149894</v>
      </c>
      <c r="T133" s="95">
        <v>628.64104310198206</v>
      </c>
      <c r="U133" s="95">
        <v>741.5130592108369</v>
      </c>
      <c r="V133" s="95">
        <v>750.76708123611593</v>
      </c>
      <c r="W133" s="95">
        <v>664.8579368105427</v>
      </c>
      <c r="X133" s="479">
        <v>831</v>
      </c>
      <c r="Y133" s="479">
        <v>770</v>
      </c>
      <c r="Z133" s="479">
        <v>788</v>
      </c>
      <c r="AA133" s="479"/>
      <c r="AB133" s="479"/>
      <c r="AC133" s="479"/>
      <c r="AD133" s="479"/>
      <c r="AE133" s="95">
        <f>AE131+AE132</f>
        <v>1010.5795789473682</v>
      </c>
      <c r="AF133" s="95">
        <f>AF131+AF132</f>
        <v>1047.846031578948</v>
      </c>
      <c r="AG133" s="95">
        <f>AG131+AG132</f>
        <v>1160.4726561403513</v>
      </c>
      <c r="AH133" s="95">
        <f>AH131+AH132</f>
        <v>1236.9434025211569</v>
      </c>
      <c r="AI133" s="95"/>
      <c r="AJ133" s="95"/>
      <c r="AK133" s="95"/>
      <c r="AL133" s="95"/>
      <c r="AM133" s="95"/>
      <c r="AN133" s="2"/>
    </row>
    <row r="134" spans="2:40" x14ac:dyDescent="0.55000000000000004">
      <c r="B134" s="18" t="s">
        <v>1938</v>
      </c>
      <c r="Q134" s="2"/>
      <c r="R134" s="2"/>
      <c r="S134" s="41">
        <f t="shared" ref="S134:Z134" si="82">S133/S13</f>
        <v>0.45352340228534632</v>
      </c>
      <c r="T134" s="41">
        <f t="shared" si="82"/>
        <v>0.40781125079596631</v>
      </c>
      <c r="U134" s="41">
        <f t="shared" si="82"/>
        <v>0.41406804735918967</v>
      </c>
      <c r="V134" s="41">
        <f t="shared" si="82"/>
        <v>0.36476876942771158</v>
      </c>
      <c r="W134" s="41">
        <f t="shared" si="82"/>
        <v>0.30262081784731121</v>
      </c>
      <c r="X134" s="41">
        <f t="shared" si="82"/>
        <v>0.32645101781220465</v>
      </c>
      <c r="Y134" s="41">
        <f t="shared" si="82"/>
        <v>0.28990963855421686</v>
      </c>
      <c r="Z134" s="41">
        <f t="shared" si="82"/>
        <v>0.30901960784313726</v>
      </c>
      <c r="AA134" s="41"/>
      <c r="AB134" s="41"/>
      <c r="AC134" s="41"/>
      <c r="AD134" s="41"/>
      <c r="AE134" s="41">
        <f>AE133/AE13</f>
        <v>0.39789730646010246</v>
      </c>
      <c r="AF134" s="41">
        <f>AF133/AF13</f>
        <v>0.40633086380446248</v>
      </c>
      <c r="AG134" s="41">
        <f>AG133/AG13</f>
        <v>0.42667573209072401</v>
      </c>
      <c r="AH134" s="41">
        <f>AH133/AH13</f>
        <v>0.41269627311697421</v>
      </c>
      <c r="AI134" s="41"/>
      <c r="AJ134" s="41"/>
      <c r="AK134" s="41"/>
      <c r="AL134" s="41"/>
      <c r="AM134" s="41"/>
      <c r="AN134" s="2"/>
    </row>
    <row r="135" spans="2:40" x14ac:dyDescent="0.55000000000000004">
      <c r="Q135" s="2"/>
      <c r="R135" s="2"/>
      <c r="S135" s="398"/>
      <c r="T135" s="398"/>
      <c r="U135" s="398"/>
      <c r="V135" s="398"/>
      <c r="W135" s="398"/>
      <c r="X135" s="398"/>
      <c r="Y135" s="398"/>
      <c r="Z135" s="398"/>
      <c r="AA135" s="398"/>
      <c r="AB135" s="398"/>
      <c r="AC135" s="398"/>
      <c r="AD135" s="398"/>
      <c r="AE135" s="398"/>
      <c r="AF135" s="398"/>
      <c r="AG135" s="398"/>
      <c r="AH135" s="398"/>
      <c r="AI135" s="398"/>
      <c r="AJ135" s="398"/>
      <c r="AK135" s="398"/>
      <c r="AL135" s="398"/>
      <c r="AM135" s="398"/>
      <c r="AN135" s="2"/>
    </row>
    <row r="136" spans="2:40" x14ac:dyDescent="0.55000000000000004">
      <c r="B136" s="18" t="s">
        <v>1954</v>
      </c>
      <c r="Q136" s="2"/>
      <c r="R136" s="2"/>
      <c r="S136" s="95">
        <f t="shared" ref="S136:Z136" si="83">S133-S67</f>
        <v>661.87211221149892</v>
      </c>
      <c r="T136" s="95">
        <f t="shared" si="83"/>
        <v>762.44104310198213</v>
      </c>
      <c r="U136" s="95">
        <f t="shared" si="83"/>
        <v>951.33605921083688</v>
      </c>
      <c r="V136" s="95">
        <f t="shared" si="83"/>
        <v>1153.3670812361161</v>
      </c>
      <c r="W136" s="95">
        <f t="shared" si="83"/>
        <v>1285.8579368105427</v>
      </c>
      <c r="X136" s="95">
        <f t="shared" si="83"/>
        <v>1587</v>
      </c>
      <c r="Y136" s="95">
        <f t="shared" si="83"/>
        <v>1691</v>
      </c>
      <c r="Z136" s="95">
        <f t="shared" si="83"/>
        <v>1642.709298501532</v>
      </c>
      <c r="AA136" s="95"/>
      <c r="AB136" s="95"/>
      <c r="AC136" s="95"/>
      <c r="AD136" s="95"/>
      <c r="AE136" s="95">
        <f>AE133-AE67</f>
        <v>1721.7999999999997</v>
      </c>
      <c r="AF136" s="95">
        <f>AF133-AF67</f>
        <v>1730.8000000000006</v>
      </c>
      <c r="AG136" s="95">
        <f>AG133-AG67</f>
        <v>1856.8000000000002</v>
      </c>
      <c r="AH136" s="95">
        <f>AH133-AH67</f>
        <v>1961.0526209577661</v>
      </c>
      <c r="AI136" s="95"/>
      <c r="AJ136" s="95"/>
      <c r="AK136" s="95"/>
      <c r="AL136" s="95"/>
      <c r="AM136" s="95"/>
      <c r="AN136" s="2"/>
    </row>
    <row r="137" spans="2:40" x14ac:dyDescent="0.55000000000000004">
      <c r="B137" s="18" t="s">
        <v>477</v>
      </c>
      <c r="Q137" s="2"/>
      <c r="R137" s="2"/>
      <c r="S137" s="41">
        <f t="shared" ref="S137:Z137" si="84">S136/S13</f>
        <v>0.48613449299412342</v>
      </c>
      <c r="T137" s="41">
        <f t="shared" si="84"/>
        <v>0.49460982361464945</v>
      </c>
      <c r="U137" s="41">
        <f t="shared" si="84"/>
        <v>0.53123523520819571</v>
      </c>
      <c r="V137" s="41">
        <f t="shared" si="84"/>
        <v>0.56037658207954333</v>
      </c>
      <c r="W137" s="41">
        <f t="shared" si="84"/>
        <v>0.58527898807944589</v>
      </c>
      <c r="X137" s="41">
        <f t="shared" si="84"/>
        <v>0.62343894737421024</v>
      </c>
      <c r="Y137" s="41">
        <f t="shared" si="84"/>
        <v>0.63667168674698793</v>
      </c>
      <c r="Z137" s="41">
        <f t="shared" si="84"/>
        <v>0.64419972490256161</v>
      </c>
      <c r="AA137" s="41"/>
      <c r="AB137" s="41"/>
      <c r="AC137" s="41"/>
      <c r="AD137" s="41"/>
      <c r="AE137" s="41">
        <f>AE136/AE13</f>
        <v>0.67792739585794148</v>
      </c>
      <c r="AF137" s="41">
        <f>AF136/AF13</f>
        <v>0.67116488289126741</v>
      </c>
      <c r="AG137" s="41">
        <f>AG136/AG13</f>
        <v>0.68269725715126117</v>
      </c>
      <c r="AH137" s="41">
        <f>AH136/AH13</f>
        <v>0.65428952238718263</v>
      </c>
      <c r="AI137" s="41"/>
      <c r="AJ137" s="41"/>
      <c r="AK137" s="41"/>
      <c r="AL137" s="41"/>
      <c r="AM137" s="41"/>
      <c r="AN137" s="2"/>
    </row>
    <row r="138" spans="2:40" x14ac:dyDescent="0.55000000000000004">
      <c r="Q138" s="2"/>
      <c r="R138" s="2"/>
      <c r="S138" s="398"/>
      <c r="T138" s="398"/>
      <c r="U138" s="398"/>
      <c r="V138" s="398"/>
      <c r="W138" s="398"/>
      <c r="X138" s="398"/>
      <c r="Y138" s="398"/>
      <c r="Z138" s="398"/>
      <c r="AA138" s="398"/>
      <c r="AB138" s="398"/>
      <c r="AC138" s="398"/>
      <c r="AD138" s="398"/>
      <c r="AE138" s="398"/>
      <c r="AF138" s="398"/>
      <c r="AG138" s="398"/>
      <c r="AH138" s="398"/>
      <c r="AI138" s="398"/>
      <c r="AJ138" s="398"/>
      <c r="AK138" s="398"/>
      <c r="AL138" s="398"/>
      <c r="AM138" s="398"/>
      <c r="AN138" s="2"/>
    </row>
    <row r="139" spans="2:40" x14ac:dyDescent="0.55000000000000004">
      <c r="B139" t="s">
        <v>449</v>
      </c>
      <c r="C139" s="13">
        <f>C141+C142</f>
        <v>-21.317999999999998</v>
      </c>
      <c r="D139" s="13">
        <f t="shared" ref="D139:Q139" si="85">D141+D142</f>
        <v>-23.405682130000049</v>
      </c>
      <c r="E139" s="13">
        <f t="shared" si="85"/>
        <v>-26.23707132493589</v>
      </c>
      <c r="F139" s="13">
        <f t="shared" si="85"/>
        <v>-36.585246545064066</v>
      </c>
      <c r="G139" s="13">
        <f t="shared" si="85"/>
        <v>-30.670999999999999</v>
      </c>
      <c r="H139" s="13">
        <f t="shared" si="85"/>
        <v>-47.440983040960006</v>
      </c>
      <c r="I139" s="13">
        <f t="shared" si="85"/>
        <v>-68.387696725039874</v>
      </c>
      <c r="J139" s="13">
        <f t="shared" si="85"/>
        <v>-107.10832023400013</v>
      </c>
      <c r="K139" s="13">
        <f t="shared" si="85"/>
        <v>-111.197</v>
      </c>
      <c r="L139" s="13">
        <f t="shared" si="85"/>
        <v>-127.67934408999999</v>
      </c>
      <c r="M139" s="13">
        <f t="shared" si="85"/>
        <v>-224.82611997999999</v>
      </c>
      <c r="N139" s="13">
        <f t="shared" si="85"/>
        <v>-229.69202829</v>
      </c>
      <c r="O139" s="13">
        <f t="shared" si="85"/>
        <v>-350.93144047999999</v>
      </c>
      <c r="P139" s="13">
        <f t="shared" si="85"/>
        <v>-342.60955952000006</v>
      </c>
      <c r="Q139" s="13">
        <f t="shared" si="85"/>
        <v>-597.31890806210833</v>
      </c>
      <c r="R139" s="13">
        <f>-2057-O139-P139-Q139</f>
        <v>-766.1400919378915</v>
      </c>
      <c r="S139" s="13">
        <v>398.834</v>
      </c>
      <c r="T139" s="13">
        <v>401.892</v>
      </c>
      <c r="U139" s="13">
        <v>428.16699999999992</v>
      </c>
      <c r="V139" s="13">
        <v>522.93550585000003</v>
      </c>
      <c r="W139" s="13">
        <v>681.37300000000005</v>
      </c>
      <c r="X139" s="13">
        <v>574.84100000000001</v>
      </c>
      <c r="Y139" s="13">
        <v>502.17200000000008</v>
      </c>
      <c r="Z139" s="13">
        <v>378</v>
      </c>
      <c r="AA139" s="13">
        <v>408</v>
      </c>
      <c r="AB139" s="13">
        <v>530</v>
      </c>
      <c r="AC139" s="13">
        <v>529</v>
      </c>
      <c r="AD139" s="13"/>
      <c r="AE139" s="51">
        <v>500</v>
      </c>
      <c r="AF139" s="51">
        <v>500</v>
      </c>
      <c r="AG139" s="51">
        <v>500</v>
      </c>
      <c r="AH139" s="4">
        <f>Master!L135-AE139-AF139-AG139</f>
        <v>504.89649708727507</v>
      </c>
      <c r="AI139" s="4"/>
      <c r="AJ139" s="4"/>
      <c r="AK139" s="4"/>
      <c r="AL139" s="4"/>
      <c r="AM139" s="4"/>
      <c r="AN139" s="2"/>
    </row>
    <row r="140" spans="2:40" x14ac:dyDescent="0.55000000000000004"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2">
        <f>S139/S9</f>
        <v>0.19293440402476783</v>
      </c>
      <c r="T140" s="2">
        <f t="shared" ref="T140:AH140" si="86">T139/T9</f>
        <v>0.16960330857528697</v>
      </c>
      <c r="U140" s="2">
        <f t="shared" si="86"/>
        <v>0.15424994596152455</v>
      </c>
      <c r="V140" s="2">
        <f t="shared" si="86"/>
        <v>0.16158936587664546</v>
      </c>
      <c r="W140" s="2">
        <f t="shared" si="86"/>
        <v>0.19882491975488767</v>
      </c>
      <c r="X140" s="2">
        <f t="shared" si="86"/>
        <v>0.14699718045353119</v>
      </c>
      <c r="Y140" s="2">
        <f t="shared" si="86"/>
        <v>0.12445402726146222</v>
      </c>
      <c r="Z140" s="2">
        <f t="shared" si="86"/>
        <v>9.5406360424028266E-2</v>
      </c>
      <c r="AA140" s="2">
        <f t="shared" si="86"/>
        <v>0.10879999999999999</v>
      </c>
      <c r="AB140" s="2">
        <f t="shared" si="86"/>
        <v>0.13852587558808155</v>
      </c>
      <c r="AC140" s="2">
        <f t="shared" si="86"/>
        <v>0.13139592647789369</v>
      </c>
      <c r="AD140" s="2"/>
      <c r="AE140" s="2">
        <f t="shared" si="86"/>
        <v>0.12384207658394017</v>
      </c>
      <c r="AF140" s="2">
        <f t="shared" si="86"/>
        <v>0.12137100689387319</v>
      </c>
      <c r="AG140" s="2">
        <f t="shared" si="86"/>
        <v>0.11389002778916678</v>
      </c>
      <c r="AH140" s="2">
        <f t="shared" si="86"/>
        <v>0.10332091116491765</v>
      </c>
      <c r="AI140" s="4"/>
      <c r="AJ140" s="4"/>
      <c r="AK140" s="4"/>
      <c r="AL140" s="4"/>
      <c r="AM140" s="4"/>
      <c r="AN140" s="2"/>
    </row>
    <row r="141" spans="2:40" x14ac:dyDescent="0.55000000000000004">
      <c r="B141" s="10" t="s">
        <v>508</v>
      </c>
      <c r="C141" s="13">
        <v>-5.1999999999999998E-2</v>
      </c>
      <c r="D141" s="13">
        <v>-0.34394850000000005</v>
      </c>
      <c r="E141" s="13">
        <v>-1.4002663849360026</v>
      </c>
      <c r="F141" s="13">
        <v>-6.0767851150639975</v>
      </c>
      <c r="G141" s="13">
        <v>-0.97599999999999998</v>
      </c>
      <c r="H141" s="13">
        <v>-10.773</v>
      </c>
      <c r="I141" s="13">
        <v>-17.305336019999885</v>
      </c>
      <c r="J141" s="13">
        <v>-32.505663980000115</v>
      </c>
      <c r="K141" s="13">
        <v>-30.202999999999999</v>
      </c>
      <c r="L141" s="13">
        <v>-60.145344089999995</v>
      </c>
      <c r="M141" s="13">
        <v>-116.61311997999998</v>
      </c>
      <c r="N141" s="13">
        <v>-121.36469159000001</v>
      </c>
      <c r="O141" s="13">
        <v>-231.93844048</v>
      </c>
      <c r="P141" s="13">
        <v>-244.30855952000002</v>
      </c>
      <c r="Q141" s="13">
        <v>-441.0083081121083</v>
      </c>
      <c r="R141" s="13">
        <v>-393.470699247109</v>
      </c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2:40" x14ac:dyDescent="0.55000000000000004">
      <c r="B142" s="10" t="s">
        <v>509</v>
      </c>
      <c r="C142" s="13">
        <v>-21.265999999999998</v>
      </c>
      <c r="D142" s="13">
        <v>-23.061733630000049</v>
      </c>
      <c r="E142" s="13">
        <v>-24.836804939999887</v>
      </c>
      <c r="F142" s="13">
        <v>-30.508461430000068</v>
      </c>
      <c r="G142" s="13">
        <v>-29.695</v>
      </c>
      <c r="H142" s="13">
        <v>-36.667983040960003</v>
      </c>
      <c r="I142" s="13">
        <v>-51.082360705039989</v>
      </c>
      <c r="J142" s="13">
        <v>-74.60265625400001</v>
      </c>
      <c r="K142" s="13">
        <v>-80.994</v>
      </c>
      <c r="L142" s="13">
        <v>-67.533999999999992</v>
      </c>
      <c r="M142" s="13">
        <v>-108.21299999999999</v>
      </c>
      <c r="N142" s="13">
        <v>-108.32733669999999</v>
      </c>
      <c r="O142" s="13">
        <v>-118.99299999999999</v>
      </c>
      <c r="P142" s="13">
        <v>-98.301000000000016</v>
      </c>
      <c r="Q142" s="13">
        <v>-156.31059995000001</v>
      </c>
      <c r="R142" s="13">
        <v>-373.60459995000002</v>
      </c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2:40" x14ac:dyDescent="0.55000000000000004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2:40" x14ac:dyDescent="0.55000000000000004">
      <c r="B144" s="18" t="s">
        <v>2484</v>
      </c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41"/>
      <c r="R144" s="41"/>
      <c r="S144" s="27">
        <f>S131-S139</f>
        <v>174.48821458999981</v>
      </c>
      <c r="T144" s="27">
        <f t="shared" ref="T144:AH144" si="87">T131-T139</f>
        <v>226.65364138208002</v>
      </c>
      <c r="U144" s="27">
        <f t="shared" si="87"/>
        <v>313.55359930402926</v>
      </c>
      <c r="V144" s="27">
        <f t="shared" si="87"/>
        <v>89.258922809242904</v>
      </c>
      <c r="W144" s="27">
        <f t="shared" si="87"/>
        <v>-16.310995528273907</v>
      </c>
      <c r="X144" s="27">
        <f t="shared" si="87"/>
        <v>154.64199999999994</v>
      </c>
      <c r="Y144" s="27">
        <f t="shared" si="87"/>
        <v>265.82799999999992</v>
      </c>
      <c r="Z144" s="27">
        <f t="shared" si="87"/>
        <v>409.83570364495085</v>
      </c>
      <c r="AA144" s="27"/>
      <c r="AB144" s="27"/>
      <c r="AC144" s="27"/>
      <c r="AD144" s="27"/>
      <c r="AE144" s="27">
        <f t="shared" si="87"/>
        <v>510.57957894736819</v>
      </c>
      <c r="AF144" s="27">
        <f t="shared" si="87"/>
        <v>547.84603157894799</v>
      </c>
      <c r="AG144" s="27">
        <f t="shared" si="87"/>
        <v>660.47265614035132</v>
      </c>
      <c r="AH144" s="27">
        <f t="shared" si="87"/>
        <v>732.04690543388188</v>
      </c>
      <c r="AI144" s="2"/>
      <c r="AJ144" s="2"/>
      <c r="AK144" s="2"/>
      <c r="AL144" s="2"/>
      <c r="AM144" s="2"/>
      <c r="AN144" s="2"/>
    </row>
    <row r="145" spans="2:63" x14ac:dyDescent="0.55000000000000004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2:63" x14ac:dyDescent="0.55000000000000004">
      <c r="B146" s="23" t="s">
        <v>405</v>
      </c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2:63" x14ac:dyDescent="0.55000000000000004">
      <c r="B147" t="s">
        <v>866</v>
      </c>
      <c r="C147" s="72">
        <v>14.743815578512001</v>
      </c>
      <c r="D147" s="72">
        <v>13.152774301000001</v>
      </c>
      <c r="E147" s="72">
        <v>41.811</v>
      </c>
      <c r="F147" s="72">
        <v>66.766999999999996</v>
      </c>
      <c r="G147" s="72">
        <v>2545.3894970000001</v>
      </c>
      <c r="H147" s="72">
        <v>2913.4819079999997</v>
      </c>
      <c r="I147" s="72">
        <v>2470.0590000000002</v>
      </c>
      <c r="J147" s="72">
        <v>2763.05</v>
      </c>
      <c r="K147" s="72">
        <v>832.89700000000005</v>
      </c>
      <c r="L147" s="72">
        <v>254.767</v>
      </c>
      <c r="M147" s="72">
        <v>314.08237312335001</v>
      </c>
      <c r="N147" s="72">
        <v>1403.9546958500002</v>
      </c>
      <c r="O147" s="72">
        <v>3043.1531313390319</v>
      </c>
      <c r="P147" s="72">
        <v>2665.3166686498071</v>
      </c>
      <c r="Q147" s="72">
        <v>1595.1477523981162</v>
      </c>
      <c r="R147" s="72">
        <v>1640.0647823756271</v>
      </c>
      <c r="S147" s="72">
        <v>1260.278</v>
      </c>
      <c r="T147" s="72">
        <v>1195.5</v>
      </c>
      <c r="U147" s="72">
        <v>1122.3879999999999</v>
      </c>
      <c r="V147" s="72">
        <v>1794</v>
      </c>
      <c r="W147" s="72">
        <v>2615</v>
      </c>
      <c r="X147" s="72">
        <v>2239</v>
      </c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2"/>
    </row>
    <row r="148" spans="2:63" x14ac:dyDescent="0.55000000000000004">
      <c r="B148" t="s">
        <v>867</v>
      </c>
      <c r="C148" s="72">
        <v>17.856733640000002</v>
      </c>
      <c r="D148" s="72">
        <v>0</v>
      </c>
      <c r="E148" s="72">
        <v>0</v>
      </c>
      <c r="F148" s="72">
        <v>210.10300000000001</v>
      </c>
      <c r="G148" s="72">
        <v>0</v>
      </c>
      <c r="H148" s="72">
        <v>0</v>
      </c>
      <c r="I148" s="72">
        <v>0</v>
      </c>
      <c r="J148" s="72">
        <v>0</v>
      </c>
      <c r="K148" s="72">
        <v>1589.566</v>
      </c>
      <c r="L148" s="72">
        <v>1761.7449999999999</v>
      </c>
      <c r="M148" s="72">
        <v>1779.5663712800003</v>
      </c>
      <c r="N148" s="72">
        <v>1349.66604732</v>
      </c>
      <c r="O148" s="72">
        <v>499.78202888999994</v>
      </c>
      <c r="P148" s="72">
        <v>658.04990407000003</v>
      </c>
      <c r="Q148" s="72">
        <v>863.31146039999987</v>
      </c>
      <c r="R148" s="72">
        <v>979.83692366999992</v>
      </c>
      <c r="S148" s="72">
        <v>965</v>
      </c>
      <c r="T148" s="72">
        <v>1010</v>
      </c>
      <c r="U148" s="72">
        <v>1000.877</v>
      </c>
      <c r="V148" s="72">
        <v>782.64700000000005</v>
      </c>
      <c r="W148" s="72">
        <v>0</v>
      </c>
      <c r="X148" s="72">
        <v>0</v>
      </c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2"/>
    </row>
    <row r="149" spans="2:63" x14ac:dyDescent="0.55000000000000004">
      <c r="B149" t="s">
        <v>868</v>
      </c>
      <c r="C149" s="72">
        <v>1871.0406285099998</v>
      </c>
      <c r="D149" s="72">
        <v>2358.1175138400004</v>
      </c>
      <c r="E149" s="72">
        <v>2980.78</v>
      </c>
      <c r="F149" s="72">
        <v>3522.3490000000002</v>
      </c>
      <c r="G149" s="72">
        <v>4883.3213409999998</v>
      </c>
      <c r="H149" s="72">
        <v>6172.1062089999996</v>
      </c>
      <c r="I149" s="72">
        <v>7489.826</v>
      </c>
      <c r="J149" s="72">
        <v>8104.6790000000001</v>
      </c>
      <c r="K149" s="72">
        <v>8817.92</v>
      </c>
      <c r="L149" s="72">
        <v>9859.1980000000003</v>
      </c>
      <c r="M149" s="72">
        <v>9873.9874243129816</v>
      </c>
      <c r="N149" s="72">
        <v>10477.179325501222</v>
      </c>
      <c r="O149" s="72">
        <v>9268.5711396540537</v>
      </c>
      <c r="P149" s="72">
        <v>10890.967549353336</v>
      </c>
      <c r="Q149" s="72">
        <v>13538.587123868521</v>
      </c>
      <c r="R149" s="72">
        <v>16042.970360507807</v>
      </c>
      <c r="S149" s="72">
        <v>15824</v>
      </c>
      <c r="T149" s="72">
        <v>17644</v>
      </c>
      <c r="U149" s="72">
        <v>20122.691999999999</v>
      </c>
      <c r="V149" s="72">
        <v>23428.522000000001</v>
      </c>
      <c r="W149" s="72">
        <v>25529</v>
      </c>
      <c r="X149" s="72">
        <v>31025</v>
      </c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2"/>
    </row>
    <row r="150" spans="2:63" x14ac:dyDescent="0.55000000000000004">
      <c r="B150" t="s">
        <v>869</v>
      </c>
      <c r="C150" s="72">
        <v>1442.7472652700003</v>
      </c>
      <c r="D150" s="72">
        <v>1800.1375131999996</v>
      </c>
      <c r="E150" s="72">
        <v>2261.4720000000002</v>
      </c>
      <c r="F150" s="72">
        <v>3080.569</v>
      </c>
      <c r="G150" s="72">
        <v>2975.2973320000001</v>
      </c>
      <c r="H150" s="72">
        <v>3084.7863950000001</v>
      </c>
      <c r="I150" s="72">
        <v>3702.7139999999999</v>
      </c>
      <c r="J150" s="72">
        <v>4324.1980000000003</v>
      </c>
      <c r="K150" s="72">
        <v>4368.09</v>
      </c>
      <c r="L150" s="72">
        <v>4581.475203</v>
      </c>
      <c r="M150" s="72">
        <v>4408.3261443699994</v>
      </c>
      <c r="N150" s="72">
        <v>5326.2902085200003</v>
      </c>
      <c r="O150" s="72">
        <v>4691.2603002299993</v>
      </c>
      <c r="P150" s="72">
        <v>5649.3659551500004</v>
      </c>
      <c r="Q150" s="72">
        <v>7660.02527242</v>
      </c>
      <c r="R150" s="72">
        <v>10101.510160279997</v>
      </c>
      <c r="S150" s="72">
        <v>8746</v>
      </c>
      <c r="T150" s="72">
        <v>9817</v>
      </c>
      <c r="U150" s="72">
        <v>11068.114</v>
      </c>
      <c r="V150" s="72">
        <v>13217.15</v>
      </c>
      <c r="W150" s="72">
        <v>7712</v>
      </c>
      <c r="X150" s="72">
        <v>8278</v>
      </c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2"/>
    </row>
    <row r="151" spans="2:63" x14ac:dyDescent="0.55000000000000004">
      <c r="B151" t="s">
        <v>2227</v>
      </c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>
        <v>1110</v>
      </c>
      <c r="X151" s="72">
        <v>1206</v>
      </c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2"/>
    </row>
    <row r="152" spans="2:63" x14ac:dyDescent="0.55000000000000004">
      <c r="B152" t="s">
        <v>2228</v>
      </c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>
        <v>5468</v>
      </c>
      <c r="X152" s="72">
        <v>6081</v>
      </c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2"/>
    </row>
    <row r="153" spans="2:63" x14ac:dyDescent="0.55000000000000004">
      <c r="B153" s="1" t="s">
        <v>2229</v>
      </c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>
        <f>5146+569</f>
        <v>5715</v>
      </c>
      <c r="X153" s="74">
        <f>7689+1735</f>
        <v>9424</v>
      </c>
      <c r="Y153" s="74">
        <f>7689+1735</f>
        <v>9424</v>
      </c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2"/>
    </row>
    <row r="154" spans="2:63" x14ac:dyDescent="0.55000000000000004">
      <c r="B154" t="s">
        <v>929</v>
      </c>
      <c r="C154" s="72">
        <f>C147+C148+C149-C150</f>
        <v>460.89391245851152</v>
      </c>
      <c r="D154" s="72">
        <f t="shared" ref="D154:R154" si="88">D147+D148+D149-D150</f>
        <v>571.13277494100089</v>
      </c>
      <c r="E154" s="72">
        <f t="shared" si="88"/>
        <v>761.11900000000014</v>
      </c>
      <c r="F154" s="72">
        <f t="shared" si="88"/>
        <v>718.65000000000009</v>
      </c>
      <c r="G154" s="72">
        <f t="shared" si="88"/>
        <v>4453.4135059999999</v>
      </c>
      <c r="H154" s="72">
        <f t="shared" si="88"/>
        <v>6000.8017219999992</v>
      </c>
      <c r="I154" s="72">
        <f t="shared" si="88"/>
        <v>6257.1710000000003</v>
      </c>
      <c r="J154" s="72">
        <f t="shared" si="88"/>
        <v>6543.530999999999</v>
      </c>
      <c r="K154" s="72">
        <f t="shared" si="88"/>
        <v>6872.2929999999997</v>
      </c>
      <c r="L154" s="72">
        <f t="shared" si="88"/>
        <v>7294.234797000001</v>
      </c>
      <c r="M154" s="72">
        <f t="shared" si="88"/>
        <v>7559.3100243463323</v>
      </c>
      <c r="N154" s="72">
        <f t="shared" si="88"/>
        <v>7904.5098601512218</v>
      </c>
      <c r="O154" s="72">
        <f t="shared" si="88"/>
        <v>8120.2459996530861</v>
      </c>
      <c r="P154" s="72">
        <f t="shared" si="88"/>
        <v>8564.9681669231431</v>
      </c>
      <c r="Q154" s="72">
        <f t="shared" si="88"/>
        <v>8337.0210642466373</v>
      </c>
      <c r="R154" s="72">
        <f t="shared" si="88"/>
        <v>8561.3619062734379</v>
      </c>
      <c r="S154" s="72">
        <f>S147+S148+S149-S150</f>
        <v>9303.2779999999984</v>
      </c>
      <c r="T154" s="72">
        <f>T147+T148+T149-T150</f>
        <v>10032.5</v>
      </c>
      <c r="U154" s="72">
        <f>U147+U148+U149-U150</f>
        <v>11177.842999999999</v>
      </c>
      <c r="V154" s="72">
        <f>V147+V148+V149-V150</f>
        <v>12788.019000000002</v>
      </c>
      <c r="W154" s="72">
        <f>W147+W148+W149-W150-W153-W151-W152</f>
        <v>8139</v>
      </c>
      <c r="X154" s="72">
        <f>X147+X148+X149-X150-X153-X151-X152</f>
        <v>8275</v>
      </c>
      <c r="Y154" s="72">
        <f>Y147+Y148+Y149-Y150-Y153-Y151-Y152</f>
        <v>-9424</v>
      </c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2"/>
    </row>
    <row r="155" spans="2:63" x14ac:dyDescent="0.55000000000000004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2:63" x14ac:dyDescent="0.55000000000000004">
      <c r="B156" s="23" t="s">
        <v>272</v>
      </c>
      <c r="W156" s="2"/>
      <c r="X156" s="2"/>
      <c r="Y156" s="2"/>
      <c r="Z156" s="2"/>
      <c r="AA156" s="2"/>
      <c r="AB156" s="2"/>
      <c r="AC156" s="2"/>
      <c r="AD156" s="2"/>
      <c r="AE156" s="90">
        <v>99000</v>
      </c>
      <c r="AF156" s="90">
        <v>105000</v>
      </c>
      <c r="AG156" s="90">
        <v>108000</v>
      </c>
      <c r="AH156" s="90">
        <v>115000</v>
      </c>
      <c r="AI156" s="579" t="s">
        <v>2797</v>
      </c>
    </row>
    <row r="157" spans="2:63" x14ac:dyDescent="0.55000000000000004">
      <c r="N157" s="2"/>
      <c r="R157" s="2"/>
      <c r="V157" s="2"/>
      <c r="W157" s="2">
        <f t="shared" ref="W157:AD157" si="89">W159/V159-1</f>
        <v>1.5209125475285079E-2</v>
      </c>
      <c r="X157" s="2">
        <f t="shared" si="89"/>
        <v>0.11360799001248445</v>
      </c>
      <c r="Y157" s="2">
        <f t="shared" si="89"/>
        <v>1.2331838565022402E-2</v>
      </c>
      <c r="Z157" s="2">
        <f t="shared" si="89"/>
        <v>4.4296788482834915E-2</v>
      </c>
      <c r="AA157" s="2">
        <f t="shared" si="89"/>
        <v>-6.5747613997879095E-2</v>
      </c>
      <c r="AB157" s="2">
        <f t="shared" si="89"/>
        <v>5.2213393870601532E-2</v>
      </c>
      <c r="AC157" s="2">
        <f t="shared" si="89"/>
        <v>7.6979503775620239E-2</v>
      </c>
      <c r="AD157" s="2">
        <f t="shared" si="89"/>
        <v>0.14187267118073632</v>
      </c>
      <c r="AE157" s="2">
        <f>AE159/AD159-1</f>
        <v>-8.7719298245614086E-2</v>
      </c>
      <c r="AF157" s="2">
        <f>AF159/AE159-1</f>
        <v>2.8846153846153744E-2</v>
      </c>
      <c r="AG157" s="2">
        <f>AG159/AF159-1</f>
        <v>8.4112149532710179E-2</v>
      </c>
      <c r="AH157" s="2">
        <f>AH159/AG159-1</f>
        <v>0.12781205471644297</v>
      </c>
    </row>
    <row r="158" spans="2:63" x14ac:dyDescent="0.55000000000000004">
      <c r="B158" s="75" t="s">
        <v>180</v>
      </c>
      <c r="C158" s="91" t="s">
        <v>11</v>
      </c>
      <c r="D158" s="91" t="s">
        <v>12</v>
      </c>
      <c r="E158" s="91" t="s">
        <v>13</v>
      </c>
      <c r="F158" s="91" t="s">
        <v>14</v>
      </c>
      <c r="G158" s="91" t="s">
        <v>15</v>
      </c>
      <c r="H158" s="91" t="s">
        <v>16</v>
      </c>
      <c r="I158" s="91" t="s">
        <v>17</v>
      </c>
      <c r="J158" s="91" t="s">
        <v>18</v>
      </c>
      <c r="K158" s="91" t="s">
        <v>19</v>
      </c>
      <c r="L158" s="91" t="s">
        <v>20</v>
      </c>
      <c r="M158" s="91" t="s">
        <v>21</v>
      </c>
      <c r="N158" s="91" t="s">
        <v>22</v>
      </c>
      <c r="O158" s="91" t="s">
        <v>23</v>
      </c>
      <c r="P158" s="91" t="s">
        <v>24</v>
      </c>
      <c r="Q158" s="91" t="s">
        <v>25</v>
      </c>
      <c r="R158" s="91" t="s">
        <v>878</v>
      </c>
      <c r="S158" s="91" t="str">
        <f t="shared" ref="S158:AH158" si="90">S4</f>
        <v>1Q 21</v>
      </c>
      <c r="T158" s="91" t="str">
        <f t="shared" si="90"/>
        <v>2Q 21</v>
      </c>
      <c r="U158" s="91" t="str">
        <f t="shared" si="90"/>
        <v>3Q 21</v>
      </c>
      <c r="V158" s="91" t="str">
        <f t="shared" si="90"/>
        <v>4Q 21</v>
      </c>
      <c r="W158" s="91" t="str">
        <f t="shared" si="90"/>
        <v>1Q 22</v>
      </c>
      <c r="X158" s="91" t="str">
        <f t="shared" si="90"/>
        <v>2Q 22</v>
      </c>
      <c r="Y158" s="91" t="str">
        <f t="shared" si="90"/>
        <v>3Q 22</v>
      </c>
      <c r="Z158" s="91" t="str">
        <f t="shared" si="90"/>
        <v>4Q 22</v>
      </c>
      <c r="AA158" s="91" t="str">
        <f t="shared" si="90"/>
        <v>1Q 23</v>
      </c>
      <c r="AB158" s="91" t="str">
        <f t="shared" si="90"/>
        <v>2Q 23</v>
      </c>
      <c r="AC158" s="91" t="str">
        <f t="shared" si="90"/>
        <v>3Q 23</v>
      </c>
      <c r="AD158" s="91" t="str">
        <f>AD4</f>
        <v>4Q 23</v>
      </c>
      <c r="AE158" s="91" t="str">
        <f t="shared" si="90"/>
        <v>1Q 24E</v>
      </c>
      <c r="AF158" s="91" t="str">
        <f t="shared" si="90"/>
        <v>2Q 24E</v>
      </c>
      <c r="AG158" s="91" t="str">
        <f t="shared" si="90"/>
        <v>3Q 24E</v>
      </c>
      <c r="AH158" s="91" t="str">
        <f t="shared" si="90"/>
        <v>4Q 24E</v>
      </c>
      <c r="AI158" s="64"/>
      <c r="AJ158" s="64"/>
      <c r="AK158" s="64"/>
      <c r="AL158" s="64"/>
      <c r="AM158" s="64"/>
      <c r="AO158" s="91" t="str">
        <f t="shared" ref="AO158:BF158" si="91">M158</f>
        <v>3Q19</v>
      </c>
      <c r="AP158" s="91" t="str">
        <f t="shared" si="91"/>
        <v>4Q19</v>
      </c>
      <c r="AQ158" s="91" t="str">
        <f t="shared" si="91"/>
        <v>1Q20</v>
      </c>
      <c r="AR158" s="91" t="str">
        <f t="shared" si="91"/>
        <v>2Q20</v>
      </c>
      <c r="AS158" s="91" t="str">
        <f t="shared" si="91"/>
        <v>3Q20</v>
      </c>
      <c r="AT158" s="91" t="str">
        <f t="shared" si="91"/>
        <v>4Q 20</v>
      </c>
      <c r="AU158" s="91" t="str">
        <f t="shared" si="91"/>
        <v>1Q 21</v>
      </c>
      <c r="AV158" s="91" t="str">
        <f t="shared" si="91"/>
        <v>2Q 21</v>
      </c>
      <c r="AW158" s="91" t="str">
        <f t="shared" si="91"/>
        <v>3Q 21</v>
      </c>
      <c r="AX158" s="91" t="str">
        <f t="shared" si="91"/>
        <v>4Q 21</v>
      </c>
      <c r="AY158" s="91" t="str">
        <f t="shared" si="91"/>
        <v>1Q 22</v>
      </c>
      <c r="AZ158" s="91" t="str">
        <f t="shared" si="91"/>
        <v>2Q 22</v>
      </c>
      <c r="BA158" s="91" t="str">
        <f t="shared" si="91"/>
        <v>3Q 22</v>
      </c>
      <c r="BB158" s="91" t="str">
        <f t="shared" si="91"/>
        <v>4Q 22</v>
      </c>
      <c r="BC158" s="91" t="str">
        <f t="shared" si="91"/>
        <v>1Q 23</v>
      </c>
      <c r="BD158" s="91" t="str">
        <f t="shared" si="91"/>
        <v>2Q 23</v>
      </c>
      <c r="BE158" s="91" t="str">
        <f t="shared" si="91"/>
        <v>3Q 23</v>
      </c>
      <c r="BF158" s="91" t="str">
        <f t="shared" si="91"/>
        <v>4Q 23</v>
      </c>
      <c r="BG158" s="91" t="str">
        <f>AE158</f>
        <v>1Q 24E</v>
      </c>
      <c r="BH158" s="91" t="str">
        <f>AF158</f>
        <v>2Q 24E</v>
      </c>
      <c r="BI158" s="91" t="str">
        <f>AG158</f>
        <v>3Q 24E</v>
      </c>
      <c r="BJ158" s="91" t="str">
        <f>AH158</f>
        <v>4Q 24E</v>
      </c>
      <c r="BK158" s="64"/>
    </row>
    <row r="159" spans="2:63" x14ac:dyDescent="0.55000000000000004">
      <c r="B159" s="63" t="s">
        <v>10</v>
      </c>
      <c r="C159" s="67">
        <v>6022.8237778938719</v>
      </c>
      <c r="D159" s="67">
        <v>8147.3484955780859</v>
      </c>
      <c r="E159" s="67">
        <v>10669.022534191537</v>
      </c>
      <c r="F159" s="67">
        <v>13640.854836397384</v>
      </c>
      <c r="G159" s="67">
        <v>14378.335357501215</v>
      </c>
      <c r="H159" s="67">
        <v>16851.928819032721</v>
      </c>
      <c r="I159" s="67">
        <v>20262.756182896843</v>
      </c>
      <c r="J159" s="67">
        <v>24648.856076392552</v>
      </c>
      <c r="K159" s="73">
        <f>K163</f>
        <v>24412.92857869</v>
      </c>
      <c r="L159" s="73">
        <f t="shared" ref="L159:R159" si="92">L163</f>
        <v>26752.425459980266</v>
      </c>
      <c r="M159" s="73">
        <f t="shared" si="92"/>
        <v>29383.746622389997</v>
      </c>
      <c r="N159" s="73">
        <f t="shared" si="92"/>
        <v>34271.467945139993</v>
      </c>
      <c r="O159" s="73">
        <f t="shared" si="92"/>
        <v>31657.257480282038</v>
      </c>
      <c r="P159" s="73">
        <f t="shared" si="92"/>
        <v>29794.425458241061</v>
      </c>
      <c r="Q159" s="73">
        <f t="shared" si="92"/>
        <v>44861.264196384465</v>
      </c>
      <c r="R159" s="73">
        <f t="shared" si="92"/>
        <v>55231.363104560012</v>
      </c>
      <c r="S159" s="73">
        <v>50000</v>
      </c>
      <c r="T159" s="73">
        <f>T163</f>
        <v>56335</v>
      </c>
      <c r="U159" s="73">
        <v>66800</v>
      </c>
      <c r="V159" s="73">
        <v>78900</v>
      </c>
      <c r="W159" s="73">
        <v>80100</v>
      </c>
      <c r="X159" s="477">
        <v>89200</v>
      </c>
      <c r="Y159" s="477">
        <v>90300</v>
      </c>
      <c r="Z159" s="73">
        <v>94300</v>
      </c>
      <c r="AA159" s="73">
        <v>88100</v>
      </c>
      <c r="AB159" s="73">
        <v>92700</v>
      </c>
      <c r="AC159" s="73">
        <v>99836</v>
      </c>
      <c r="AD159" s="73">
        <v>114000</v>
      </c>
      <c r="AE159" s="90">
        <v>104000</v>
      </c>
      <c r="AF159" s="90">
        <v>107000</v>
      </c>
      <c r="AG159" s="90">
        <v>116000</v>
      </c>
      <c r="AH159" s="73">
        <f>Acquirer!M83*1000-AE159-AF159-AG159</f>
        <v>130826.19834710739</v>
      </c>
      <c r="AI159" s="275">
        <f>SUM(AE159:AH159)/SUM(AA159:AD159)-1</f>
        <v>0.16012274183578645</v>
      </c>
      <c r="AJ159" s="73"/>
      <c r="AK159" s="73"/>
      <c r="AL159" s="73"/>
      <c r="AM159" s="73"/>
      <c r="AN159" s="73"/>
      <c r="AO159" s="41">
        <f t="shared" ref="AO159:BJ159" si="93">M159/I159-1</f>
        <v>0.45013572473382957</v>
      </c>
      <c r="AP159" s="41">
        <f t="shared" si="93"/>
        <v>0.39038776643121786</v>
      </c>
      <c r="AQ159" s="41">
        <f t="shared" si="93"/>
        <v>0.296741494091602</v>
      </c>
      <c r="AR159" s="41">
        <f t="shared" si="93"/>
        <v>0.11370931592021116</v>
      </c>
      <c r="AS159" s="41">
        <f t="shared" si="93"/>
        <v>0.52673737535569476</v>
      </c>
      <c r="AT159" s="41">
        <f t="shared" si="93"/>
        <v>0.61158439997293201</v>
      </c>
      <c r="AU159" s="41">
        <f t="shared" si="93"/>
        <v>0.57941666397169356</v>
      </c>
      <c r="AV159" s="41">
        <f t="shared" si="93"/>
        <v>0.89078994253328969</v>
      </c>
      <c r="AW159" s="41">
        <f t="shared" si="93"/>
        <v>0.48903516645399536</v>
      </c>
      <c r="AX159" s="41">
        <f t="shared" si="93"/>
        <v>0.42853617157034929</v>
      </c>
      <c r="AY159" s="41">
        <f t="shared" si="93"/>
        <v>0.60200000000000009</v>
      </c>
      <c r="AZ159" s="41">
        <f t="shared" si="93"/>
        <v>0.58338510694949863</v>
      </c>
      <c r="BA159" s="41">
        <f t="shared" si="93"/>
        <v>0.35179640718562877</v>
      </c>
      <c r="BB159" s="41">
        <f t="shared" si="93"/>
        <v>0.1951837769328264</v>
      </c>
      <c r="BC159" s="41">
        <f t="shared" si="93"/>
        <v>9.9875156054931358E-2</v>
      </c>
      <c r="BD159" s="41">
        <f t="shared" si="93"/>
        <v>3.9237668161435035E-2</v>
      </c>
      <c r="BE159" s="41">
        <f t="shared" si="93"/>
        <v>0.10560354374307868</v>
      </c>
      <c r="BF159" s="41">
        <f t="shared" si="93"/>
        <v>0.20890774125132561</v>
      </c>
      <c r="BG159" s="41">
        <f t="shared" si="93"/>
        <v>0.18047673098751416</v>
      </c>
      <c r="BH159" s="41">
        <f t="shared" si="93"/>
        <v>0.15426105717367844</v>
      </c>
      <c r="BI159" s="41">
        <f t="shared" si="93"/>
        <v>0.16190552506110012</v>
      </c>
      <c r="BJ159" s="41">
        <f t="shared" si="93"/>
        <v>0.14759823111497705</v>
      </c>
      <c r="BK159" s="41"/>
    </row>
    <row r="160" spans="2:63" x14ac:dyDescent="0.55000000000000004">
      <c r="B160" s="71" t="s">
        <v>259</v>
      </c>
      <c r="C160" s="72">
        <v>1684.5350000000001</v>
      </c>
      <c r="D160" s="72">
        <v>2076.2869999999998</v>
      </c>
      <c r="E160" s="72">
        <v>2455.3090000000002</v>
      </c>
      <c r="F160" s="72">
        <v>2791.1579999999999</v>
      </c>
      <c r="G160" s="72">
        <v>3086.9</v>
      </c>
      <c r="H160" s="72">
        <v>3503.5169999999998</v>
      </c>
      <c r="I160" s="72">
        <v>3827</v>
      </c>
      <c r="J160" s="72">
        <v>4135.473</v>
      </c>
      <c r="K160" s="72">
        <v>4418.6350000000002</v>
      </c>
      <c r="L160" s="72">
        <v>4714.223</v>
      </c>
      <c r="M160" s="72">
        <v>5018.9140000000007</v>
      </c>
      <c r="N160" s="72">
        <v>5268.5280000000002</v>
      </c>
      <c r="O160" s="72">
        <v>5496.005000000001</v>
      </c>
      <c r="P160" s="72">
        <v>5794.9969999999994</v>
      </c>
      <c r="Q160" s="72">
        <v>6268.9470000000001</v>
      </c>
      <c r="R160" s="72">
        <f>Q160+R213</f>
        <v>7033.9470000000001</v>
      </c>
      <c r="S160" s="72">
        <f>R160+S213</f>
        <v>7334.9470000000001</v>
      </c>
      <c r="T160" s="72">
        <v>7561</v>
      </c>
      <c r="U160" s="72">
        <v>7701</v>
      </c>
      <c r="V160" s="72">
        <v>7693</v>
      </c>
      <c r="W160" s="72">
        <f>S160*1.05</f>
        <v>7701.6943500000007</v>
      </c>
      <c r="X160" s="404">
        <v>7500</v>
      </c>
      <c r="Y160" s="404">
        <v>7300</v>
      </c>
      <c r="Z160" s="72">
        <v>7100</v>
      </c>
      <c r="AA160" s="72">
        <v>6900</v>
      </c>
      <c r="AB160" s="72">
        <v>6800</v>
      </c>
      <c r="AC160" s="72">
        <v>6700</v>
      </c>
      <c r="AD160" s="72">
        <v>6500</v>
      </c>
      <c r="AE160" s="72">
        <f>AD160+AE213</f>
        <v>6525</v>
      </c>
      <c r="AF160" s="72">
        <f>AE160+AF213</f>
        <v>6550</v>
      </c>
      <c r="AG160" s="72">
        <f>AF160+AG213</f>
        <v>6575</v>
      </c>
      <c r="AH160" s="72">
        <f>Acquirer!M90</f>
        <v>6600</v>
      </c>
      <c r="AI160" s="72"/>
      <c r="AJ160" s="72"/>
      <c r="AK160" s="72"/>
      <c r="AL160" s="72"/>
      <c r="AM160" s="72"/>
      <c r="AN160" s="72"/>
      <c r="AQ160" s="2">
        <f t="shared" ref="AQ160:BF160" si="94">O160/K160-1</f>
        <v>0.24382416741821866</v>
      </c>
      <c r="AR160" s="2">
        <f t="shared" si="94"/>
        <v>0.22925814073708417</v>
      </c>
      <c r="AS160" s="2">
        <f t="shared" si="94"/>
        <v>0.24906443903999942</v>
      </c>
      <c r="AT160" s="2">
        <f t="shared" si="94"/>
        <v>0.33508771330436127</v>
      </c>
      <c r="AU160" s="2">
        <f t="shared" si="94"/>
        <v>0.33459612937033323</v>
      </c>
      <c r="AV160" s="2">
        <f t="shared" si="94"/>
        <v>0.30474614568394087</v>
      </c>
      <c r="AW160" s="2">
        <f t="shared" si="94"/>
        <v>0.22843597178282082</v>
      </c>
      <c r="AX160" s="2">
        <f t="shared" si="94"/>
        <v>9.3696042918719691E-2</v>
      </c>
      <c r="AY160" s="2">
        <f t="shared" si="94"/>
        <v>5.0000000000000044E-2</v>
      </c>
      <c r="AZ160" s="2">
        <f t="shared" si="94"/>
        <v>-8.0677159105938534E-3</v>
      </c>
      <c r="BA160" s="2">
        <f t="shared" si="94"/>
        <v>-5.2071159589663685E-2</v>
      </c>
      <c r="BB160" s="2">
        <f t="shared" si="94"/>
        <v>-7.7083062524372803E-2</v>
      </c>
      <c r="BC160" s="2">
        <f t="shared" si="94"/>
        <v>-0.10409324410543519</v>
      </c>
      <c r="BD160" s="2">
        <f t="shared" si="94"/>
        <v>-9.3333333333333379E-2</v>
      </c>
      <c r="BE160" s="2">
        <f t="shared" si="94"/>
        <v>-8.2191780821917804E-2</v>
      </c>
      <c r="BF160" s="2">
        <f t="shared" si="94"/>
        <v>-8.4507042253521125E-2</v>
      </c>
    </row>
    <row r="161" spans="2:62" x14ac:dyDescent="0.55000000000000004">
      <c r="B161" s="71" t="s">
        <v>26</v>
      </c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>
        <f>T160-S160</f>
        <v>226.05299999999988</v>
      </c>
      <c r="U161" s="72">
        <f t="shared" ref="U161:AH161" si="95">U160-T160</f>
        <v>140</v>
      </c>
      <c r="V161" s="72">
        <f t="shared" si="95"/>
        <v>-8</v>
      </c>
      <c r="W161" s="72">
        <f t="shared" si="95"/>
        <v>8.6943500000006679</v>
      </c>
      <c r="X161" s="72">
        <f t="shared" si="95"/>
        <v>-201.69435000000067</v>
      </c>
      <c r="Y161" s="72">
        <f t="shared" si="95"/>
        <v>-200</v>
      </c>
      <c r="Z161" s="72">
        <f t="shared" ref="Z161:AE161" si="96">Z160-Y160</f>
        <v>-200</v>
      </c>
      <c r="AA161" s="72">
        <f t="shared" si="96"/>
        <v>-200</v>
      </c>
      <c r="AB161" s="72">
        <f t="shared" si="96"/>
        <v>-100</v>
      </c>
      <c r="AC161" s="72">
        <f t="shared" si="96"/>
        <v>-100</v>
      </c>
      <c r="AD161" s="72">
        <f t="shared" si="96"/>
        <v>-200</v>
      </c>
      <c r="AE161" s="72">
        <f t="shared" si="96"/>
        <v>25</v>
      </c>
      <c r="AF161" s="72">
        <f t="shared" si="95"/>
        <v>25</v>
      </c>
      <c r="AG161" s="72">
        <f t="shared" si="95"/>
        <v>25</v>
      </c>
      <c r="AH161" s="72">
        <f t="shared" si="95"/>
        <v>25</v>
      </c>
      <c r="AI161" s="72"/>
      <c r="AJ161" s="72"/>
      <c r="AK161" s="72"/>
      <c r="AL161" s="72"/>
      <c r="AM161" s="72"/>
      <c r="AN161" s="7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</row>
    <row r="162" spans="2:62" x14ac:dyDescent="0.55000000000000004">
      <c r="B162" s="63" t="s">
        <v>1166</v>
      </c>
      <c r="C162" s="72"/>
      <c r="D162" s="72"/>
      <c r="E162" s="72"/>
      <c r="F162" s="72"/>
      <c r="G162" s="72"/>
      <c r="H162" s="72"/>
      <c r="I162" s="72"/>
      <c r="J162" s="72"/>
      <c r="K162" s="73">
        <f>K163+K167</f>
        <v>27418.68279332</v>
      </c>
      <c r="L162" s="73">
        <f t="shared" ref="L162:T162" si="97">L163+L167</f>
        <v>30705.739857330267</v>
      </c>
      <c r="M162" s="73">
        <f t="shared" si="97"/>
        <v>34964.624119679997</v>
      </c>
      <c r="N162" s="73">
        <f t="shared" si="97"/>
        <v>42201.21495116999</v>
      </c>
      <c r="O162" s="73">
        <f t="shared" si="97"/>
        <v>40399.219150282035</v>
      </c>
      <c r="P162" s="73">
        <f t="shared" si="97"/>
        <v>40403.394644161061</v>
      </c>
      <c r="Q162" s="73">
        <f t="shared" si="97"/>
        <v>67839.398873714454</v>
      </c>
      <c r="R162" s="73">
        <f t="shared" si="97"/>
        <v>83493.794059260021</v>
      </c>
      <c r="S162" s="73">
        <f t="shared" si="97"/>
        <v>81430</v>
      </c>
      <c r="T162" s="73">
        <f t="shared" si="97"/>
        <v>101400</v>
      </c>
      <c r="U162" s="73">
        <f>U163+U167</f>
        <v>125016.5</v>
      </c>
      <c r="V162" s="73">
        <v>147000</v>
      </c>
      <c r="W162" s="73">
        <v>152200</v>
      </c>
      <c r="X162" s="477">
        <f>X159+85500</f>
        <v>174700</v>
      </c>
      <c r="Y162" s="477">
        <f>Y159+105100</f>
        <v>195400</v>
      </c>
      <c r="Z162" s="73">
        <v>209100</v>
      </c>
      <c r="AA162" s="73">
        <v>204100</v>
      </c>
      <c r="AB162" s="73">
        <f t="shared" ref="AB162:AH162" si="98">AB163+AB167</f>
        <v>220400</v>
      </c>
      <c r="AC162" s="73">
        <f t="shared" si="98"/>
        <v>243691</v>
      </c>
      <c r="AD162" s="73">
        <v>280600</v>
      </c>
      <c r="AE162" s="73">
        <f t="shared" si="98"/>
        <v>254000</v>
      </c>
      <c r="AF162" s="73">
        <f t="shared" si="98"/>
        <v>267000</v>
      </c>
      <c r="AG162" s="73">
        <f t="shared" si="98"/>
        <v>286000</v>
      </c>
      <c r="AH162" s="73">
        <f t="shared" si="98"/>
        <v>254817.46335635695</v>
      </c>
      <c r="AI162" s="73"/>
      <c r="AJ162" s="73"/>
      <c r="AK162" s="73"/>
      <c r="AL162" s="73"/>
      <c r="AM162" s="73"/>
      <c r="AN162" s="7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</row>
    <row r="163" spans="2:62" x14ac:dyDescent="0.55000000000000004">
      <c r="B163" s="63" t="s">
        <v>942</v>
      </c>
      <c r="C163" s="72"/>
      <c r="D163" s="72"/>
      <c r="E163" s="72"/>
      <c r="F163" s="72"/>
      <c r="G163" s="72"/>
      <c r="H163" s="72"/>
      <c r="I163" s="72"/>
      <c r="J163" s="72"/>
      <c r="K163" s="73">
        <v>24412.92857869</v>
      </c>
      <c r="L163" s="73">
        <v>26752.425459980266</v>
      </c>
      <c r="M163" s="73">
        <v>29383.746622389997</v>
      </c>
      <c r="N163" s="73">
        <v>34271.467945139993</v>
      </c>
      <c r="O163" s="73">
        <v>31657.257480282038</v>
      </c>
      <c r="P163" s="73">
        <v>29794.425458241061</v>
      </c>
      <c r="Q163" s="73">
        <v>44861.264196384465</v>
      </c>
      <c r="R163" s="73">
        <v>55231.363104560012</v>
      </c>
      <c r="S163" s="73">
        <v>50030</v>
      </c>
      <c r="T163" s="73">
        <v>56335</v>
      </c>
      <c r="U163" s="73">
        <v>66816.5</v>
      </c>
      <c r="V163" s="73">
        <f t="shared" ref="V163:AH163" si="99">V159</f>
        <v>78900</v>
      </c>
      <c r="W163" s="73">
        <f t="shared" si="99"/>
        <v>80100</v>
      </c>
      <c r="X163" s="73">
        <f t="shared" si="99"/>
        <v>89200</v>
      </c>
      <c r="Y163" s="73">
        <f t="shared" si="99"/>
        <v>90300</v>
      </c>
      <c r="Z163" s="73">
        <f t="shared" si="99"/>
        <v>94300</v>
      </c>
      <c r="AA163" s="73">
        <f t="shared" si="99"/>
        <v>88100</v>
      </c>
      <c r="AB163" s="73">
        <f t="shared" si="99"/>
        <v>92700</v>
      </c>
      <c r="AC163" s="73">
        <f>AC159</f>
        <v>99836</v>
      </c>
      <c r="AD163" s="73">
        <f>AD159</f>
        <v>114000</v>
      </c>
      <c r="AE163" s="73">
        <f t="shared" si="99"/>
        <v>104000</v>
      </c>
      <c r="AF163" s="73">
        <f t="shared" si="99"/>
        <v>107000</v>
      </c>
      <c r="AG163" s="73">
        <f t="shared" si="99"/>
        <v>116000</v>
      </c>
      <c r="AH163" s="73">
        <f t="shared" si="99"/>
        <v>130826.19834710739</v>
      </c>
      <c r="AI163" s="73"/>
      <c r="AJ163" s="73"/>
      <c r="AK163" s="73"/>
      <c r="AL163" s="73"/>
      <c r="AM163" s="73"/>
      <c r="AN163" s="72"/>
      <c r="AU163" s="41"/>
      <c r="AV163" s="41"/>
      <c r="AW163" s="41"/>
      <c r="AX163" s="41"/>
      <c r="AY163" s="41">
        <f t="shared" ref="AY163:BJ163" si="100">W163/S163-1</f>
        <v>0.60103937637417548</v>
      </c>
      <c r="AZ163" s="41">
        <f t="shared" si="100"/>
        <v>0.58338510694949863</v>
      </c>
      <c r="BA163" s="41">
        <f t="shared" si="100"/>
        <v>0.35146258783384354</v>
      </c>
      <c r="BB163" s="41">
        <f t="shared" si="100"/>
        <v>0.1951837769328264</v>
      </c>
      <c r="BC163" s="41">
        <f t="shared" si="100"/>
        <v>9.9875156054931358E-2</v>
      </c>
      <c r="BD163" s="41">
        <f t="shared" si="100"/>
        <v>3.9237668161435035E-2</v>
      </c>
      <c r="BE163" s="41">
        <f t="shared" si="100"/>
        <v>0.10560354374307868</v>
      </c>
      <c r="BF163" s="41">
        <f t="shared" si="100"/>
        <v>0.20890774125132561</v>
      </c>
      <c r="BG163" s="41">
        <f t="shared" si="100"/>
        <v>0.18047673098751416</v>
      </c>
      <c r="BH163" s="41">
        <f t="shared" si="100"/>
        <v>0.15426105717367844</v>
      </c>
      <c r="BI163" s="41">
        <f t="shared" si="100"/>
        <v>0.16190552506110012</v>
      </c>
      <c r="BJ163" s="41">
        <f t="shared" si="100"/>
        <v>0.14759823111497705</v>
      </c>
    </row>
    <row r="164" spans="2:62" x14ac:dyDescent="0.55000000000000004">
      <c r="B164" s="71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</row>
    <row r="165" spans="2:62" x14ac:dyDescent="0.55000000000000004">
      <c r="B165" s="71" t="s">
        <v>1104</v>
      </c>
      <c r="C165" s="72"/>
      <c r="D165" s="72"/>
      <c r="E165" s="72"/>
      <c r="F165" s="72"/>
      <c r="G165" s="72"/>
      <c r="H165" s="72"/>
      <c r="I165" s="72"/>
      <c r="J165" s="72"/>
      <c r="K165" s="72">
        <f t="shared" ref="K165:AD165" si="101">K163/AVERAGE(J160,K160)/3*1000</f>
        <v>1902.6280377950179</v>
      </c>
      <c r="L165" s="72">
        <f t="shared" si="101"/>
        <v>1952.8334182633203</v>
      </c>
      <c r="M165" s="72">
        <f t="shared" si="101"/>
        <v>2012.6259822425868</v>
      </c>
      <c r="N165" s="72">
        <f t="shared" si="101"/>
        <v>2220.925794455025</v>
      </c>
      <c r="O165" s="72">
        <f t="shared" si="101"/>
        <v>1960.5902383492182</v>
      </c>
      <c r="P165" s="72">
        <f t="shared" si="101"/>
        <v>1759.184021532725</v>
      </c>
      <c r="Q165" s="72">
        <f t="shared" si="101"/>
        <v>2479.0822523924444</v>
      </c>
      <c r="R165" s="72">
        <f t="shared" si="101"/>
        <v>2767.88710309</v>
      </c>
      <c r="S165" s="72">
        <f t="shared" si="101"/>
        <v>2321.2178566654702</v>
      </c>
      <c r="T165" s="72">
        <f t="shared" si="101"/>
        <v>2521.2674740764496</v>
      </c>
      <c r="U165" s="72">
        <f t="shared" si="101"/>
        <v>2918.6432533962347</v>
      </c>
      <c r="V165" s="72">
        <f t="shared" si="101"/>
        <v>3416.9156814343255</v>
      </c>
      <c r="W165" s="72">
        <f t="shared" si="101"/>
        <v>3468.7275229988568</v>
      </c>
      <c r="X165" s="72">
        <f t="shared" si="101"/>
        <v>3911.8446468874477</v>
      </c>
      <c r="Y165" s="72">
        <f t="shared" si="101"/>
        <v>4067.5675675675675</v>
      </c>
      <c r="Z165" s="72">
        <f t="shared" si="101"/>
        <v>4365.7407407407409</v>
      </c>
      <c r="AA165" s="72">
        <f t="shared" si="101"/>
        <v>4195.2380952380954</v>
      </c>
      <c r="AB165" s="72">
        <f t="shared" si="101"/>
        <v>4510.9489051094897</v>
      </c>
      <c r="AC165" s="72">
        <f t="shared" si="101"/>
        <v>4930.1728395061727</v>
      </c>
      <c r="AD165" s="72">
        <f t="shared" si="101"/>
        <v>5757.575757575758</v>
      </c>
      <c r="AE165" s="72">
        <f>AE163/AVERAGE(AD160,AE160)/3*1000</f>
        <v>5323.0966090850925</v>
      </c>
      <c r="AF165" s="72">
        <f>AF163/AVERAGE(AE160,AF160)/3*1000</f>
        <v>5455.7042702358194</v>
      </c>
      <c r="AG165" s="72">
        <f>AG163/AVERAGE(AF160,AG160)/3*1000</f>
        <v>5892.063492063492</v>
      </c>
      <c r="AH165" s="72">
        <f>AH163/AVERAGE(AG160,AH160)/3*1000</f>
        <v>6619.9214849896216</v>
      </c>
      <c r="AI165" s="72"/>
      <c r="AJ165" s="72"/>
      <c r="AK165" s="72"/>
      <c r="AL165" s="72"/>
      <c r="AM165" s="72"/>
      <c r="AN165" s="72"/>
      <c r="AO165" s="2"/>
      <c r="AP165" s="2"/>
      <c r="AQ165" s="2">
        <f t="shared" ref="AQ165:BF165" si="102">O165/K165-1</f>
        <v>3.046428382363886E-2</v>
      </c>
      <c r="AR165" s="2">
        <f t="shared" si="102"/>
        <v>-9.9163295199449331E-2</v>
      </c>
      <c r="AS165" s="2">
        <f t="shared" si="102"/>
        <v>0.23176500465829442</v>
      </c>
      <c r="AT165" s="2">
        <f t="shared" si="102"/>
        <v>0.24627626461026786</v>
      </c>
      <c r="AU165" s="2">
        <f t="shared" si="102"/>
        <v>0.18393829126676353</v>
      </c>
      <c r="AV165" s="2">
        <f t="shared" si="102"/>
        <v>0.43320280494575192</v>
      </c>
      <c r="AW165" s="2">
        <f t="shared" si="102"/>
        <v>0.17730795361049068</v>
      </c>
      <c r="AX165" s="2">
        <f t="shared" si="102"/>
        <v>0.23448520628596681</v>
      </c>
      <c r="AY165" s="2">
        <f t="shared" si="102"/>
        <v>0.49435672874834502</v>
      </c>
      <c r="AZ165" s="2">
        <f t="shared" si="102"/>
        <v>0.5515389331393219</v>
      </c>
      <c r="BA165" s="2">
        <f t="shared" si="102"/>
        <v>0.39365013618379163</v>
      </c>
      <c r="BB165" s="2">
        <f t="shared" si="102"/>
        <v>0.27768465709055046</v>
      </c>
      <c r="BC165" s="2">
        <f t="shared" si="102"/>
        <v>0.20944584647315878</v>
      </c>
      <c r="BD165" s="2">
        <f t="shared" si="102"/>
        <v>0.15315134221874938</v>
      </c>
      <c r="BE165" s="2">
        <f t="shared" si="102"/>
        <v>0.21206907017759735</v>
      </c>
      <c r="BF165" s="2">
        <f t="shared" si="102"/>
        <v>0.31880844500144612</v>
      </c>
    </row>
    <row r="166" spans="2:62" x14ac:dyDescent="0.55000000000000004">
      <c r="B166" s="71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</row>
    <row r="167" spans="2:62" x14ac:dyDescent="0.55000000000000004">
      <c r="B167" s="63" t="s">
        <v>260</v>
      </c>
      <c r="C167" s="67" t="s">
        <v>9</v>
      </c>
      <c r="D167" s="67" t="s">
        <v>9</v>
      </c>
      <c r="E167" s="67" t="s">
        <v>9</v>
      </c>
      <c r="F167" s="67" t="s">
        <v>9</v>
      </c>
      <c r="G167" s="67" t="s">
        <v>9</v>
      </c>
      <c r="H167" s="67" t="s">
        <v>9</v>
      </c>
      <c r="I167" s="67" t="s">
        <v>9</v>
      </c>
      <c r="J167" s="67" t="s">
        <v>9</v>
      </c>
      <c r="K167" s="67">
        <v>3005.7542146299998</v>
      </c>
      <c r="L167" s="67">
        <v>3953.31439735</v>
      </c>
      <c r="M167" s="67">
        <v>5580.8774972900001</v>
      </c>
      <c r="N167" s="67">
        <v>7929.7470060299993</v>
      </c>
      <c r="O167" s="73">
        <v>8741.9616700000006</v>
      </c>
      <c r="P167" s="73">
        <v>10608.969185920003</v>
      </c>
      <c r="Q167" s="73">
        <v>22978.134677329992</v>
      </c>
      <c r="R167" s="73">
        <v>28262.430954700008</v>
      </c>
      <c r="S167" s="73">
        <v>31400</v>
      </c>
      <c r="T167" s="73">
        <f>101400-T163</f>
        <v>45065</v>
      </c>
      <c r="U167" s="73">
        <f>125000-U159</f>
        <v>58200</v>
      </c>
      <c r="V167" s="73">
        <f t="shared" ref="V167:AA167" si="103">V162-V159</f>
        <v>68100</v>
      </c>
      <c r="W167" s="73">
        <f t="shared" si="103"/>
        <v>72100</v>
      </c>
      <c r="X167" s="73">
        <f t="shared" si="103"/>
        <v>85500</v>
      </c>
      <c r="Y167" s="73">
        <f t="shared" si="103"/>
        <v>105100</v>
      </c>
      <c r="Z167" s="73">
        <f t="shared" si="103"/>
        <v>114800</v>
      </c>
      <c r="AA167" s="73">
        <f t="shared" si="103"/>
        <v>116000</v>
      </c>
      <c r="AB167" s="73">
        <v>127700</v>
      </c>
      <c r="AC167" s="73">
        <v>143855</v>
      </c>
      <c r="AD167" s="73">
        <f>AD162-AD163</f>
        <v>166600</v>
      </c>
      <c r="AE167" s="90">
        <v>150000</v>
      </c>
      <c r="AF167" s="90">
        <v>160000</v>
      </c>
      <c r="AG167" s="90">
        <v>170000</v>
      </c>
      <c r="AH167" s="73">
        <f>Pagbank!I62-AE167-AF167-AG167</f>
        <v>123991.26500924956</v>
      </c>
      <c r="AI167" s="73"/>
      <c r="AJ167" s="73"/>
      <c r="AK167" s="73"/>
      <c r="AL167" s="73"/>
      <c r="AM167" s="73"/>
      <c r="AN167" s="73"/>
      <c r="AU167" s="41">
        <f>S167/O167-1</f>
        <v>2.5918711595082979</v>
      </c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</row>
    <row r="168" spans="2:62" x14ac:dyDescent="0.55000000000000004">
      <c r="B168" s="68" t="s">
        <v>2100</v>
      </c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73"/>
      <c r="P168" s="73"/>
      <c r="Q168" s="73"/>
      <c r="R168" s="73"/>
      <c r="S168" s="72">
        <v>6900</v>
      </c>
      <c r="T168" s="73"/>
      <c r="U168" s="73"/>
      <c r="V168" s="73"/>
      <c r="W168" s="72">
        <v>24200</v>
      </c>
      <c r="X168" s="72"/>
      <c r="Y168" s="72"/>
      <c r="Z168" s="72"/>
      <c r="AA168" s="72"/>
      <c r="AB168" s="72"/>
      <c r="AC168" s="72"/>
      <c r="AD168" s="72"/>
      <c r="AE168" s="90"/>
      <c r="AF168" s="90"/>
      <c r="AG168" s="90"/>
      <c r="AH168" s="73"/>
      <c r="AI168" s="73"/>
      <c r="AJ168" s="73"/>
      <c r="AK168" s="73"/>
      <c r="AL168" s="73"/>
      <c r="AM168" s="73"/>
      <c r="AN168" s="73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</row>
    <row r="169" spans="2:62" x14ac:dyDescent="0.55000000000000004">
      <c r="B169" s="68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73"/>
      <c r="P169" s="73"/>
      <c r="Q169" s="73"/>
      <c r="R169" s="73"/>
      <c r="S169" s="72"/>
      <c r="T169" s="73"/>
      <c r="U169" s="73"/>
      <c r="V169" s="73"/>
      <c r="W169" s="72"/>
      <c r="X169" s="72"/>
      <c r="Y169" s="72"/>
      <c r="Z169" s="72"/>
      <c r="AA169" s="72"/>
      <c r="AB169" s="72"/>
      <c r="AC169" s="72"/>
      <c r="AD169" s="72"/>
      <c r="AE169" s="90"/>
      <c r="AF169" s="90"/>
      <c r="AG169" s="90"/>
      <c r="AH169" s="73"/>
      <c r="AI169" s="73"/>
      <c r="AJ169" s="73"/>
      <c r="AK169" s="73"/>
      <c r="AL169" s="73"/>
      <c r="AM169" s="73"/>
      <c r="AN169" s="73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</row>
    <row r="170" spans="2:62" x14ac:dyDescent="0.55000000000000004">
      <c r="B170" s="68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73"/>
      <c r="P170" s="73"/>
      <c r="Q170" s="73"/>
      <c r="R170" s="73"/>
      <c r="S170" s="72"/>
      <c r="T170" s="73"/>
      <c r="U170" s="73"/>
      <c r="V170" s="73"/>
      <c r="W170" s="72"/>
      <c r="X170" s="72"/>
      <c r="Y170" s="72"/>
      <c r="Z170" s="72"/>
      <c r="AA170" s="72"/>
      <c r="AB170" s="72"/>
      <c r="AC170" s="72"/>
      <c r="AD170" s="72"/>
      <c r="AE170" s="90"/>
      <c r="AF170" s="90"/>
      <c r="AG170" s="90"/>
      <c r="AH170" s="73"/>
      <c r="AI170" s="73"/>
      <c r="AJ170" s="73"/>
      <c r="AK170" s="73"/>
      <c r="AL170" s="73"/>
      <c r="AM170" s="73"/>
      <c r="AN170" s="73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</row>
    <row r="171" spans="2:62" x14ac:dyDescent="0.55000000000000004">
      <c r="B171" s="68" t="s">
        <v>2101</v>
      </c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73"/>
      <c r="P171" s="73"/>
      <c r="Q171" s="73"/>
      <c r="R171" s="73"/>
      <c r="S171" s="72">
        <f>S167-S168</f>
        <v>24500</v>
      </c>
      <c r="T171" s="73"/>
      <c r="U171" s="73"/>
      <c r="V171" s="73"/>
      <c r="W171" s="72">
        <f>W167-W168</f>
        <v>47900</v>
      </c>
      <c r="X171" s="72">
        <f>X167-X168</f>
        <v>85500</v>
      </c>
      <c r="Y171" s="72">
        <f>Y167-Y168</f>
        <v>105100</v>
      </c>
      <c r="Z171" s="72">
        <f>Z167-Z168</f>
        <v>114800</v>
      </c>
      <c r="AA171" s="72"/>
      <c r="AB171" s="72"/>
      <c r="AC171" s="72"/>
      <c r="AD171" s="72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</row>
    <row r="172" spans="2:62" x14ac:dyDescent="0.55000000000000004">
      <c r="B172" s="63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73"/>
      <c r="P172" s="73"/>
      <c r="Q172" s="73"/>
      <c r="R172" s="73"/>
      <c r="S172" s="72"/>
      <c r="T172" s="73"/>
      <c r="U172" s="73"/>
      <c r="V172" s="73"/>
      <c r="W172" s="72"/>
      <c r="X172" s="72"/>
      <c r="Y172" s="72"/>
      <c r="Z172" s="72"/>
      <c r="AA172" s="72"/>
      <c r="AB172" s="72"/>
      <c r="AC172" s="72"/>
      <c r="AD172" s="72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</row>
    <row r="173" spans="2:62" x14ac:dyDescent="0.55000000000000004">
      <c r="B173" s="407" t="s">
        <v>1923</v>
      </c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73"/>
      <c r="P173" s="73"/>
      <c r="Q173" s="73"/>
      <c r="R173" s="73"/>
      <c r="S173" s="73"/>
      <c r="T173" s="73"/>
      <c r="U173" s="73"/>
      <c r="V173" s="73"/>
      <c r="W173" s="275"/>
      <c r="X173" s="275"/>
      <c r="Y173" s="275"/>
      <c r="Z173" s="275"/>
      <c r="AA173" s="275"/>
      <c r="AB173" s="275"/>
      <c r="AC173" s="275"/>
      <c r="AD173" s="275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</row>
    <row r="174" spans="2:62" x14ac:dyDescent="0.55000000000000004">
      <c r="B174" s="40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73"/>
      <c r="P174" s="73"/>
      <c r="Q174" s="73"/>
      <c r="R174" s="73"/>
      <c r="S174" s="73"/>
      <c r="T174" s="73"/>
      <c r="U174" s="73"/>
      <c r="V174" s="73"/>
      <c r="W174" s="275"/>
      <c r="X174" s="275"/>
      <c r="Y174" s="275"/>
      <c r="Z174" s="275"/>
      <c r="AA174" s="275"/>
      <c r="AB174" s="275"/>
      <c r="AC174" s="275"/>
      <c r="AD174" s="275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</row>
    <row r="175" spans="2:62" x14ac:dyDescent="0.55000000000000004">
      <c r="B175" s="63" t="s">
        <v>1927</v>
      </c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73"/>
      <c r="P175" s="73"/>
      <c r="Q175" s="73"/>
      <c r="R175" s="73"/>
      <c r="S175" s="73"/>
      <c r="T175" s="73"/>
      <c r="U175" s="73"/>
      <c r="V175" s="73"/>
      <c r="W175" s="275"/>
      <c r="X175" s="275"/>
      <c r="Y175" s="275"/>
      <c r="Z175" s="275"/>
      <c r="AA175" s="275"/>
      <c r="AB175" s="275"/>
      <c r="AC175" s="275"/>
      <c r="AD175" s="275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</row>
    <row r="176" spans="2:62" x14ac:dyDescent="0.55000000000000004">
      <c r="B176" s="71" t="s">
        <v>1912</v>
      </c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72"/>
      <c r="P176" s="72"/>
      <c r="Q176" s="72"/>
      <c r="R176" s="72"/>
      <c r="S176" s="72">
        <f t="shared" ref="S176:X176" si="104">S177*S163</f>
        <v>5753.45</v>
      </c>
      <c r="T176" s="72">
        <f t="shared" si="104"/>
        <v>7323.55</v>
      </c>
      <c r="U176" s="72">
        <f t="shared" si="104"/>
        <v>10022.475</v>
      </c>
      <c r="V176" s="72">
        <f t="shared" si="104"/>
        <v>15780</v>
      </c>
      <c r="W176" s="72">
        <f t="shared" si="104"/>
        <v>20025</v>
      </c>
      <c r="X176" s="72">
        <f t="shared" si="104"/>
        <v>24976.000000000004</v>
      </c>
      <c r="Y176" s="72">
        <f t="shared" ref="Y176:AD176" si="105">Y177*Y163</f>
        <v>27993</v>
      </c>
      <c r="Z176" s="72">
        <f t="shared" si="105"/>
        <v>31119</v>
      </c>
      <c r="AA176" s="72">
        <f t="shared" si="105"/>
        <v>30834.999999999996</v>
      </c>
      <c r="AB176" s="72">
        <f t="shared" si="105"/>
        <v>32444.999999999996</v>
      </c>
      <c r="AC176" s="72">
        <f t="shared" si="105"/>
        <v>34942.6</v>
      </c>
      <c r="AD176" s="72">
        <f t="shared" si="105"/>
        <v>39900</v>
      </c>
      <c r="AE176" s="72">
        <f>AE180-AE178</f>
        <v>35722.831249999988</v>
      </c>
      <c r="AF176" s="72">
        <f>AF180-AF178</f>
        <v>35248.243437499987</v>
      </c>
      <c r="AG176" s="72">
        <f>AG180-AG178</f>
        <v>40596.889765624976</v>
      </c>
      <c r="AH176" s="72">
        <f>AH180-AH178</f>
        <v>51585.978465076114</v>
      </c>
      <c r="AI176" s="72"/>
      <c r="AJ176" s="72"/>
      <c r="AK176" s="72"/>
      <c r="AL176" s="72"/>
      <c r="AM176" s="72"/>
      <c r="AN176" s="73"/>
      <c r="AU176" s="41"/>
      <c r="AV176" s="41"/>
      <c r="AW176" s="41"/>
      <c r="AX176" s="41"/>
      <c r="AY176" s="2">
        <f>W176/S176-1</f>
        <v>2.4805203834221206</v>
      </c>
      <c r="AZ176" s="2">
        <f>X176/T176-1</f>
        <v>2.4103679226604586</v>
      </c>
      <c r="BA176" s="2">
        <f>Y176/U176-1</f>
        <v>1.7930226815232762</v>
      </c>
      <c r="BB176" s="2">
        <f>Z176/V176-1</f>
        <v>0.97205323193916349</v>
      </c>
      <c r="BC176" s="2">
        <f>AA176/W176-1</f>
        <v>0.53982521847690368</v>
      </c>
      <c r="BD176" s="2"/>
      <c r="BE176" s="2"/>
      <c r="BF176" s="2"/>
    </row>
    <row r="177" spans="2:58" x14ac:dyDescent="0.55000000000000004">
      <c r="B177" s="71" t="s">
        <v>1106</v>
      </c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72"/>
      <c r="P177" s="72"/>
      <c r="Q177" s="72"/>
      <c r="R177" s="72"/>
      <c r="S177" s="406">
        <v>0.115</v>
      </c>
      <c r="T177" s="406">
        <v>0.13</v>
      </c>
      <c r="U177" s="406">
        <v>0.15</v>
      </c>
      <c r="V177" s="406">
        <v>0.2</v>
      </c>
      <c r="W177" s="406">
        <v>0.25</v>
      </c>
      <c r="X177" s="406">
        <v>0.28000000000000003</v>
      </c>
      <c r="Y177" s="406">
        <v>0.31</v>
      </c>
      <c r="Z177" s="406">
        <v>0.33</v>
      </c>
      <c r="AA177" s="406">
        <v>0.35</v>
      </c>
      <c r="AB177" s="406">
        <v>0.35</v>
      </c>
      <c r="AC177" s="406">
        <v>0.35</v>
      </c>
      <c r="AD177" s="406">
        <v>0.35</v>
      </c>
      <c r="AE177" s="163">
        <f>AE176/AE180</f>
        <v>0.34348876201923068</v>
      </c>
      <c r="AF177" s="163">
        <f>AF176/AF180</f>
        <v>0.32942283586448584</v>
      </c>
      <c r="AG177" s="163">
        <f>AG176/AG180</f>
        <v>0.34997318763469809</v>
      </c>
      <c r="AH177" s="163">
        <f>AH176/AH180</f>
        <v>0.39430923711631871</v>
      </c>
      <c r="AI177" s="163"/>
      <c r="AJ177" s="163"/>
      <c r="AK177" s="163"/>
      <c r="AL177" s="163"/>
      <c r="AM177" s="163"/>
      <c r="AN177" s="73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</row>
    <row r="178" spans="2:58" x14ac:dyDescent="0.55000000000000004">
      <c r="B178" s="71" t="s">
        <v>1913</v>
      </c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72"/>
      <c r="P178" s="72"/>
      <c r="Q178" s="72"/>
      <c r="R178" s="72"/>
      <c r="S178" s="72">
        <f t="shared" ref="S178:Z178" si="106">S159-S176-S179</f>
        <v>34246.550000000003</v>
      </c>
      <c r="T178" s="72">
        <f t="shared" si="106"/>
        <v>39011.449999999997</v>
      </c>
      <c r="U178" s="72">
        <f t="shared" si="106"/>
        <v>46777.525000000001</v>
      </c>
      <c r="V178" s="72">
        <f t="shared" si="106"/>
        <v>53120</v>
      </c>
      <c r="W178" s="72">
        <f t="shared" si="106"/>
        <v>50075</v>
      </c>
      <c r="X178" s="72">
        <f t="shared" si="106"/>
        <v>54224</v>
      </c>
      <c r="Y178" s="72">
        <f t="shared" si="106"/>
        <v>52307</v>
      </c>
      <c r="Z178" s="72">
        <f t="shared" si="106"/>
        <v>53181</v>
      </c>
      <c r="AA178" s="72">
        <f>AA159-AA176-AA179</f>
        <v>49265</v>
      </c>
      <c r="AB178" s="72">
        <f>AB159-AB176-AB179</f>
        <v>52255</v>
      </c>
      <c r="AC178" s="72">
        <f>AC159-AC176-AC179</f>
        <v>56893.4</v>
      </c>
      <c r="AD178" s="72">
        <f>AD159-AD176-AD179</f>
        <v>66100</v>
      </c>
      <c r="AE178" s="72">
        <f>AE184*3*AVERAGE(AD190,AE190)/1000</f>
        <v>68277.168750000012</v>
      </c>
      <c r="AF178" s="72">
        <f>AF184*3*AVERAGE(AE190,AF190)/1000</f>
        <v>71751.756562500013</v>
      </c>
      <c r="AG178" s="72">
        <f>AG184*3*AVERAGE(AF190,AG190)/1000</f>
        <v>75403.110234375024</v>
      </c>
      <c r="AH178" s="72">
        <f>AH184*3*AVERAGE(AG190,AH190)/1000</f>
        <v>79240.219882031277</v>
      </c>
      <c r="AI178" s="72"/>
      <c r="AJ178" s="72"/>
      <c r="AK178" s="72"/>
      <c r="AL178" s="72"/>
      <c r="AM178" s="72"/>
      <c r="AN178" s="73"/>
      <c r="AU178" s="41"/>
      <c r="AV178" s="41"/>
      <c r="AW178" s="41"/>
      <c r="AX178" s="41"/>
      <c r="AY178" s="2">
        <f t="shared" ref="AY178:BC180" si="107">W178/S178-1</f>
        <v>0.46219108202140058</v>
      </c>
      <c r="AZ178" s="2">
        <f t="shared" si="107"/>
        <v>0.38995089903092572</v>
      </c>
      <c r="BA178" s="2">
        <f t="shared" si="107"/>
        <v>0.11820794281014213</v>
      </c>
      <c r="BB178" s="2">
        <f t="shared" si="107"/>
        <v>1.1483433734940096E-3</v>
      </c>
      <c r="BC178" s="2">
        <f t="shared" si="107"/>
        <v>-1.6175736395406926E-2</v>
      </c>
      <c r="BD178" s="2"/>
      <c r="BE178" s="2"/>
      <c r="BF178" s="2"/>
    </row>
    <row r="179" spans="2:58" x14ac:dyDescent="0.55000000000000004">
      <c r="B179" s="71" t="s">
        <v>2724</v>
      </c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72"/>
      <c r="P179" s="72"/>
      <c r="Q179" s="72"/>
      <c r="R179" s="72"/>
      <c r="S179" s="72">
        <v>10000</v>
      </c>
      <c r="T179" s="72">
        <v>10000</v>
      </c>
      <c r="U179" s="72">
        <v>10000</v>
      </c>
      <c r="V179" s="72">
        <v>10000</v>
      </c>
      <c r="W179" s="72">
        <v>10000</v>
      </c>
      <c r="X179" s="72">
        <v>10000</v>
      </c>
      <c r="Y179" s="72">
        <v>10000</v>
      </c>
      <c r="Z179" s="72">
        <v>10000</v>
      </c>
      <c r="AA179" s="72">
        <v>8000</v>
      </c>
      <c r="AB179" s="72">
        <v>8000</v>
      </c>
      <c r="AC179" s="72">
        <v>8000</v>
      </c>
      <c r="AD179" s="72">
        <v>8000</v>
      </c>
      <c r="AE179" s="105">
        <f>AD179</f>
        <v>8000</v>
      </c>
      <c r="AF179" s="105">
        <f>AE179</f>
        <v>8000</v>
      </c>
      <c r="AG179" s="105">
        <f>AF179</f>
        <v>8000</v>
      </c>
      <c r="AH179" s="105">
        <f>AG179</f>
        <v>8000</v>
      </c>
      <c r="AI179" s="72"/>
      <c r="AJ179" s="72"/>
      <c r="AK179" s="72"/>
      <c r="AL179" s="72"/>
      <c r="AM179" s="72"/>
      <c r="AN179" s="73"/>
      <c r="AU179" s="41"/>
      <c r="AV179" s="41"/>
      <c r="AW179" s="41"/>
      <c r="AX179" s="41"/>
      <c r="AY179" s="2">
        <f t="shared" si="107"/>
        <v>0</v>
      </c>
      <c r="AZ179" s="2">
        <f t="shared" si="107"/>
        <v>0</v>
      </c>
      <c r="BA179" s="2">
        <f t="shared" si="107"/>
        <v>0</v>
      </c>
      <c r="BB179" s="2">
        <f t="shared" si="107"/>
        <v>0</v>
      </c>
      <c r="BC179" s="2">
        <f t="shared" si="107"/>
        <v>-0.19999999999999996</v>
      </c>
      <c r="BD179" s="2"/>
      <c r="BE179" s="2"/>
      <c r="BF179" s="2"/>
    </row>
    <row r="180" spans="2:58" x14ac:dyDescent="0.55000000000000004">
      <c r="B180" s="63" t="s">
        <v>1166</v>
      </c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73"/>
      <c r="P180" s="73"/>
      <c r="Q180" s="73"/>
      <c r="R180" s="73"/>
      <c r="S180" s="73">
        <f>S163</f>
        <v>50030</v>
      </c>
      <c r="T180" s="73">
        <f>T163</f>
        <v>56335</v>
      </c>
      <c r="U180" s="73">
        <f>U163</f>
        <v>66816.5</v>
      </c>
      <c r="V180" s="73">
        <f>V163</f>
        <v>78900</v>
      </c>
      <c r="W180" s="73">
        <f>W163</f>
        <v>80100</v>
      </c>
      <c r="X180" s="73">
        <f t="shared" ref="X180:AC180" si="108">X163</f>
        <v>89200</v>
      </c>
      <c r="Y180" s="73">
        <f t="shared" si="108"/>
        <v>90300</v>
      </c>
      <c r="Z180" s="73">
        <f t="shared" si="108"/>
        <v>94300</v>
      </c>
      <c r="AA180" s="73">
        <f t="shared" si="108"/>
        <v>88100</v>
      </c>
      <c r="AB180" s="73">
        <f t="shared" si="108"/>
        <v>92700</v>
      </c>
      <c r="AC180" s="73">
        <f t="shared" si="108"/>
        <v>99836</v>
      </c>
      <c r="AD180" s="73">
        <f>AD163</f>
        <v>114000</v>
      </c>
      <c r="AE180" s="73">
        <f>AE163</f>
        <v>104000</v>
      </c>
      <c r="AF180" s="73">
        <f>AF163</f>
        <v>107000</v>
      </c>
      <c r="AG180" s="73">
        <f>AG163</f>
        <v>116000</v>
      </c>
      <c r="AH180" s="73">
        <f>AH163</f>
        <v>130826.19834710739</v>
      </c>
      <c r="AI180" s="73"/>
      <c r="AJ180" s="73"/>
      <c r="AK180" s="73"/>
      <c r="AL180" s="73"/>
      <c r="AM180" s="73"/>
      <c r="AN180" s="73"/>
      <c r="AU180" s="41"/>
      <c r="AV180" s="41"/>
      <c r="AW180" s="41"/>
      <c r="AX180" s="41"/>
      <c r="AY180" s="2">
        <f t="shared" si="107"/>
        <v>0.60103937637417548</v>
      </c>
      <c r="AZ180" s="2">
        <f t="shared" si="107"/>
        <v>0.58338510694949863</v>
      </c>
      <c r="BA180" s="2">
        <f t="shared" si="107"/>
        <v>0.35146258783384354</v>
      </c>
      <c r="BB180" s="2">
        <f t="shared" si="107"/>
        <v>0.1951837769328264</v>
      </c>
      <c r="BC180" s="2">
        <f t="shared" si="107"/>
        <v>9.9875156054931358E-2</v>
      </c>
      <c r="BD180" s="2"/>
      <c r="BE180" s="2"/>
      <c r="BF180" s="2"/>
    </row>
    <row r="181" spans="2:58" x14ac:dyDescent="0.55000000000000004">
      <c r="B181" s="63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</row>
    <row r="182" spans="2:58" x14ac:dyDescent="0.55000000000000004">
      <c r="B182" s="63" t="s">
        <v>1928</v>
      </c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</row>
    <row r="183" spans="2:58" x14ac:dyDescent="0.55000000000000004">
      <c r="B183" s="71" t="s">
        <v>1924</v>
      </c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73"/>
      <c r="P183" s="73"/>
      <c r="Q183" s="73"/>
      <c r="R183" s="72"/>
      <c r="S183" s="72">
        <f t="shared" ref="S183:AD183" si="109">S176/AVERAGE(R189,S189)/3*1000</f>
        <v>9589.0833333333321</v>
      </c>
      <c r="T183" s="72">
        <f t="shared" si="109"/>
        <v>10849.703703703703</v>
      </c>
      <c r="U183" s="72">
        <f t="shared" si="109"/>
        <v>12148.454545454546</v>
      </c>
      <c r="V183" s="72">
        <f t="shared" si="109"/>
        <v>13574.193548387095</v>
      </c>
      <c r="W183" s="72">
        <f t="shared" si="109"/>
        <v>13417.08542713568</v>
      </c>
      <c r="X183" s="72">
        <f t="shared" si="109"/>
        <v>15708.176100628933</v>
      </c>
      <c r="Y183" s="72">
        <f t="shared" si="109"/>
        <v>16965.454545454544</v>
      </c>
      <c r="Z183" s="72">
        <f t="shared" si="109"/>
        <v>18198.245614035088</v>
      </c>
      <c r="AA183" s="72">
        <f t="shared" si="109"/>
        <v>17420.903954802259</v>
      </c>
      <c r="AB183" s="72">
        <f t="shared" si="109"/>
        <v>18025</v>
      </c>
      <c r="AC183" s="72">
        <f t="shared" si="109"/>
        <v>19412.555555555551</v>
      </c>
      <c r="AD183" s="72">
        <f t="shared" si="109"/>
        <v>22166.666666666668</v>
      </c>
      <c r="AE183" s="72">
        <f>AE176/AVERAGE(AD189,AE189)/3*1000</f>
        <v>19520.672814207643</v>
      </c>
      <c r="AF183" s="72">
        <f>AF176/AVERAGE(AE189,AF189)/3*1000</f>
        <v>18649.864252645497</v>
      </c>
      <c r="AG183" s="72">
        <f>AG176/AVERAGE(AF189,AG189)/3*1000</f>
        <v>20818.917828525628</v>
      </c>
      <c r="AH183" s="72">
        <f>AH176/AVERAGE(AG189,AH189)/3*1000</f>
        <v>25664.665903022938</v>
      </c>
      <c r="AI183" s="72"/>
      <c r="AJ183" s="72"/>
      <c r="AK183" s="72"/>
      <c r="AL183" s="72"/>
      <c r="AM183" s="72"/>
      <c r="AN183" s="73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</row>
    <row r="184" spans="2:58" x14ac:dyDescent="0.55000000000000004">
      <c r="B184" s="71" t="s">
        <v>1918</v>
      </c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73"/>
      <c r="P184" s="73"/>
      <c r="Q184" s="73"/>
      <c r="R184" s="73"/>
      <c r="S184" s="72">
        <f t="shared" ref="S184:AD184" si="110">S178/AVERAGE(R190,S190)/3*1000</f>
        <v>1599.9441434767023</v>
      </c>
      <c r="T184" s="72">
        <f t="shared" si="110"/>
        <v>1800.3411845089374</v>
      </c>
      <c r="U184" s="72">
        <f t="shared" si="110"/>
        <v>2119.6993384085558</v>
      </c>
      <c r="V184" s="72">
        <f t="shared" si="110"/>
        <v>2422.4183140661694</v>
      </c>
      <c r="W184" s="72">
        <f t="shared" si="110"/>
        <v>2318.3362453337995</v>
      </c>
      <c r="X184" s="72">
        <f t="shared" si="110"/>
        <v>2556.2236347820181</v>
      </c>
      <c r="Y184" s="72">
        <f t="shared" si="110"/>
        <v>2545.3527980535282</v>
      </c>
      <c r="Z184" s="72">
        <f t="shared" si="110"/>
        <v>2673.7556561085971</v>
      </c>
      <c r="AA184" s="72">
        <f t="shared" si="110"/>
        <v>2561.8824752990117</v>
      </c>
      <c r="AB184" s="72">
        <f t="shared" si="110"/>
        <v>2786.9333333333334</v>
      </c>
      <c r="AC184" s="72">
        <f t="shared" si="110"/>
        <v>3083.6531165311653</v>
      </c>
      <c r="AD184" s="72">
        <f t="shared" si="110"/>
        <v>3672.2222222222226</v>
      </c>
      <c r="AE184" s="105">
        <f>AD184*1.05</f>
        <v>3855.8333333333339</v>
      </c>
      <c r="AF184" s="105">
        <f>AE184*1.05</f>
        <v>4048.6250000000009</v>
      </c>
      <c r="AG184" s="105">
        <f>AF184*1.05</f>
        <v>4251.0562500000015</v>
      </c>
      <c r="AH184" s="105">
        <f>AG184*1.05</f>
        <v>4463.6090625000015</v>
      </c>
      <c r="AI184" s="105"/>
      <c r="AJ184" s="105"/>
      <c r="AK184" s="105"/>
      <c r="AL184" s="105"/>
      <c r="AM184" s="105"/>
      <c r="AN184" s="73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</row>
    <row r="185" spans="2:58" x14ac:dyDescent="0.55000000000000004">
      <c r="B185" s="405" t="s">
        <v>1925</v>
      </c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349"/>
      <c r="P185" s="349"/>
      <c r="Q185" s="349"/>
      <c r="R185" s="349"/>
      <c r="S185" s="94">
        <f t="shared" ref="S185:X185" si="111">S183/S184</f>
        <v>5.9933863144097721</v>
      </c>
      <c r="T185" s="94">
        <f t="shared" si="111"/>
        <v>6.0264708695552489</v>
      </c>
      <c r="U185" s="94">
        <f t="shared" si="111"/>
        <v>5.7312158971448541</v>
      </c>
      <c r="V185" s="94">
        <f t="shared" si="111"/>
        <v>5.6035712203653318</v>
      </c>
      <c r="W185" s="94">
        <f t="shared" si="111"/>
        <v>5.7873768113407795</v>
      </c>
      <c r="X185" s="94">
        <f t="shared" si="111"/>
        <v>6.1450711459243852</v>
      </c>
      <c r="Y185" s="94">
        <f t="shared" ref="Y185:AH185" si="112">Y183/Y184</f>
        <v>6.6652664253176601</v>
      </c>
      <c r="Z185" s="94">
        <f t="shared" si="112"/>
        <v>6.8062485711656029</v>
      </c>
      <c r="AA185" s="94">
        <f t="shared" si="112"/>
        <v>6.8000402527321118</v>
      </c>
      <c r="AB185" s="94">
        <f>AB183/AB184</f>
        <v>6.4676825184192897</v>
      </c>
      <c r="AC185" s="94">
        <f>AC183/AC184</f>
        <v>6.2953110554124017</v>
      </c>
      <c r="AD185" s="94">
        <f>AD183/AD184</f>
        <v>6.0363086232980327</v>
      </c>
      <c r="AE185" s="94">
        <f t="shared" si="112"/>
        <v>5.062633969537317</v>
      </c>
      <c r="AF185" s="94">
        <f t="shared" si="112"/>
        <v>4.6064686782908995</v>
      </c>
      <c r="AG185" s="94">
        <f t="shared" si="112"/>
        <v>4.8973517648762286</v>
      </c>
      <c r="AH185" s="94">
        <f t="shared" si="112"/>
        <v>5.7497566528930149</v>
      </c>
      <c r="AI185" s="62"/>
      <c r="AJ185" s="62"/>
      <c r="AK185" s="62"/>
      <c r="AL185" s="62"/>
      <c r="AM185" s="62"/>
      <c r="AN185" s="73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</row>
    <row r="186" spans="2:58" x14ac:dyDescent="0.55000000000000004">
      <c r="B186" s="63" t="s">
        <v>243</v>
      </c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73"/>
      <c r="P186" s="73"/>
      <c r="Q186" s="73"/>
      <c r="R186" s="73"/>
      <c r="S186" s="73">
        <f t="shared" ref="S186:X186" si="113">S165</f>
        <v>2321.2178566654702</v>
      </c>
      <c r="T186" s="73">
        <f t="shared" si="113"/>
        <v>2521.2674740764496</v>
      </c>
      <c r="U186" s="73">
        <f t="shared" si="113"/>
        <v>2918.6432533962347</v>
      </c>
      <c r="V186" s="73">
        <f t="shared" si="113"/>
        <v>3416.9156814343255</v>
      </c>
      <c r="W186" s="73">
        <f t="shared" si="113"/>
        <v>3468.7275229988568</v>
      </c>
      <c r="X186" s="73">
        <f t="shared" si="113"/>
        <v>3911.8446468874477</v>
      </c>
      <c r="Y186" s="73">
        <f t="shared" ref="Y186:AD186" si="114">Y165</f>
        <v>4067.5675675675675</v>
      </c>
      <c r="Z186" s="73">
        <f t="shared" si="114"/>
        <v>4365.7407407407409</v>
      </c>
      <c r="AA186" s="73">
        <f t="shared" si="114"/>
        <v>4195.2380952380954</v>
      </c>
      <c r="AB186" s="73">
        <f t="shared" si="114"/>
        <v>4510.9489051094897</v>
      </c>
      <c r="AC186" s="73">
        <f t="shared" si="114"/>
        <v>4930.1728395061727</v>
      </c>
      <c r="AD186" s="73">
        <f t="shared" si="114"/>
        <v>5757.575757575758</v>
      </c>
      <c r="AE186" s="73">
        <f>AE165</f>
        <v>5323.0966090850925</v>
      </c>
      <c r="AF186" s="73">
        <f>AF165</f>
        <v>5455.7042702358194</v>
      </c>
      <c r="AG186" s="73">
        <f>AG165</f>
        <v>5892.063492063492</v>
      </c>
      <c r="AH186" s="73">
        <f>AH165</f>
        <v>6619.9214849896216</v>
      </c>
      <c r="AI186" s="73"/>
      <c r="AJ186" s="73"/>
      <c r="AK186" s="73"/>
      <c r="AL186" s="73"/>
      <c r="AM186" s="73"/>
      <c r="AN186" s="73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</row>
    <row r="187" spans="2:58" x14ac:dyDescent="0.55000000000000004">
      <c r="B187" s="63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</row>
    <row r="188" spans="2:58" x14ac:dyDescent="0.55000000000000004">
      <c r="B188" s="63" t="s">
        <v>1929</v>
      </c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</row>
    <row r="189" spans="2:58" x14ac:dyDescent="0.55000000000000004">
      <c r="B189" s="71" t="s">
        <v>1917</v>
      </c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73"/>
      <c r="P189" s="73"/>
      <c r="Q189" s="73"/>
      <c r="R189" s="73"/>
      <c r="S189" s="404">
        <v>200</v>
      </c>
      <c r="T189" s="404">
        <v>250</v>
      </c>
      <c r="U189" s="404">
        <v>300</v>
      </c>
      <c r="V189" s="404">
        <v>475</v>
      </c>
      <c r="W189" s="404">
        <v>520</v>
      </c>
      <c r="X189" s="404">
        <v>540</v>
      </c>
      <c r="Y189" s="404">
        <v>560</v>
      </c>
      <c r="Z189" s="404">
        <v>580</v>
      </c>
      <c r="AA189" s="404">
        <v>600</v>
      </c>
      <c r="AB189" s="404">
        <v>600</v>
      </c>
      <c r="AC189" s="404">
        <v>600</v>
      </c>
      <c r="AD189" s="404">
        <v>600</v>
      </c>
      <c r="AE189" s="72">
        <f>AD189+20</f>
        <v>620</v>
      </c>
      <c r="AF189" s="72">
        <f>AE189+20</f>
        <v>640</v>
      </c>
      <c r="AG189" s="72">
        <f>AF189+20</f>
        <v>660</v>
      </c>
      <c r="AH189" s="72">
        <f>AG189+20</f>
        <v>680</v>
      </c>
      <c r="AI189" s="72"/>
      <c r="AJ189" s="72"/>
      <c r="AK189" s="72"/>
      <c r="AL189" s="72"/>
      <c r="AM189" s="72"/>
      <c r="AN189" s="73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</row>
    <row r="190" spans="2:58" x14ac:dyDescent="0.55000000000000004">
      <c r="B190" s="405" t="s">
        <v>1919</v>
      </c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349"/>
      <c r="P190" s="349"/>
      <c r="Q190" s="349"/>
      <c r="R190" s="349"/>
      <c r="S190" s="74">
        <f t="shared" ref="S190:X190" si="115">S191-S189</f>
        <v>7134.9470000000001</v>
      </c>
      <c r="T190" s="74">
        <f t="shared" si="115"/>
        <v>7311</v>
      </c>
      <c r="U190" s="74">
        <f t="shared" si="115"/>
        <v>7401</v>
      </c>
      <c r="V190" s="74">
        <f t="shared" si="115"/>
        <v>7218</v>
      </c>
      <c r="W190" s="74">
        <f t="shared" si="115"/>
        <v>7181.6943500000007</v>
      </c>
      <c r="X190" s="74">
        <f t="shared" si="115"/>
        <v>6960</v>
      </c>
      <c r="Y190" s="74">
        <f t="shared" ref="Y190:AH190" si="116">Y191-Y189</f>
        <v>6740</v>
      </c>
      <c r="Z190" s="74">
        <f t="shared" si="116"/>
        <v>6520</v>
      </c>
      <c r="AA190" s="74">
        <f t="shared" si="116"/>
        <v>6300</v>
      </c>
      <c r="AB190" s="74">
        <f>AB191-AB189</f>
        <v>6200</v>
      </c>
      <c r="AC190" s="74">
        <f>AC191-AC189</f>
        <v>6100</v>
      </c>
      <c r="AD190" s="74">
        <f>AD191-AD189</f>
        <v>5900</v>
      </c>
      <c r="AE190" s="74">
        <f t="shared" si="116"/>
        <v>5905</v>
      </c>
      <c r="AF190" s="74">
        <f t="shared" si="116"/>
        <v>5910</v>
      </c>
      <c r="AG190" s="74">
        <f t="shared" si="116"/>
        <v>5915</v>
      </c>
      <c r="AH190" s="74">
        <f t="shared" si="116"/>
        <v>5920</v>
      </c>
      <c r="AI190" s="72"/>
      <c r="AJ190" s="72"/>
      <c r="AK190" s="72"/>
      <c r="AL190" s="72"/>
      <c r="AM190" s="72"/>
      <c r="AN190" s="73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</row>
    <row r="191" spans="2:58" x14ac:dyDescent="0.55000000000000004">
      <c r="B191" s="71" t="s">
        <v>1926</v>
      </c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73"/>
      <c r="P191" s="73"/>
      <c r="Q191" s="73"/>
      <c r="R191" s="73"/>
      <c r="S191" s="72">
        <f t="shared" ref="S191:Z191" si="117">S160</f>
        <v>7334.9470000000001</v>
      </c>
      <c r="T191" s="72">
        <f t="shared" si="117"/>
        <v>7561</v>
      </c>
      <c r="U191" s="72">
        <f t="shared" si="117"/>
        <v>7701</v>
      </c>
      <c r="V191" s="72">
        <f t="shared" si="117"/>
        <v>7693</v>
      </c>
      <c r="W191" s="72">
        <f t="shared" si="117"/>
        <v>7701.6943500000007</v>
      </c>
      <c r="X191" s="72">
        <f t="shared" si="117"/>
        <v>7500</v>
      </c>
      <c r="Y191" s="72">
        <f t="shared" si="117"/>
        <v>7300</v>
      </c>
      <c r="Z191" s="72">
        <f t="shared" si="117"/>
        <v>7100</v>
      </c>
      <c r="AA191" s="72">
        <f t="shared" ref="AA191:AH191" si="118">AA160</f>
        <v>6900</v>
      </c>
      <c r="AB191" s="72">
        <f>AB160</f>
        <v>6800</v>
      </c>
      <c r="AC191" s="72">
        <f>AC160</f>
        <v>6700</v>
      </c>
      <c r="AD191" s="72">
        <f>AD160</f>
        <v>6500</v>
      </c>
      <c r="AE191" s="72">
        <f t="shared" si="118"/>
        <v>6525</v>
      </c>
      <c r="AF191" s="72">
        <f t="shared" si="118"/>
        <v>6550</v>
      </c>
      <c r="AG191" s="72">
        <f t="shared" si="118"/>
        <v>6575</v>
      </c>
      <c r="AH191" s="72">
        <f t="shared" si="118"/>
        <v>6600</v>
      </c>
      <c r="AI191" s="72"/>
      <c r="AJ191" s="72"/>
      <c r="AK191" s="72"/>
      <c r="AL191" s="72"/>
      <c r="AM191" s="72"/>
      <c r="AN191" s="73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</row>
    <row r="192" spans="2:58" x14ac:dyDescent="0.55000000000000004">
      <c r="B192" s="63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73"/>
      <c r="P192" s="73"/>
      <c r="Q192" s="73"/>
      <c r="R192" s="73"/>
      <c r="S192" s="73"/>
      <c r="T192" s="73"/>
      <c r="U192" s="73"/>
      <c r="V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</row>
    <row r="193" spans="2:58" x14ac:dyDescent="0.55000000000000004">
      <c r="B193" s="63" t="s">
        <v>679</v>
      </c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73"/>
      <c r="P193" s="73"/>
      <c r="Q193" s="73"/>
      <c r="R193" s="73"/>
      <c r="S193" s="73"/>
      <c r="T193" s="73"/>
      <c r="U193" s="73"/>
      <c r="V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</row>
    <row r="194" spans="2:58" x14ac:dyDescent="0.55000000000000004">
      <c r="B194" s="71" t="s">
        <v>1930</v>
      </c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73"/>
      <c r="P194" s="73"/>
      <c r="Q194" s="73"/>
      <c r="R194" s="73"/>
      <c r="S194" s="409">
        <v>1.7899999999999999E-2</v>
      </c>
      <c r="T194" s="409">
        <v>1.7899999999999999E-2</v>
      </c>
      <c r="U194" s="409">
        <v>1.67E-2</v>
      </c>
      <c r="V194" s="409">
        <v>1.7100000000000001E-2</v>
      </c>
      <c r="W194" s="409">
        <v>2.06E-2</v>
      </c>
      <c r="X194" s="409">
        <v>2.0899999999999998E-2</v>
      </c>
      <c r="Y194" s="409">
        <v>2.2100000000000002E-2</v>
      </c>
      <c r="Z194" s="523">
        <v>2.1999999999999999E-2</v>
      </c>
      <c r="AA194" s="523">
        <v>2.1999999999999999E-2</v>
      </c>
      <c r="AB194" s="523">
        <v>2.1999999999999999E-2</v>
      </c>
      <c r="AC194" s="523">
        <v>2.1999999999999999E-2</v>
      </c>
      <c r="AD194" s="523">
        <v>2.1999999999999999E-2</v>
      </c>
      <c r="AE194" s="395">
        <f>AD194*0.975</f>
        <v>2.1449999999999997E-2</v>
      </c>
      <c r="AF194" s="395">
        <f>AE194*0.975</f>
        <v>2.0913749999999995E-2</v>
      </c>
      <c r="AG194" s="395">
        <f>AF194*0.975</f>
        <v>2.0390906249999993E-2</v>
      </c>
      <c r="AH194" s="395">
        <f>AG194*0.975</f>
        <v>1.9881133593749992E-2</v>
      </c>
      <c r="AI194" s="395"/>
      <c r="AJ194" s="395"/>
      <c r="AK194" s="395"/>
      <c r="AL194" s="395"/>
      <c r="AM194" s="395"/>
      <c r="AN194" s="73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</row>
    <row r="195" spans="2:58" x14ac:dyDescent="0.55000000000000004">
      <c r="B195" s="405" t="s">
        <v>1913</v>
      </c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349"/>
      <c r="P195" s="349"/>
      <c r="Q195" s="349"/>
      <c r="R195" s="349"/>
      <c r="S195" s="408">
        <f t="shared" ref="S195:X195" si="119">(S200/S178)</f>
        <v>3.1918930374008475E-2</v>
      </c>
      <c r="T195" s="408">
        <f t="shared" si="119"/>
        <v>3.1747306367745878E-2</v>
      </c>
      <c r="U195" s="408">
        <f t="shared" si="119"/>
        <v>3.100900843941615E-2</v>
      </c>
      <c r="V195" s="408">
        <f t="shared" si="119"/>
        <v>2.8641980421686742E-2</v>
      </c>
      <c r="W195" s="408">
        <f t="shared" si="119"/>
        <v>3.3339690464303545E-2</v>
      </c>
      <c r="X195" s="408">
        <f t="shared" si="119"/>
        <v>3.5589233549719677E-2</v>
      </c>
      <c r="Y195" s="408">
        <f t="shared" ref="Y195:AH195" si="120">(Y200/Y178)</f>
        <v>3.8223463398780279E-2</v>
      </c>
      <c r="Z195" s="408">
        <f t="shared" si="120"/>
        <v>3.3026494424700549E-2</v>
      </c>
      <c r="AA195" s="408">
        <f t="shared" si="120"/>
        <v>3.284015605331711E-2</v>
      </c>
      <c r="AB195" s="408">
        <f>(AB200/AB178)</f>
        <v>3.1250232822432972E-2</v>
      </c>
      <c r="AC195" s="408">
        <f>(AC200/AC178)</f>
        <v>2.9578505999174155E-2</v>
      </c>
      <c r="AD195" s="408">
        <f>(AD200/AD178)</f>
        <v>2.6497906499028501E-2</v>
      </c>
      <c r="AE195" s="408">
        <f t="shared" si="120"/>
        <v>2.4877207136499779E-2</v>
      </c>
      <c r="AF195" s="408">
        <f t="shared" si="120"/>
        <v>2.4621377000995766E-2</v>
      </c>
      <c r="AG195" s="408">
        <f t="shared" si="120"/>
        <v>2.4097051449201632E-2</v>
      </c>
      <c r="AH195" s="408">
        <f t="shared" si="120"/>
        <v>2.2449291858899035E-2</v>
      </c>
      <c r="AI195" s="394"/>
      <c r="AJ195" s="394"/>
      <c r="AK195" s="394"/>
      <c r="AL195" s="394"/>
      <c r="AM195" s="394"/>
      <c r="AN195" s="73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</row>
    <row r="196" spans="2:58" x14ac:dyDescent="0.55000000000000004">
      <c r="B196" s="71" t="s">
        <v>243</v>
      </c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73"/>
      <c r="P196" s="73"/>
      <c r="Q196" s="73"/>
      <c r="R196" s="73"/>
      <c r="S196" s="394">
        <f t="shared" ref="S196:AH196" si="121">S38</f>
        <v>2.4097999999999998E-2</v>
      </c>
      <c r="T196" s="394">
        <f t="shared" si="121"/>
        <v>2.4320582231294931E-2</v>
      </c>
      <c r="U196" s="394">
        <f t="shared" si="121"/>
        <v>2.4220059880239522E-2</v>
      </c>
      <c r="V196" s="394">
        <f t="shared" si="121"/>
        <v>2.2703422053231937E-2</v>
      </c>
      <c r="W196" s="394">
        <f t="shared" si="121"/>
        <v>2.599250936329588E-2</v>
      </c>
      <c r="X196" s="394">
        <f t="shared" si="121"/>
        <v>2.7486423766816141E-2</v>
      </c>
      <c r="Y196" s="394">
        <f t="shared" si="121"/>
        <v>2.8992248062015506E-2</v>
      </c>
      <c r="Z196" s="394">
        <f t="shared" si="121"/>
        <v>2.5885471898197242E-2</v>
      </c>
      <c r="AA196" s="394">
        <f t="shared" si="121"/>
        <v>2.6064021429814614E-2</v>
      </c>
      <c r="AB196" s="394">
        <f t="shared" si="121"/>
        <v>2.5315759613120117E-2</v>
      </c>
      <c r="AC196" s="394">
        <f t="shared" si="121"/>
        <v>2.4555861344739523E-2</v>
      </c>
      <c r="AD196" s="394">
        <f>AD38</f>
        <v>2.3064137013910385E-2</v>
      </c>
      <c r="AE196" s="394">
        <f t="shared" si="121"/>
        <v>2.3699999999999999E-2</v>
      </c>
      <c r="AF196" s="394">
        <f t="shared" si="121"/>
        <v>2.3400000000000001E-2</v>
      </c>
      <c r="AG196" s="394">
        <f t="shared" si="121"/>
        <v>2.2800000000000001E-2</v>
      </c>
      <c r="AH196" s="394">
        <f t="shared" si="121"/>
        <v>2.1436643332574147E-2</v>
      </c>
      <c r="AI196" s="394"/>
      <c r="AJ196" s="394"/>
      <c r="AK196" s="394"/>
      <c r="AL196" s="394"/>
      <c r="AM196" s="394"/>
      <c r="AN196" s="73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</row>
    <row r="197" spans="2:58" x14ac:dyDescent="0.55000000000000004">
      <c r="B197" s="63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</row>
    <row r="198" spans="2:58" x14ac:dyDescent="0.55000000000000004">
      <c r="B198" s="63" t="s">
        <v>1931</v>
      </c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</row>
    <row r="199" spans="2:58" x14ac:dyDescent="0.55000000000000004">
      <c r="B199" s="71" t="s">
        <v>1924</v>
      </c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73"/>
      <c r="P199" s="73"/>
      <c r="Q199" s="73"/>
      <c r="R199" s="73"/>
      <c r="S199" s="72">
        <f>S194*S176</f>
        <v>102.98675499999999</v>
      </c>
      <c r="T199" s="72">
        <f>T194*T176</f>
        <v>131.091545</v>
      </c>
      <c r="U199" s="72">
        <f>U194*U176</f>
        <v>167.37533250000001</v>
      </c>
      <c r="V199" s="72">
        <f>V194*V176</f>
        <v>269.83800000000002</v>
      </c>
      <c r="W199" s="72">
        <f>W194*W176</f>
        <v>412.51499999999999</v>
      </c>
      <c r="X199" s="72">
        <f t="shared" ref="X199:AC199" si="122">X194*X176</f>
        <v>521.99840000000006</v>
      </c>
      <c r="Y199" s="72">
        <f t="shared" si="122"/>
        <v>618.64530000000002</v>
      </c>
      <c r="Z199" s="72">
        <f t="shared" si="122"/>
        <v>684.61799999999994</v>
      </c>
      <c r="AA199" s="72">
        <f t="shared" si="122"/>
        <v>678.36999999999989</v>
      </c>
      <c r="AB199" s="72">
        <f t="shared" si="122"/>
        <v>713.78999999999985</v>
      </c>
      <c r="AC199" s="72">
        <f t="shared" si="122"/>
        <v>768.73719999999992</v>
      </c>
      <c r="AD199" s="72">
        <f>AD194*AD176</f>
        <v>877.8</v>
      </c>
      <c r="AE199" s="72">
        <f>AE194*AE176</f>
        <v>766.25473031249965</v>
      </c>
      <c r="AF199" s="72">
        <f>AF194*AF176</f>
        <v>737.17295119101516</v>
      </c>
      <c r="AG199" s="72">
        <f>AG194*AG176</f>
        <v>827.80737325244309</v>
      </c>
      <c r="AH199" s="72">
        <f>AH194*AH176</f>
        <v>1025.5877294284885</v>
      </c>
      <c r="AI199" s="72"/>
      <c r="AJ199" s="72"/>
      <c r="AK199" s="72"/>
      <c r="AL199" s="72"/>
      <c r="AM199" s="72"/>
      <c r="AN199" s="73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</row>
    <row r="200" spans="2:58" x14ac:dyDescent="0.55000000000000004">
      <c r="B200" s="405" t="s">
        <v>1913</v>
      </c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349"/>
      <c r="P200" s="349"/>
      <c r="Q200" s="349"/>
      <c r="R200" s="349"/>
      <c r="S200" s="74">
        <f>S201-S199</f>
        <v>1093.113245</v>
      </c>
      <c r="T200" s="74">
        <f>T201-T199</f>
        <v>1238.5084549999999</v>
      </c>
      <c r="U200" s="74">
        <f>U201-U199</f>
        <v>1450.5246675000001</v>
      </c>
      <c r="V200" s="74">
        <f>V201-V199</f>
        <v>1521.4619999999998</v>
      </c>
      <c r="W200" s="74">
        <f>W201-W199</f>
        <v>1669.4850000000001</v>
      </c>
      <c r="X200" s="74">
        <f t="shared" ref="X200:AC200" si="123">X201-X199</f>
        <v>1929.7905999999998</v>
      </c>
      <c r="Y200" s="74">
        <f t="shared" si="123"/>
        <v>1999.3546999999999</v>
      </c>
      <c r="Z200" s="74">
        <f t="shared" si="123"/>
        <v>1756.3820000000001</v>
      </c>
      <c r="AA200" s="74">
        <f t="shared" si="123"/>
        <v>1617.8702879666675</v>
      </c>
      <c r="AB200" s="74">
        <f t="shared" si="123"/>
        <v>1632.980916136235</v>
      </c>
      <c r="AC200" s="74">
        <f t="shared" si="123"/>
        <v>1682.8217732134149</v>
      </c>
      <c r="AD200" s="74">
        <f>AD201-AD199</f>
        <v>1751.5116195857838</v>
      </c>
      <c r="AE200" s="74">
        <f>AE201-AE199</f>
        <v>1698.5452696875</v>
      </c>
      <c r="AF200" s="74">
        <f>AF201-AF199</f>
        <v>1766.6270488089849</v>
      </c>
      <c r="AG200" s="74">
        <f>AG201-AG199</f>
        <v>1816.9926267475571</v>
      </c>
      <c r="AH200" s="74">
        <f>AH201-AH199</f>
        <v>1778.8868230950541</v>
      </c>
      <c r="AI200" s="72"/>
      <c r="AJ200" s="72"/>
      <c r="AK200" s="72"/>
      <c r="AL200" s="72"/>
      <c r="AM200" s="72"/>
      <c r="AN200" s="73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</row>
    <row r="201" spans="2:58" x14ac:dyDescent="0.55000000000000004">
      <c r="B201" s="71" t="s">
        <v>243</v>
      </c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73"/>
      <c r="P201" s="73"/>
      <c r="Q201" s="73"/>
      <c r="R201" s="73"/>
      <c r="S201" s="72">
        <f t="shared" ref="S201:AH201" si="124">S21</f>
        <v>1196.0999999999999</v>
      </c>
      <c r="T201" s="72">
        <f t="shared" si="124"/>
        <v>1369.6</v>
      </c>
      <c r="U201" s="72">
        <f t="shared" si="124"/>
        <v>1617.9</v>
      </c>
      <c r="V201" s="72">
        <f t="shared" si="124"/>
        <v>1791.2999999999997</v>
      </c>
      <c r="W201" s="72">
        <f t="shared" si="124"/>
        <v>2082</v>
      </c>
      <c r="X201" s="72">
        <f t="shared" si="124"/>
        <v>2451.7889999999998</v>
      </c>
      <c r="Y201" s="72">
        <f t="shared" si="124"/>
        <v>2618</v>
      </c>
      <c r="Z201" s="72">
        <f t="shared" si="124"/>
        <v>2441</v>
      </c>
      <c r="AA201" s="72">
        <f t="shared" si="124"/>
        <v>2296.2402879666674</v>
      </c>
      <c r="AB201" s="72">
        <f t="shared" si="124"/>
        <v>2346.770916136235</v>
      </c>
      <c r="AC201" s="72">
        <f t="shared" si="124"/>
        <v>2451.5589732134149</v>
      </c>
      <c r="AD201" s="72">
        <f>AD21</f>
        <v>2629.3116195857838</v>
      </c>
      <c r="AE201" s="72">
        <f t="shared" si="124"/>
        <v>2464.7999999999997</v>
      </c>
      <c r="AF201" s="72">
        <f t="shared" si="124"/>
        <v>2503.8000000000002</v>
      </c>
      <c r="AG201" s="72">
        <f t="shared" si="124"/>
        <v>2644.8</v>
      </c>
      <c r="AH201" s="72">
        <f t="shared" si="124"/>
        <v>2804.4745525235426</v>
      </c>
      <c r="AI201" s="72"/>
      <c r="AJ201" s="72"/>
      <c r="AK201" s="72"/>
      <c r="AL201" s="72"/>
      <c r="AM201" s="72"/>
      <c r="AN201" s="73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</row>
    <row r="202" spans="2:58" x14ac:dyDescent="0.55000000000000004">
      <c r="B202" s="63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</row>
    <row r="203" spans="2:58" x14ac:dyDescent="0.55000000000000004">
      <c r="B203" s="75" t="s">
        <v>261</v>
      </c>
      <c r="C203" s="349" t="s">
        <v>9</v>
      </c>
      <c r="D203" s="349" t="s">
        <v>9</v>
      </c>
      <c r="E203" s="349" t="s">
        <v>9</v>
      </c>
      <c r="F203" s="349" t="s">
        <v>9</v>
      </c>
      <c r="G203" s="349" t="s">
        <v>9</v>
      </c>
      <c r="H203" s="349" t="s">
        <v>9</v>
      </c>
      <c r="I203" s="349" t="s">
        <v>9</v>
      </c>
      <c r="J203" s="349" t="s">
        <v>9</v>
      </c>
      <c r="K203" s="349">
        <v>0</v>
      </c>
      <c r="L203" s="349">
        <v>1400</v>
      </c>
      <c r="M203" s="349">
        <f>N203-868</f>
        <v>1832</v>
      </c>
      <c r="N203" s="349">
        <v>2700</v>
      </c>
      <c r="O203" s="349">
        <v>3749.2570000000001</v>
      </c>
      <c r="P203" s="349">
        <v>4913.491</v>
      </c>
      <c r="Q203" s="349">
        <v>6678.5169999999998</v>
      </c>
      <c r="R203" s="349">
        <v>7864.6540000000005</v>
      </c>
      <c r="S203" s="349">
        <v>9131.2459999999992</v>
      </c>
      <c r="T203" s="349">
        <v>11244</v>
      </c>
      <c r="U203" s="349">
        <v>12223</v>
      </c>
      <c r="V203" s="349">
        <v>13100</v>
      </c>
      <c r="W203" s="349">
        <v>14300</v>
      </c>
      <c r="X203" s="349">
        <v>15100</v>
      </c>
      <c r="Y203" s="349">
        <v>15800</v>
      </c>
      <c r="Z203" s="349">
        <v>16200</v>
      </c>
      <c r="AA203" s="349">
        <v>16300</v>
      </c>
      <c r="AB203" s="349">
        <v>16400</v>
      </c>
      <c r="AC203" s="349">
        <f ca="1">AC204+AC205</f>
        <v>16800</v>
      </c>
      <c r="AD203" s="349">
        <v>16800</v>
      </c>
      <c r="AE203" s="349">
        <f>AD203+AE216</f>
        <v>17000</v>
      </c>
      <c r="AF203" s="349">
        <f>AE203+AF216</f>
        <v>17200</v>
      </c>
      <c r="AG203" s="349">
        <f>AF203+AG216</f>
        <v>17400</v>
      </c>
      <c r="AH203" s="349">
        <f>Pagbank!I150</f>
        <v>17800</v>
      </c>
      <c r="AI203" s="349">
        <f>AH203+AI216</f>
        <v>17925</v>
      </c>
      <c r="AJ203" s="349">
        <f>AI203+AJ216</f>
        <v>18050</v>
      </c>
      <c r="AK203" s="349">
        <f>AJ203+AK216</f>
        <v>18175</v>
      </c>
      <c r="AL203" s="349">
        <f>Pagbank!J150</f>
        <v>18300</v>
      </c>
      <c r="AM203" s="73"/>
      <c r="AN203" s="72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</row>
    <row r="204" spans="2:58" x14ac:dyDescent="0.55000000000000004">
      <c r="B204" s="71" t="s">
        <v>882</v>
      </c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>
        <v>400</v>
      </c>
      <c r="O204" s="72">
        <f>O203-O205</f>
        <v>575.44700000000012</v>
      </c>
      <c r="P204" s="72">
        <f t="shared" ref="P204:W204" si="125">P203-P205</f>
        <v>1172.692</v>
      </c>
      <c r="Q204" s="72">
        <f t="shared" si="125"/>
        <v>2154.4690000000001</v>
      </c>
      <c r="R204" s="72">
        <f t="shared" si="125"/>
        <v>2719.0150000000003</v>
      </c>
      <c r="S204" s="72">
        <f t="shared" si="125"/>
        <v>3451.5619999999999</v>
      </c>
      <c r="T204" s="72">
        <v>5083</v>
      </c>
      <c r="U204" s="72">
        <f t="shared" si="125"/>
        <v>5768.8209999999999</v>
      </c>
      <c r="V204" s="72">
        <f t="shared" si="125"/>
        <v>6500</v>
      </c>
      <c r="W204" s="72">
        <f t="shared" si="125"/>
        <v>7600</v>
      </c>
      <c r="X204" s="72">
        <f>X203-X205</f>
        <v>8500</v>
      </c>
      <c r="Y204" s="72">
        <f>Y203-Y205</f>
        <v>9100</v>
      </c>
      <c r="Z204" s="72">
        <f>Z203-Z205</f>
        <v>9700</v>
      </c>
      <c r="AA204" s="72">
        <v>10000</v>
      </c>
      <c r="AB204" s="72">
        <v>10200</v>
      </c>
      <c r="AC204" s="72">
        <v>10600</v>
      </c>
      <c r="AD204" s="72">
        <v>10700</v>
      </c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</row>
    <row r="205" spans="2:58" x14ac:dyDescent="0.55000000000000004">
      <c r="B205" s="71" t="s">
        <v>883</v>
      </c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>
        <f>N203-N204</f>
        <v>2300</v>
      </c>
      <c r="O205" s="72">
        <v>3173.81</v>
      </c>
      <c r="P205" s="72">
        <v>3740.799</v>
      </c>
      <c r="Q205" s="72">
        <v>4524.0479999999998</v>
      </c>
      <c r="R205" s="72">
        <v>5145.6390000000001</v>
      </c>
      <c r="S205" s="72">
        <v>5679.6839999999993</v>
      </c>
      <c r="T205" s="72">
        <v>6161</v>
      </c>
      <c r="U205" s="72">
        <v>6454.1790000000001</v>
      </c>
      <c r="V205" s="72">
        <v>6600</v>
      </c>
      <c r="W205" s="72">
        <v>6700</v>
      </c>
      <c r="X205" s="72">
        <v>6600</v>
      </c>
      <c r="Y205" s="72">
        <v>6700</v>
      </c>
      <c r="Z205" s="72">
        <v>6500</v>
      </c>
      <c r="AA205" s="72">
        <v>6300</v>
      </c>
      <c r="AB205" s="72">
        <f>AB203-AB204</f>
        <v>6200</v>
      </c>
      <c r="AC205" s="72">
        <f ca="1">AC203-AC204</f>
        <v>6200</v>
      </c>
      <c r="AD205" s="72">
        <v>6100</v>
      </c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</row>
    <row r="206" spans="2:58" x14ac:dyDescent="0.55000000000000004">
      <c r="B206" s="71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</row>
    <row r="207" spans="2:58" x14ac:dyDescent="0.55000000000000004">
      <c r="B207" s="71" t="s">
        <v>2468</v>
      </c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69">
        <f>S205/S160</f>
        <v>0.77433197540486653</v>
      </c>
      <c r="T207" s="69">
        <f t="shared" ref="T207:Y207" si="126">T205/T160</f>
        <v>0.81483930696997753</v>
      </c>
      <c r="U207" s="69">
        <f t="shared" si="126"/>
        <v>0.83809622126996497</v>
      </c>
      <c r="V207" s="69">
        <f t="shared" si="126"/>
        <v>0.85792278694917457</v>
      </c>
      <c r="W207" s="69">
        <f t="shared" si="126"/>
        <v>0.86993844412950505</v>
      </c>
      <c r="X207" s="69">
        <f t="shared" si="126"/>
        <v>0.88</v>
      </c>
      <c r="Y207" s="69">
        <f t="shared" si="126"/>
        <v>0.9178082191780822</v>
      </c>
      <c r="Z207" s="69">
        <f>Z205/Z160</f>
        <v>0.91549295774647887</v>
      </c>
      <c r="AA207" s="69">
        <f>AA205/AA160</f>
        <v>0.91304347826086951</v>
      </c>
      <c r="AB207" s="69">
        <f>AB205/AB160</f>
        <v>0.91176470588235292</v>
      </c>
      <c r="AC207" s="69">
        <f ca="1">AC205/AC160</f>
        <v>0.92537313432835822</v>
      </c>
      <c r="AD207" s="69">
        <f>AD205/AD160</f>
        <v>0.93846153846153846</v>
      </c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</row>
    <row r="208" spans="2:58" x14ac:dyDescent="0.55000000000000004">
      <c r="B208" s="71" t="s">
        <v>884</v>
      </c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69">
        <f t="shared" ref="N208:W208" si="127">N204/N203</f>
        <v>0.14814814814814814</v>
      </c>
      <c r="O208" s="69">
        <f t="shared" si="127"/>
        <v>0.15348294342052307</v>
      </c>
      <c r="P208" s="69">
        <f t="shared" si="127"/>
        <v>0.23866778223466778</v>
      </c>
      <c r="Q208" s="69">
        <f t="shared" si="127"/>
        <v>0.32259691784867811</v>
      </c>
      <c r="R208" s="69">
        <f t="shared" si="127"/>
        <v>0.34572595310613796</v>
      </c>
      <c r="S208" s="69">
        <f t="shared" si="127"/>
        <v>0.3779946351242755</v>
      </c>
      <c r="T208" s="69">
        <f t="shared" si="127"/>
        <v>0.45206332266097476</v>
      </c>
      <c r="U208" s="69">
        <f t="shared" si="127"/>
        <v>0.47196441135564099</v>
      </c>
      <c r="V208" s="69">
        <f t="shared" si="127"/>
        <v>0.49618320610687022</v>
      </c>
      <c r="W208" s="69">
        <f t="shared" si="127"/>
        <v>0.53146853146853146</v>
      </c>
      <c r="X208" s="69">
        <f t="shared" ref="X208:AC208" si="128">X204/X203</f>
        <v>0.5629139072847682</v>
      </c>
      <c r="Y208" s="69">
        <f t="shared" si="128"/>
        <v>0.57594936708860756</v>
      </c>
      <c r="Z208" s="69">
        <f t="shared" si="128"/>
        <v>0.59876543209876543</v>
      </c>
      <c r="AA208" s="69">
        <f t="shared" si="128"/>
        <v>0.61349693251533743</v>
      </c>
      <c r="AB208" s="69">
        <f t="shared" si="128"/>
        <v>0.62195121951219512</v>
      </c>
      <c r="AC208" s="69">
        <f t="shared" ca="1" si="128"/>
        <v>0.63095238095238093</v>
      </c>
      <c r="AD208" s="69">
        <f>AD204/AD203</f>
        <v>0.63690476190476186</v>
      </c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</row>
    <row r="209" spans="2:58" x14ac:dyDescent="0.55000000000000004">
      <c r="B209" s="71" t="s">
        <v>930</v>
      </c>
      <c r="C209" s="72"/>
      <c r="D209" s="72"/>
      <c r="E209" s="72"/>
      <c r="F209" s="72"/>
      <c r="G209" s="72"/>
      <c r="H209" s="72"/>
      <c r="I209" s="72"/>
      <c r="J209" s="72"/>
      <c r="K209" s="69">
        <f t="shared" ref="K209:AC209" si="129">K7/K159</f>
        <v>1.7634264649665433E-2</v>
      </c>
      <c r="L209" s="69">
        <f t="shared" si="129"/>
        <v>1.8584032189669232E-2</v>
      </c>
      <c r="M209" s="69">
        <f t="shared" si="129"/>
        <v>1.8306792684500993E-2</v>
      </c>
      <c r="N209" s="69">
        <f t="shared" si="129"/>
        <v>1.648627682287895E-2</v>
      </c>
      <c r="O209" s="69">
        <f t="shared" si="129"/>
        <v>1.7761111724545718E-2</v>
      </c>
      <c r="P209" s="69">
        <f t="shared" si="129"/>
        <v>1.5413850809899524E-2</v>
      </c>
      <c r="Q209" s="69">
        <f t="shared" si="129"/>
        <v>1.2143115884681286E-2</v>
      </c>
      <c r="R209" s="69">
        <f t="shared" si="129"/>
        <v>1.1064365709082896E-2</v>
      </c>
      <c r="S209" s="69">
        <f t="shared" si="129"/>
        <v>1.3140000000000001E-2</v>
      </c>
      <c r="T209" s="69">
        <f t="shared" si="129"/>
        <v>1.3962900505902192E-2</v>
      </c>
      <c r="U209" s="69">
        <f t="shared" si="129"/>
        <v>1.40374251497006E-2</v>
      </c>
      <c r="V209" s="69">
        <f t="shared" si="129"/>
        <v>1.4361216730038021E-2</v>
      </c>
      <c r="W209" s="69">
        <f t="shared" si="129"/>
        <v>1.66167290886392E-2</v>
      </c>
      <c r="X209" s="69">
        <f t="shared" si="129"/>
        <v>1.8050470852017938E-2</v>
      </c>
      <c r="Y209" s="69">
        <f t="shared" si="129"/>
        <v>1.8792912513842748E-2</v>
      </c>
      <c r="Z209" s="69">
        <f t="shared" si="129"/>
        <v>1.7126193001060445E-2</v>
      </c>
      <c r="AA209" s="69">
        <f t="shared" si="129"/>
        <v>1.7412031782065834E-2</v>
      </c>
      <c r="AB209" s="69">
        <f t="shared" si="129"/>
        <v>1.7206040992448761E-2</v>
      </c>
      <c r="AC209" s="69">
        <f t="shared" si="129"/>
        <v>1.693777795584759E-2</v>
      </c>
      <c r="AD209" s="69">
        <f>AD7/AD159</f>
        <v>1.6078947368421054E-2</v>
      </c>
      <c r="AE209" s="69"/>
      <c r="AF209" s="69"/>
      <c r="AG209" s="69"/>
      <c r="AH209" s="69"/>
      <c r="AI209" s="69"/>
      <c r="AJ209" s="69"/>
      <c r="AK209" s="69"/>
      <c r="AL209" s="69"/>
      <c r="AM209" s="69"/>
      <c r="AN209" s="72"/>
    </row>
    <row r="210" spans="2:58" x14ac:dyDescent="0.55000000000000004">
      <c r="B210" s="71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19" t="str">
        <f t="shared" ref="AO210:AW210" si="130">AO158</f>
        <v>3Q19</v>
      </c>
      <c r="AP210" s="19" t="str">
        <f t="shared" si="130"/>
        <v>4Q19</v>
      </c>
      <c r="AQ210" s="19" t="str">
        <f t="shared" si="130"/>
        <v>1Q20</v>
      </c>
      <c r="AR210" s="19" t="str">
        <f t="shared" si="130"/>
        <v>2Q20</v>
      </c>
      <c r="AS210" s="19" t="str">
        <f t="shared" si="130"/>
        <v>3Q20</v>
      </c>
      <c r="AT210" s="19" t="str">
        <f t="shared" si="130"/>
        <v>4Q 20</v>
      </c>
      <c r="AU210" s="19" t="str">
        <f t="shared" si="130"/>
        <v>1Q 21</v>
      </c>
      <c r="AV210" s="19" t="str">
        <f t="shared" si="130"/>
        <v>2Q 21</v>
      </c>
      <c r="AW210" s="19" t="str">
        <f t="shared" si="130"/>
        <v>3Q 21</v>
      </c>
      <c r="AX210" s="19"/>
      <c r="AY210" s="311"/>
      <c r="AZ210" s="311"/>
      <c r="BA210" s="311"/>
      <c r="BB210" s="311"/>
      <c r="BC210" s="311"/>
      <c r="BD210" s="311"/>
      <c r="BE210" s="311"/>
      <c r="BF210" s="311"/>
    </row>
    <row r="211" spans="2:58" x14ac:dyDescent="0.55000000000000004">
      <c r="B211" s="71" t="s">
        <v>275</v>
      </c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>
        <f>M159-M212</f>
        <v>29383.746622389997</v>
      </c>
      <c r="N211" s="72">
        <f>N159-N212</f>
        <v>34271.467945139993</v>
      </c>
      <c r="O211" s="72">
        <f>O159-O212</f>
        <v>31657.257480282038</v>
      </c>
      <c r="P211" s="72">
        <f>P159-P212</f>
        <v>29794.425458241061</v>
      </c>
      <c r="Q211" s="72">
        <f>(1+AS211)*M159</f>
        <v>42312.595136241594</v>
      </c>
      <c r="R211" s="72">
        <f>(1+AT211)*N159</f>
        <v>53463.489994418393</v>
      </c>
      <c r="S211" s="72">
        <f>(1+AU211)*O159</f>
        <v>49986.809561365335</v>
      </c>
      <c r="T211" s="72">
        <f t="shared" ref="T211:AA211" si="131">T159-T212</f>
        <v>56335</v>
      </c>
      <c r="U211" s="72">
        <f t="shared" si="131"/>
        <v>66800</v>
      </c>
      <c r="V211" s="72">
        <f t="shared" si="131"/>
        <v>78900</v>
      </c>
      <c r="W211" s="72">
        <f t="shared" si="131"/>
        <v>80100</v>
      </c>
      <c r="X211" s="72">
        <f t="shared" si="131"/>
        <v>89200</v>
      </c>
      <c r="Y211" s="72">
        <f t="shared" si="131"/>
        <v>90300</v>
      </c>
      <c r="Z211" s="72">
        <f t="shared" si="131"/>
        <v>94300</v>
      </c>
      <c r="AA211" s="72">
        <f t="shared" si="131"/>
        <v>88100</v>
      </c>
      <c r="AB211" s="72">
        <f>AB159-AB212</f>
        <v>92700</v>
      </c>
      <c r="AC211" s="72">
        <f>AC159-AC212</f>
        <v>99836</v>
      </c>
      <c r="AD211" s="72">
        <f>AD159-AD212</f>
        <v>114000</v>
      </c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41">
        <f>AO159</f>
        <v>0.45013572473382957</v>
      </c>
      <c r="AP211" s="41">
        <f>AP159</f>
        <v>0.39038776643121786</v>
      </c>
      <c r="AQ211" s="41">
        <f>AQ159</f>
        <v>0.296741494091602</v>
      </c>
      <c r="AR211" s="41">
        <f>AR159</f>
        <v>0.11370931592021116</v>
      </c>
      <c r="AS211" s="41">
        <v>0.44</v>
      </c>
      <c r="AT211" s="41">
        <v>0.56000000000000005</v>
      </c>
      <c r="AU211" s="41">
        <v>0.57899999999999996</v>
      </c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</row>
    <row r="212" spans="2:58" x14ac:dyDescent="0.55000000000000004">
      <c r="B212" s="71" t="s">
        <v>276</v>
      </c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>
        <v>0</v>
      </c>
      <c r="N212" s="72">
        <v>0</v>
      </c>
      <c r="O212" s="72">
        <v>0</v>
      </c>
      <c r="P212" s="72">
        <v>0</v>
      </c>
      <c r="Q212" s="72">
        <f>Q159-Q211</f>
        <v>2548.6690601428709</v>
      </c>
      <c r="R212" s="72">
        <f>R159-R211</f>
        <v>1767.8731101416197</v>
      </c>
      <c r="S212" s="72">
        <f>S159-S211</f>
        <v>13.190438634665043</v>
      </c>
      <c r="T212" s="72">
        <v>0</v>
      </c>
      <c r="U212" s="72">
        <v>0</v>
      </c>
      <c r="V212" s="72">
        <v>0</v>
      </c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</row>
    <row r="213" spans="2:58" x14ac:dyDescent="0.55000000000000004">
      <c r="B213" s="71" t="s">
        <v>842</v>
      </c>
      <c r="C213" s="72"/>
      <c r="D213" s="72">
        <f t="shared" ref="D213:Q213" si="132">D160-C160</f>
        <v>391.75199999999973</v>
      </c>
      <c r="E213" s="72">
        <f t="shared" si="132"/>
        <v>379.02200000000039</v>
      </c>
      <c r="F213" s="72">
        <f t="shared" si="132"/>
        <v>335.84899999999971</v>
      </c>
      <c r="G213" s="72">
        <f t="shared" si="132"/>
        <v>295.74200000000019</v>
      </c>
      <c r="H213" s="72">
        <f t="shared" si="132"/>
        <v>416.61699999999973</v>
      </c>
      <c r="I213" s="72">
        <f t="shared" si="132"/>
        <v>323.48300000000017</v>
      </c>
      <c r="J213" s="72">
        <f t="shared" si="132"/>
        <v>308.47299999999996</v>
      </c>
      <c r="K213" s="72">
        <f t="shared" si="132"/>
        <v>283.16200000000026</v>
      </c>
      <c r="L213" s="72">
        <f t="shared" si="132"/>
        <v>295.58799999999974</v>
      </c>
      <c r="M213" s="72">
        <f t="shared" si="132"/>
        <v>304.69100000000071</v>
      </c>
      <c r="N213" s="72">
        <f t="shared" si="132"/>
        <v>249.61399999999958</v>
      </c>
      <c r="O213" s="72">
        <f t="shared" si="132"/>
        <v>227.47700000000077</v>
      </c>
      <c r="P213" s="72">
        <f t="shared" si="132"/>
        <v>298.99199999999837</v>
      </c>
      <c r="Q213" s="72">
        <f t="shared" si="132"/>
        <v>473.95000000000073</v>
      </c>
      <c r="R213" s="72">
        <v>765</v>
      </c>
      <c r="S213" s="72">
        <v>301</v>
      </c>
      <c r="T213" s="72">
        <f t="shared" ref="T213:AD213" si="133">T160-S160</f>
        <v>226.05299999999988</v>
      </c>
      <c r="U213" s="72">
        <f t="shared" si="133"/>
        <v>140</v>
      </c>
      <c r="V213" s="72">
        <f t="shared" si="133"/>
        <v>-8</v>
      </c>
      <c r="W213" s="72">
        <f t="shared" si="133"/>
        <v>8.6943500000006679</v>
      </c>
      <c r="X213" s="72">
        <f t="shared" si="133"/>
        <v>-201.69435000000067</v>
      </c>
      <c r="Y213" s="72">
        <f t="shared" si="133"/>
        <v>-200</v>
      </c>
      <c r="Z213" s="72">
        <f t="shared" si="133"/>
        <v>-200</v>
      </c>
      <c r="AA213" s="72">
        <f t="shared" si="133"/>
        <v>-200</v>
      </c>
      <c r="AB213" s="72">
        <f t="shared" si="133"/>
        <v>-100</v>
      </c>
      <c r="AC213" s="72">
        <f t="shared" si="133"/>
        <v>-100</v>
      </c>
      <c r="AD213" s="72">
        <f t="shared" si="133"/>
        <v>-200</v>
      </c>
      <c r="AE213" s="105">
        <v>25</v>
      </c>
      <c r="AF213" s="105">
        <v>25</v>
      </c>
      <c r="AG213" s="105">
        <v>25</v>
      </c>
      <c r="AH213" s="72">
        <f>AH160-AG160</f>
        <v>25</v>
      </c>
      <c r="AI213" s="72"/>
      <c r="AJ213" s="72"/>
      <c r="AK213" s="72"/>
      <c r="AL213" s="72"/>
      <c r="AM213" s="72"/>
      <c r="AN213" s="72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</row>
    <row r="214" spans="2:58" x14ac:dyDescent="0.55000000000000004">
      <c r="B214" s="71" t="s">
        <v>879</v>
      </c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>
        <f>M213-M215</f>
        <v>304.69100000000071</v>
      </c>
      <c r="N214" s="72">
        <f>N213-N215</f>
        <v>249.61399999999958</v>
      </c>
      <c r="O214" s="72">
        <f>O213-O215</f>
        <v>227.47700000000077</v>
      </c>
      <c r="P214" s="72">
        <f>P213-P215</f>
        <v>298.99199999999837</v>
      </c>
      <c r="Q214" s="72">
        <f>Q213-Q215</f>
        <v>473.95000000000073</v>
      </c>
      <c r="R214" s="72">
        <v>303</v>
      </c>
      <c r="S214" s="72">
        <f>S213-S215</f>
        <v>301</v>
      </c>
      <c r="T214" s="72">
        <f>T213-T215</f>
        <v>226.05299999999988</v>
      </c>
      <c r="U214" s="72">
        <f>U213-U215</f>
        <v>140</v>
      </c>
      <c r="V214" s="72">
        <v>130</v>
      </c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</row>
    <row r="215" spans="2:58" x14ac:dyDescent="0.55000000000000004">
      <c r="B215" s="71" t="s">
        <v>880</v>
      </c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>
        <v>0</v>
      </c>
      <c r="N215" s="72">
        <v>0</v>
      </c>
      <c r="O215" s="72">
        <v>0</v>
      </c>
      <c r="P215" s="72">
        <v>0</v>
      </c>
      <c r="Q215" s="72">
        <v>0</v>
      </c>
      <c r="R215" s="72">
        <f>R213-R214</f>
        <v>462</v>
      </c>
      <c r="S215" s="72">
        <v>0</v>
      </c>
      <c r="T215" s="72">
        <v>0</v>
      </c>
      <c r="U215" s="72">
        <v>0</v>
      </c>
      <c r="V215" s="72">
        <v>0</v>
      </c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</row>
    <row r="216" spans="2:58" x14ac:dyDescent="0.55000000000000004">
      <c r="B216" s="63" t="s">
        <v>277</v>
      </c>
      <c r="C216" s="73"/>
      <c r="D216" s="73"/>
      <c r="E216" s="73"/>
      <c r="F216" s="73"/>
      <c r="G216" s="73"/>
      <c r="H216" s="73"/>
      <c r="I216" s="73"/>
      <c r="J216" s="73"/>
      <c r="K216" s="73"/>
      <c r="L216" s="73">
        <f t="shared" ref="L216:AD216" si="134">L203-K203</f>
        <v>1400</v>
      </c>
      <c r="M216" s="73">
        <f t="shared" si="134"/>
        <v>432</v>
      </c>
      <c r="N216" s="73">
        <f t="shared" si="134"/>
        <v>868</v>
      </c>
      <c r="O216" s="73">
        <f t="shared" si="134"/>
        <v>1049.2570000000001</v>
      </c>
      <c r="P216" s="73">
        <f t="shared" si="134"/>
        <v>1164.2339999999999</v>
      </c>
      <c r="Q216" s="73">
        <f t="shared" si="134"/>
        <v>1765.0259999999998</v>
      </c>
      <c r="R216" s="73">
        <f t="shared" si="134"/>
        <v>1186.1370000000006</v>
      </c>
      <c r="S216" s="73">
        <f t="shared" si="134"/>
        <v>1266.5919999999987</v>
      </c>
      <c r="T216" s="73">
        <f t="shared" si="134"/>
        <v>2112.7540000000008</v>
      </c>
      <c r="U216" s="73">
        <f t="shared" si="134"/>
        <v>979</v>
      </c>
      <c r="V216" s="73">
        <f t="shared" si="134"/>
        <v>877</v>
      </c>
      <c r="W216" s="73">
        <f t="shared" si="134"/>
        <v>1200</v>
      </c>
      <c r="X216" s="73">
        <f t="shared" si="134"/>
        <v>800</v>
      </c>
      <c r="Y216" s="73">
        <f t="shared" si="134"/>
        <v>700</v>
      </c>
      <c r="Z216" s="73">
        <f t="shared" si="134"/>
        <v>400</v>
      </c>
      <c r="AA216" s="73">
        <f t="shared" si="134"/>
        <v>100</v>
      </c>
      <c r="AB216" s="73">
        <f t="shared" si="134"/>
        <v>100</v>
      </c>
      <c r="AC216" s="73">
        <f t="shared" ca="1" si="134"/>
        <v>400</v>
      </c>
      <c r="AD216" s="73">
        <f t="shared" ca="1" si="134"/>
        <v>0</v>
      </c>
      <c r="AE216" s="90">
        <v>200</v>
      </c>
      <c r="AF216" s="90">
        <v>200</v>
      </c>
      <c r="AG216" s="90">
        <v>200</v>
      </c>
      <c r="AH216" s="73">
        <f>AH203-AG203</f>
        <v>400</v>
      </c>
      <c r="AI216" s="90">
        <v>125</v>
      </c>
      <c r="AJ216" s="90">
        <v>125</v>
      </c>
      <c r="AK216" s="90">
        <v>125</v>
      </c>
      <c r="AL216" s="73">
        <f>AL203-AK203</f>
        <v>125</v>
      </c>
      <c r="AM216" s="73"/>
      <c r="AN216" s="72"/>
    </row>
    <row r="217" spans="2:58" x14ac:dyDescent="0.55000000000000004">
      <c r="B217" s="71" t="s">
        <v>532</v>
      </c>
      <c r="C217" s="72"/>
      <c r="D217" s="72"/>
      <c r="E217" s="72"/>
      <c r="F217" s="72"/>
      <c r="G217" s="72"/>
      <c r="H217" s="72"/>
      <c r="I217" s="72"/>
      <c r="J217" s="72"/>
      <c r="K217" s="72"/>
      <c r="L217" s="72">
        <f t="shared" ref="L217:AD217" si="135">L167*1000/3/AVERAGE(K203,L203)</f>
        <v>1882.530665404762</v>
      </c>
      <c r="M217" s="72">
        <f t="shared" si="135"/>
        <v>1151.1711009261551</v>
      </c>
      <c r="N217" s="72">
        <f t="shared" si="135"/>
        <v>1166.4823486363634</v>
      </c>
      <c r="O217" s="72">
        <f t="shared" si="135"/>
        <v>903.66602643787758</v>
      </c>
      <c r="P217" s="72">
        <f t="shared" si="135"/>
        <v>816.44371092714107</v>
      </c>
      <c r="Q217" s="72">
        <f t="shared" si="135"/>
        <v>1321.4929157703591</v>
      </c>
      <c r="R217" s="72">
        <f t="shared" si="135"/>
        <v>1295.5648143356541</v>
      </c>
      <c r="S217" s="72">
        <f t="shared" si="135"/>
        <v>1231.669598746364</v>
      </c>
      <c r="T217" s="72">
        <f t="shared" si="135"/>
        <v>1474.5016248310981</v>
      </c>
      <c r="U217" s="72">
        <f t="shared" si="135"/>
        <v>1653.3856053181062</v>
      </c>
      <c r="V217" s="72">
        <f t="shared" si="135"/>
        <v>1792.8365517513723</v>
      </c>
      <c r="W217" s="72">
        <f t="shared" si="135"/>
        <v>1754.257907542579</v>
      </c>
      <c r="X217" s="72">
        <f t="shared" si="135"/>
        <v>1938.7755102040817</v>
      </c>
      <c r="Y217" s="72">
        <f t="shared" si="135"/>
        <v>2267.5296655879183</v>
      </c>
      <c r="Z217" s="72">
        <f t="shared" si="135"/>
        <v>2391.6666666666665</v>
      </c>
      <c r="AA217" s="72">
        <f t="shared" si="135"/>
        <v>2379.4871794871792</v>
      </c>
      <c r="AB217" s="72">
        <f t="shared" si="135"/>
        <v>2603.4658511722732</v>
      </c>
      <c r="AC217" s="72">
        <f t="shared" ca="1" si="135"/>
        <v>2888.6546184738954</v>
      </c>
      <c r="AD217" s="72">
        <f t="shared" ca="1" si="135"/>
        <v>3305.5555555555557</v>
      </c>
      <c r="AE217" s="72">
        <f t="shared" ref="AE217:AL217" si="136">AE167*1000/3/AE203</f>
        <v>2941.1764705882351</v>
      </c>
      <c r="AF217" s="72">
        <f t="shared" si="136"/>
        <v>3100.7751937984499</v>
      </c>
      <c r="AG217" s="72">
        <f t="shared" si="136"/>
        <v>3256.7049808429119</v>
      </c>
      <c r="AH217" s="72">
        <f t="shared" si="136"/>
        <v>2321.93380167134</v>
      </c>
      <c r="AI217" s="72">
        <f t="shared" si="136"/>
        <v>0</v>
      </c>
      <c r="AJ217" s="72">
        <f t="shared" si="136"/>
        <v>0</v>
      </c>
      <c r="AK217" s="72">
        <f t="shared" si="136"/>
        <v>0</v>
      </c>
      <c r="AL217" s="72">
        <f t="shared" si="136"/>
        <v>0</v>
      </c>
      <c r="AM217" s="72"/>
      <c r="AN217" s="72"/>
    </row>
    <row r="219" spans="2:58" x14ac:dyDescent="0.55000000000000004">
      <c r="B219" s="71" t="s">
        <v>680</v>
      </c>
      <c r="L219" s="72">
        <f>P219/(1+AR219)</f>
        <v>2034.8837209302326</v>
      </c>
      <c r="M219" s="72">
        <f>Q219/(1+AS219)</f>
        <v>2232.9136025349735</v>
      </c>
      <c r="N219">
        <v>2500</v>
      </c>
      <c r="O219">
        <v>3000</v>
      </c>
      <c r="P219">
        <v>3500</v>
      </c>
      <c r="Q219" s="72">
        <f>0.11*Q159</f>
        <v>4934.7390616022913</v>
      </c>
      <c r="R219" s="72">
        <f>N219*2.47</f>
        <v>6175.0000000000009</v>
      </c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R219" s="2">
        <v>0.72</v>
      </c>
      <c r="AS219" s="2">
        <v>1.21</v>
      </c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</row>
    <row r="220" spans="2:58" x14ac:dyDescent="0.55000000000000004">
      <c r="B220" s="71" t="s">
        <v>681</v>
      </c>
      <c r="L220" s="72">
        <f t="shared" ref="L220:R220" si="137">L159-L219</f>
        <v>24717.541739050033</v>
      </c>
      <c r="M220" s="72">
        <f t="shared" si="137"/>
        <v>27150.833019855025</v>
      </c>
      <c r="N220" s="72">
        <f t="shared" si="137"/>
        <v>31771.467945139993</v>
      </c>
      <c r="O220" s="72">
        <f t="shared" si="137"/>
        <v>28657.257480282038</v>
      </c>
      <c r="P220" s="72">
        <f t="shared" si="137"/>
        <v>26294.425458241061</v>
      </c>
      <c r="Q220" s="72">
        <f t="shared" si="137"/>
        <v>39926.525134782176</v>
      </c>
      <c r="R220" s="72">
        <f t="shared" si="137"/>
        <v>49056.363104560012</v>
      </c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</row>
    <row r="222" spans="2:58" x14ac:dyDescent="0.55000000000000004">
      <c r="B222" s="541" t="s">
        <v>585</v>
      </c>
      <c r="C222" s="542"/>
      <c r="D222" s="542"/>
      <c r="E222" s="542"/>
      <c r="F222" s="542"/>
      <c r="G222" s="542"/>
      <c r="H222" s="542"/>
      <c r="I222" s="542"/>
      <c r="J222" s="542"/>
      <c r="K222" s="542"/>
      <c r="L222" s="542"/>
      <c r="M222" s="542"/>
      <c r="N222" s="542"/>
      <c r="O222" s="543" t="str">
        <f t="shared" ref="O222:AH222" si="138">O4</f>
        <v>1Q 20</v>
      </c>
      <c r="P222" s="543" t="str">
        <f t="shared" si="138"/>
        <v>2Q 20</v>
      </c>
      <c r="Q222" s="543" t="str">
        <f t="shared" si="138"/>
        <v>3Q 20</v>
      </c>
      <c r="R222" s="543" t="str">
        <f t="shared" si="138"/>
        <v>4Q 20</v>
      </c>
      <c r="S222" s="543" t="str">
        <f t="shared" si="138"/>
        <v>1Q 21</v>
      </c>
      <c r="T222" s="543" t="str">
        <f t="shared" si="138"/>
        <v>2Q 21</v>
      </c>
      <c r="U222" s="543" t="str">
        <f t="shared" si="138"/>
        <v>3Q 21</v>
      </c>
      <c r="V222" s="543" t="str">
        <f t="shared" si="138"/>
        <v>4Q 21</v>
      </c>
      <c r="W222" s="543" t="str">
        <f t="shared" si="138"/>
        <v>1Q 22</v>
      </c>
      <c r="X222" s="543" t="str">
        <f t="shared" si="138"/>
        <v>2Q 22</v>
      </c>
      <c r="Y222" s="543" t="str">
        <f t="shared" si="138"/>
        <v>3Q 22</v>
      </c>
      <c r="Z222" s="543" t="str">
        <f t="shared" si="138"/>
        <v>4Q 22</v>
      </c>
      <c r="AA222" s="543" t="str">
        <f t="shared" si="138"/>
        <v>1Q 23</v>
      </c>
      <c r="AB222" s="543" t="str">
        <f t="shared" si="138"/>
        <v>2Q 23</v>
      </c>
      <c r="AC222" s="543" t="str">
        <f t="shared" si="138"/>
        <v>3Q 23</v>
      </c>
      <c r="AD222" s="543" t="str">
        <f t="shared" si="138"/>
        <v>4Q 23</v>
      </c>
      <c r="AE222" s="543" t="str">
        <f t="shared" si="138"/>
        <v>1Q 24E</v>
      </c>
      <c r="AF222" s="543" t="str">
        <f t="shared" si="138"/>
        <v>2Q 24E</v>
      </c>
      <c r="AG222" s="543" t="str">
        <f t="shared" si="138"/>
        <v>3Q 24E</v>
      </c>
      <c r="AH222" s="543" t="str">
        <f t="shared" si="138"/>
        <v>4Q 24E</v>
      </c>
      <c r="AI222" s="544" t="s">
        <v>2547</v>
      </c>
      <c r="AJ222" s="544" t="s">
        <v>2548</v>
      </c>
      <c r="AK222" s="544" t="s">
        <v>2549</v>
      </c>
      <c r="AL222" s="544" t="s">
        <v>2550</v>
      </c>
      <c r="AM222" s="311"/>
    </row>
    <row r="223" spans="2:58" x14ac:dyDescent="0.55000000000000004">
      <c r="B223" s="434"/>
      <c r="O223" s="435"/>
      <c r="P223" s="435"/>
      <c r="Q223" s="435"/>
      <c r="R223" s="435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4"/>
      <c r="AF223" s="4"/>
      <c r="AG223" s="4"/>
      <c r="AH223" s="4"/>
      <c r="AI223" s="4"/>
      <c r="AJ223" s="4"/>
      <c r="AK223" s="4"/>
      <c r="AL223" s="4"/>
      <c r="AM223" s="4"/>
    </row>
    <row r="224" spans="2:58" hidden="1" outlineLevel="1" x14ac:dyDescent="0.55000000000000004">
      <c r="B224" t="s">
        <v>2551</v>
      </c>
      <c r="O224" s="72">
        <v>117</v>
      </c>
      <c r="P224" s="72">
        <v>79.745963226576436</v>
      </c>
      <c r="Q224" s="72">
        <v>133.2983913184859</v>
      </c>
      <c r="R224" s="72">
        <v>209.92625378185664</v>
      </c>
      <c r="S224" s="72">
        <v>149.06321406625102</v>
      </c>
      <c r="T224" s="72">
        <v>182.13262709547624</v>
      </c>
      <c r="U224" s="72">
        <v>238.78286099466939</v>
      </c>
      <c r="V224" s="72">
        <v>276.45747794944526</v>
      </c>
      <c r="W224" s="72">
        <f>V224/V232*W232</f>
        <v>298.00991185460919</v>
      </c>
      <c r="X224" s="72">
        <f t="shared" ref="X224:AH224" si="139">W224/W232*X232</f>
        <v>308.04318378415303</v>
      </c>
      <c r="Y224" s="72">
        <f t="shared" si="139"/>
        <v>336.72103995762285</v>
      </c>
      <c r="Z224" s="72">
        <f t="shared" si="139"/>
        <v>324.20057634547084</v>
      </c>
      <c r="AA224" s="72"/>
      <c r="AB224" s="72"/>
      <c r="AC224" s="72"/>
      <c r="AD224" s="72"/>
      <c r="AE224" s="72">
        <f>AD224/AD232*AE232</f>
        <v>0</v>
      </c>
      <c r="AF224" s="72">
        <f t="shared" si="139"/>
        <v>0</v>
      </c>
      <c r="AG224" s="72">
        <f t="shared" ca="1" si="139"/>
        <v>0</v>
      </c>
      <c r="AH224" s="72">
        <f t="shared" ca="1" si="139"/>
        <v>0</v>
      </c>
      <c r="AI224" s="4"/>
      <c r="AJ224" s="4"/>
      <c r="AK224" s="4"/>
      <c r="AL224" s="4"/>
      <c r="AM224" s="4"/>
    </row>
    <row r="225" spans="2:39" hidden="1" outlineLevel="1" x14ac:dyDescent="0.55000000000000004">
      <c r="B225" t="s">
        <v>1770</v>
      </c>
      <c r="O225" s="72">
        <v>-54.024600192459005</v>
      </c>
      <c r="P225" s="72">
        <v>-77.626836840547668</v>
      </c>
      <c r="Q225" s="72">
        <v>-81.958553309764667</v>
      </c>
      <c r="R225" s="72">
        <v>13.8</v>
      </c>
      <c r="S225" s="72">
        <v>-78.201833381602569</v>
      </c>
      <c r="T225" s="72">
        <v>-100.20731539947811</v>
      </c>
      <c r="U225" s="72">
        <v>-76.094883421998802</v>
      </c>
      <c r="V225" s="72">
        <v>-124.69824079169814</v>
      </c>
      <c r="W225" s="72"/>
      <c r="X225" s="72"/>
      <c r="Y225" s="72"/>
      <c r="Z225" s="72"/>
      <c r="AA225" s="72"/>
      <c r="AB225" s="72"/>
      <c r="AC225" s="72"/>
      <c r="AD225" s="72"/>
    </row>
    <row r="226" spans="2:39" hidden="1" outlineLevel="1" x14ac:dyDescent="0.55000000000000004"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</row>
    <row r="227" spans="2:39" hidden="1" outlineLevel="1" x14ac:dyDescent="0.55000000000000004">
      <c r="B227" t="s">
        <v>1771</v>
      </c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</row>
    <row r="228" spans="2:39" hidden="1" outlineLevel="1" x14ac:dyDescent="0.55000000000000004">
      <c r="B228" t="s">
        <v>1769</v>
      </c>
      <c r="O228" s="72">
        <v>151.78320527152644</v>
      </c>
      <c r="P228" s="72">
        <v>79.984645482739992</v>
      </c>
      <c r="Q228" s="72">
        <v>138.71582082028863</v>
      </c>
      <c r="R228" s="72">
        <v>169.536576534994</v>
      </c>
      <c r="S228" s="72">
        <v>149.06321406625102</v>
      </c>
      <c r="T228" s="72">
        <v>182.13262709547624</v>
      </c>
      <c r="U228" s="72">
        <v>238.78286099466939</v>
      </c>
      <c r="V228" s="72">
        <v>276.45747794944526</v>
      </c>
      <c r="W228" s="72"/>
      <c r="X228" s="72"/>
      <c r="Y228" s="72"/>
      <c r="Z228" s="72"/>
      <c r="AA228" s="72"/>
      <c r="AB228" s="72"/>
      <c r="AC228" s="72"/>
      <c r="AD228" s="72"/>
    </row>
    <row r="229" spans="2:39" hidden="1" outlineLevel="1" x14ac:dyDescent="0.55000000000000004">
      <c r="B229" t="s">
        <v>1770</v>
      </c>
      <c r="O229" s="72">
        <v>-19.24139492093256</v>
      </c>
      <c r="P229" s="72">
        <v>-77.388154584384125</v>
      </c>
      <c r="Q229" s="72">
        <v>-76.541123807961938</v>
      </c>
      <c r="R229" s="72">
        <v>-26.648281831401203</v>
      </c>
      <c r="S229" s="72">
        <v>-78.201833381602569</v>
      </c>
      <c r="T229" s="72">
        <v>-100.20731539947811</v>
      </c>
      <c r="U229" s="72">
        <v>-76.094883421998802</v>
      </c>
      <c r="V229" s="72">
        <v>-124.69824079169814</v>
      </c>
      <c r="W229" s="72"/>
      <c r="X229" s="72"/>
      <c r="Y229" s="72"/>
      <c r="Z229" s="72"/>
      <c r="AA229" s="72"/>
      <c r="AB229" s="72"/>
      <c r="AC229" s="72"/>
      <c r="AD229" s="72"/>
    </row>
    <row r="230" spans="2:39" hidden="1" outlineLevel="1" x14ac:dyDescent="0.55000000000000004">
      <c r="O230" s="72"/>
      <c r="P230" s="72"/>
      <c r="Q230" s="72"/>
      <c r="R230" s="72"/>
      <c r="S230" s="72"/>
      <c r="T230" s="72"/>
      <c r="U230" s="72"/>
      <c r="V230" s="163"/>
      <c r="W230" s="163"/>
      <c r="X230" s="163"/>
      <c r="Y230" s="163"/>
      <c r="Z230" s="163"/>
      <c r="AA230" s="163"/>
      <c r="AB230" s="163"/>
      <c r="AC230" s="163"/>
      <c r="AD230" s="163"/>
    </row>
    <row r="231" spans="2:39" hidden="1" outlineLevel="1" x14ac:dyDescent="0.55000000000000004">
      <c r="B231" t="s">
        <v>1772</v>
      </c>
      <c r="O231" s="72"/>
      <c r="P231" s="72"/>
      <c r="Q231" s="72"/>
      <c r="R231" s="72"/>
      <c r="S231" s="72"/>
      <c r="T231" s="72"/>
      <c r="U231" s="72"/>
      <c r="V231" s="72"/>
      <c r="W231" s="163"/>
      <c r="X231" s="163"/>
      <c r="Y231" s="163"/>
      <c r="Z231" s="163"/>
      <c r="AA231" s="163"/>
      <c r="AB231" s="163"/>
      <c r="AC231" s="163"/>
      <c r="AD231" s="163"/>
    </row>
    <row r="232" spans="2:39" collapsed="1" x14ac:dyDescent="0.55000000000000004">
      <c r="B232" s="287" t="s">
        <v>250</v>
      </c>
      <c r="C232" s="287"/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287"/>
      <c r="O232" s="539">
        <v>158.61419751244841</v>
      </c>
      <c r="P232" s="539">
        <v>84.888900714777151</v>
      </c>
      <c r="Q232" s="539">
        <v>144.36077130879934</v>
      </c>
      <c r="R232" s="539">
        <v>176.37086814193302</v>
      </c>
      <c r="S232" s="539">
        <v>156.11249543642109</v>
      </c>
      <c r="T232" s="539">
        <v>193.67563673077342</v>
      </c>
      <c r="U232" s="539">
        <v>258.61796397675482</v>
      </c>
      <c r="V232" s="539">
        <v>308.51423074707048</v>
      </c>
      <c r="W232" s="557">
        <v>332.56578694405874</v>
      </c>
      <c r="X232" s="557">
        <v>343.76247149091495</v>
      </c>
      <c r="Y232" s="557">
        <v>375.76568154136282</v>
      </c>
      <c r="Z232" s="557">
        <v>361.79340186728535</v>
      </c>
      <c r="AA232" s="557">
        <v>330.59726660021369</v>
      </c>
      <c r="AB232" s="557">
        <v>243</v>
      </c>
      <c r="AC232" s="557">
        <v>260</v>
      </c>
      <c r="AD232" s="557">
        <v>252.9</v>
      </c>
      <c r="AE232" s="539">
        <f>AE284+AE287+AE289</f>
        <v>262.46492909729415</v>
      </c>
      <c r="AF232" s="539">
        <f t="shared" ref="AF232:AL232" si="140">AF284+AF287+AF289</f>
        <v>251.91566798798803</v>
      </c>
      <c r="AG232" s="539">
        <f t="shared" ca="1" si="140"/>
        <v>265.27454917658292</v>
      </c>
      <c r="AH232" s="539">
        <f t="shared" ca="1" si="140"/>
        <v>293.62560983516482</v>
      </c>
      <c r="AI232" s="539">
        <f t="shared" si="140"/>
        <v>317.72904024698647</v>
      </c>
      <c r="AJ232" s="539">
        <f t="shared" si="140"/>
        <v>332.46367069934422</v>
      </c>
      <c r="AK232" s="539">
        <f t="shared" ca="1" si="140"/>
        <v>362.33538252843556</v>
      </c>
      <c r="AL232" s="539">
        <f t="shared" ca="1" si="140"/>
        <v>466.20144527574803</v>
      </c>
      <c r="AM232" s="4"/>
    </row>
    <row r="233" spans="2:39" x14ac:dyDescent="0.55000000000000004">
      <c r="B233" s="18" t="s">
        <v>2890</v>
      </c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73"/>
      <c r="P233" s="73"/>
      <c r="Q233" s="73"/>
      <c r="R233" s="73"/>
      <c r="S233" s="73"/>
      <c r="T233" s="73"/>
      <c r="U233" s="73"/>
      <c r="V233" s="73"/>
      <c r="W233" s="69">
        <f t="shared" ref="W233:AH233" si="141">W232/W9</f>
        <v>9.7042832490241829E-2</v>
      </c>
      <c r="X233" s="69">
        <f t="shared" si="141"/>
        <v>8.7906245474664982E-2</v>
      </c>
      <c r="Y233" s="69">
        <f t="shared" si="141"/>
        <v>9.3126562959445561E-2</v>
      </c>
      <c r="Z233" s="69">
        <f t="shared" si="141"/>
        <v>9.1315851051813571E-2</v>
      </c>
      <c r="AA233" s="69">
        <f t="shared" si="141"/>
        <v>8.8159271093390321E-2</v>
      </c>
      <c r="AB233" s="69">
        <f t="shared" si="141"/>
        <v>6.3512807109252487E-2</v>
      </c>
      <c r="AC233" s="69">
        <f t="shared" si="141"/>
        <v>6.4580228514654739E-2</v>
      </c>
      <c r="AD233" s="69">
        <f t="shared" si="141"/>
        <v>5.8178053830227741E-2</v>
      </c>
      <c r="AE233" s="69">
        <f t="shared" si="141"/>
        <v>6.5008403699731057E-2</v>
      </c>
      <c r="AF233" s="69">
        <f t="shared" si="141"/>
        <v>6.1150516552089522E-2</v>
      </c>
      <c r="AG233" s="69">
        <f t="shared" ca="1" si="141"/>
        <v>6.0424251554959438E-2</v>
      </c>
      <c r="AH233" s="69">
        <f t="shared" ca="1" si="141"/>
        <v>6.0086900433139162E-2</v>
      </c>
      <c r="AI233" s="69"/>
      <c r="AJ233" s="69"/>
      <c r="AK233" s="69"/>
      <c r="AL233" s="69"/>
      <c r="AM233" s="4"/>
    </row>
    <row r="234" spans="2:39" x14ac:dyDescent="0.55000000000000004">
      <c r="B234" t="s">
        <v>3226</v>
      </c>
      <c r="O234" s="72"/>
      <c r="P234" s="72"/>
      <c r="Q234" s="72"/>
      <c r="R234" s="72"/>
      <c r="S234" s="72"/>
      <c r="T234" s="72"/>
      <c r="U234" s="72"/>
      <c r="V234" s="72"/>
      <c r="W234" s="72">
        <v>305</v>
      </c>
      <c r="X234" s="72">
        <v>314</v>
      </c>
      <c r="Y234" s="72">
        <v>339</v>
      </c>
      <c r="Z234" s="72">
        <v>329</v>
      </c>
      <c r="AA234" s="72">
        <v>297.8</v>
      </c>
      <c r="AB234" s="72">
        <v>210</v>
      </c>
      <c r="AC234" s="73"/>
      <c r="AD234" s="73"/>
      <c r="AE234" s="73"/>
      <c r="AF234" s="73"/>
      <c r="AG234" s="73"/>
      <c r="AH234" s="95"/>
      <c r="AI234" s="73"/>
      <c r="AJ234" s="73"/>
      <c r="AK234" s="73"/>
      <c r="AL234" s="95"/>
      <c r="AM234" s="4"/>
    </row>
    <row r="235" spans="2:39" x14ac:dyDescent="0.55000000000000004"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95"/>
      <c r="AI235" s="73"/>
      <c r="AJ235" s="73"/>
      <c r="AK235" s="73"/>
      <c r="AL235" s="95"/>
      <c r="AM235" s="4"/>
    </row>
    <row r="236" spans="2:39" x14ac:dyDescent="0.55000000000000004">
      <c r="B236" s="23" t="s">
        <v>3225</v>
      </c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95"/>
      <c r="AI236" s="73"/>
      <c r="AJ236" s="73"/>
      <c r="AK236" s="73"/>
      <c r="AL236" s="95"/>
      <c r="AM236" s="4"/>
    </row>
    <row r="237" spans="2:39" x14ac:dyDescent="0.55000000000000004">
      <c r="B237" s="23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95"/>
      <c r="AI237" s="73"/>
      <c r="AJ237" s="73"/>
      <c r="AK237" s="73"/>
      <c r="AL237" s="95"/>
      <c r="AM237" s="4"/>
    </row>
    <row r="238" spans="2:39" x14ac:dyDescent="0.55000000000000004">
      <c r="B238" s="18" t="s">
        <v>2470</v>
      </c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73">
        <f>SUM(O239:O241)</f>
        <v>504.04090740000004</v>
      </c>
      <c r="P238" s="73">
        <f>SUM(P239:P241)</f>
        <v>479.23918463999996</v>
      </c>
      <c r="Q238" s="73">
        <f>SUM(Q239:Q241)</f>
        <v>485.87377290999996</v>
      </c>
      <c r="R238" s="73">
        <f>SUM(R239:R241)</f>
        <v>611.64998271000013</v>
      </c>
      <c r="S238" s="73">
        <v>771.35686380000004</v>
      </c>
      <c r="T238" s="73">
        <v>1116.1025651699999</v>
      </c>
      <c r="U238" s="73">
        <v>1553.18049015</v>
      </c>
      <c r="V238" s="73">
        <v>1906.9698957400001</v>
      </c>
      <c r="W238" s="73">
        <v>2054.7854452799997</v>
      </c>
      <c r="X238" s="73">
        <v>2275.0159656799997</v>
      </c>
      <c r="Y238" s="73">
        <v>2653.2649304199999</v>
      </c>
      <c r="Z238" s="73">
        <v>2721</v>
      </c>
      <c r="AA238" s="73">
        <f>SUM(AA239:AA241)</f>
        <v>2717</v>
      </c>
      <c r="AB238" s="73">
        <f>SUM(AB239:AB241)</f>
        <v>2610</v>
      </c>
      <c r="AC238" s="73">
        <f>SUM(AC239:AC241)</f>
        <v>2462</v>
      </c>
      <c r="AD238" s="73">
        <f>SUM(AD239:AD241)</f>
        <v>2529</v>
      </c>
      <c r="AE238" s="73">
        <f>AE243+AE246</f>
        <v>2444.1400000000003</v>
      </c>
      <c r="AF238" s="73">
        <f>AF243+AF246</f>
        <v>2369.1400000000003</v>
      </c>
      <c r="AG238" s="73">
        <f>AG243+AG246</f>
        <v>2419.1400000000003</v>
      </c>
      <c r="AH238" s="95">
        <f>Pagbank!I105</f>
        <v>2723.25</v>
      </c>
      <c r="AI238" s="73">
        <f>AI243+AI246</f>
        <v>2774.25</v>
      </c>
      <c r="AJ238" s="73">
        <f>AJ243+AJ246</f>
        <v>2999.25</v>
      </c>
      <c r="AK238" s="73">
        <f>AK243+AK246</f>
        <v>3174.25</v>
      </c>
      <c r="AL238" s="95">
        <f>Pagbank!J105</f>
        <v>3493.1</v>
      </c>
      <c r="AM238" s="4"/>
    </row>
    <row r="239" spans="2:39" x14ac:dyDescent="0.55000000000000004">
      <c r="B239" s="434" t="s">
        <v>136</v>
      </c>
      <c r="O239" s="435">
        <v>337.65230183</v>
      </c>
      <c r="P239" s="435">
        <v>293.83810225999997</v>
      </c>
      <c r="Q239" s="435">
        <v>276.99847007</v>
      </c>
      <c r="R239" s="435">
        <v>330.84785019999998</v>
      </c>
      <c r="S239" s="72">
        <v>412.67778549000002</v>
      </c>
      <c r="T239" s="72">
        <v>627.29188580999994</v>
      </c>
      <c r="U239" s="72">
        <v>882.66328397000007</v>
      </c>
      <c r="V239" s="72">
        <v>1069.6705776399999</v>
      </c>
      <c r="W239" s="72">
        <v>1008.7420700399998</v>
      </c>
      <c r="X239" s="72">
        <v>918.60363681999991</v>
      </c>
      <c r="Y239" s="72">
        <v>813.28235339000003</v>
      </c>
      <c r="Z239" s="72">
        <v>743</v>
      </c>
      <c r="AA239" s="72">
        <v>672</v>
      </c>
      <c r="AB239" s="72">
        <v>625</v>
      </c>
      <c r="AC239" s="72">
        <v>471</v>
      </c>
      <c r="AD239" s="72">
        <v>410</v>
      </c>
      <c r="AE239" s="4"/>
      <c r="AF239" s="4"/>
      <c r="AG239" s="4"/>
      <c r="AH239" s="4"/>
      <c r="AI239" s="4"/>
      <c r="AJ239" s="4"/>
      <c r="AK239" s="4"/>
      <c r="AL239" s="4"/>
      <c r="AM239" s="4"/>
    </row>
    <row r="240" spans="2:39" x14ac:dyDescent="0.55000000000000004">
      <c r="B240" s="434" t="s">
        <v>2126</v>
      </c>
      <c r="O240" s="435">
        <v>155.58873563</v>
      </c>
      <c r="P240" s="435">
        <v>170.93922379</v>
      </c>
      <c r="Q240" s="435">
        <v>189.14503212999998</v>
      </c>
      <c r="R240" s="435">
        <v>257.33752817000004</v>
      </c>
      <c r="S240" s="72">
        <v>333.88552074</v>
      </c>
      <c r="T240" s="72">
        <v>458.88023469000001</v>
      </c>
      <c r="U240" s="72">
        <v>604.08902654999997</v>
      </c>
      <c r="V240" s="72">
        <v>726.09477298000002</v>
      </c>
      <c r="W240" s="72">
        <v>852.44543726999996</v>
      </c>
      <c r="X240" s="72">
        <v>919.04727357000002</v>
      </c>
      <c r="Y240" s="72">
        <v>1014.1261052999999</v>
      </c>
      <c r="Z240" s="72">
        <v>1113</v>
      </c>
      <c r="AA240" s="72">
        <v>1087</v>
      </c>
      <c r="AB240" s="72">
        <v>886</v>
      </c>
      <c r="AC240" s="72">
        <v>816</v>
      </c>
      <c r="AD240" s="72">
        <v>763</v>
      </c>
      <c r="AE240" s="4"/>
      <c r="AF240" s="4"/>
      <c r="AG240" s="4"/>
      <c r="AH240" s="4"/>
      <c r="AI240" s="4"/>
      <c r="AJ240" s="4"/>
      <c r="AK240" s="4"/>
      <c r="AL240" s="4"/>
      <c r="AM240" s="4"/>
    </row>
    <row r="241" spans="2:39" x14ac:dyDescent="0.55000000000000004">
      <c r="B241" s="434" t="s">
        <v>267</v>
      </c>
      <c r="O241" s="435">
        <v>10.799869940000001</v>
      </c>
      <c r="P241" s="435">
        <v>14.461858589999999</v>
      </c>
      <c r="Q241" s="435">
        <v>19.730270709999999</v>
      </c>
      <c r="R241" s="435">
        <v>23.464604340000001</v>
      </c>
      <c r="S241" s="72">
        <v>24.793557570000001</v>
      </c>
      <c r="T241" s="72">
        <v>29.93044467</v>
      </c>
      <c r="U241" s="72">
        <v>66.428179630000002</v>
      </c>
      <c r="V241" s="72">
        <v>111.20454511999999</v>
      </c>
      <c r="W241" s="72">
        <v>193.59793797</v>
      </c>
      <c r="X241" s="72">
        <v>437.36505529000004</v>
      </c>
      <c r="Y241" s="72">
        <v>825.85647173000007</v>
      </c>
      <c r="Z241" s="72">
        <v>865</v>
      </c>
      <c r="AA241" s="72">
        <v>958</v>
      </c>
      <c r="AB241" s="72">
        <v>1099</v>
      </c>
      <c r="AC241" s="72">
        <v>1175</v>
      </c>
      <c r="AD241" s="72">
        <v>1356</v>
      </c>
      <c r="AE241" s="4"/>
      <c r="AF241" s="4"/>
      <c r="AG241" s="4"/>
      <c r="AH241" s="4"/>
      <c r="AI241" s="4"/>
      <c r="AJ241" s="4"/>
      <c r="AK241" s="4"/>
      <c r="AL241" s="4"/>
      <c r="AM241" s="4"/>
    </row>
    <row r="242" spans="2:39" x14ac:dyDescent="0.55000000000000004">
      <c r="B242" s="434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163"/>
      <c r="Z242" s="163"/>
      <c r="AA242" s="163"/>
      <c r="AB242" s="163"/>
      <c r="AC242" s="163"/>
      <c r="AD242" s="163"/>
    </row>
    <row r="243" spans="2:39" x14ac:dyDescent="0.55000000000000004">
      <c r="B243" s="18" t="s">
        <v>3215</v>
      </c>
      <c r="O243" s="72"/>
      <c r="P243" s="72"/>
      <c r="Q243" s="72"/>
      <c r="R243" s="72"/>
      <c r="S243" s="72"/>
      <c r="T243" s="72"/>
      <c r="U243" s="72"/>
      <c r="V243" s="72"/>
      <c r="W243" s="72">
        <f t="shared" ref="W243:AB243" si="142">W244*W238</f>
        <v>205.47854452799999</v>
      </c>
      <c r="X243" s="72">
        <f t="shared" si="142"/>
        <v>455.00319313599994</v>
      </c>
      <c r="Y243" s="72">
        <f t="shared" si="142"/>
        <v>795.979479126</v>
      </c>
      <c r="Z243" s="72">
        <f t="shared" si="142"/>
        <v>1088.4000000000001</v>
      </c>
      <c r="AA243" s="72">
        <f t="shared" si="142"/>
        <v>1195.48</v>
      </c>
      <c r="AB243" s="72">
        <f t="shared" si="142"/>
        <v>1357.2</v>
      </c>
      <c r="AC243" s="72">
        <f>AC244*AC238</f>
        <v>1477.2</v>
      </c>
      <c r="AD243" s="72">
        <f>AD244*AD238</f>
        <v>1669.14</v>
      </c>
      <c r="AE243" s="601">
        <f>AD243+125</f>
        <v>1794.14</v>
      </c>
      <c r="AF243" s="601">
        <f>AE243+125</f>
        <v>1919.14</v>
      </c>
      <c r="AG243" s="601">
        <f>AF243+125</f>
        <v>2044.14</v>
      </c>
      <c r="AH243" s="72">
        <f>Pagbank!I134</f>
        <v>2099.25</v>
      </c>
      <c r="AI243" s="601">
        <f>AH243+125</f>
        <v>2224.25</v>
      </c>
      <c r="AJ243" s="601">
        <f>AI243+125</f>
        <v>2349.25</v>
      </c>
      <c r="AK243" s="601">
        <f>AJ243+125</f>
        <v>2474.25</v>
      </c>
      <c r="AL243" s="72">
        <f>Pagbank!J134</f>
        <v>2519.1</v>
      </c>
    </row>
    <row r="244" spans="2:39" x14ac:dyDescent="0.55000000000000004">
      <c r="B244" s="434" t="s">
        <v>1106</v>
      </c>
      <c r="O244" s="72"/>
      <c r="P244" s="72"/>
      <c r="Q244" s="72"/>
      <c r="R244" s="72"/>
      <c r="S244" s="72"/>
      <c r="T244" s="72"/>
      <c r="U244" s="72"/>
      <c r="V244" s="72"/>
      <c r="W244" s="438">
        <v>0.1</v>
      </c>
      <c r="X244" s="438">
        <v>0.2</v>
      </c>
      <c r="Y244" s="438">
        <v>0.3</v>
      </c>
      <c r="Z244" s="438">
        <v>0.4</v>
      </c>
      <c r="AA244" s="602">
        <f>Analysis!C1637</f>
        <v>0.44</v>
      </c>
      <c r="AB244" s="602">
        <f>Analysis!D1637</f>
        <v>0.52</v>
      </c>
      <c r="AC244" s="602">
        <f>Analysis!E1637</f>
        <v>0.6</v>
      </c>
      <c r="AD244" s="602">
        <v>0.66</v>
      </c>
      <c r="AE244" s="436">
        <f t="shared" ref="AE244:AL244" si="143">AE243/AE238</f>
        <v>0.73405778719713266</v>
      </c>
      <c r="AF244" s="436">
        <f t="shared" si="143"/>
        <v>0.81005765805313312</v>
      </c>
      <c r="AG244" s="436">
        <f t="shared" si="143"/>
        <v>0.84498623477764823</v>
      </c>
      <c r="AH244" s="436">
        <f t="shared" si="143"/>
        <v>0.77086202148168548</v>
      </c>
      <c r="AI244" s="436">
        <f t="shared" si="143"/>
        <v>0.80174822023970438</v>
      </c>
      <c r="AJ244" s="436">
        <f t="shared" si="143"/>
        <v>0.78327915312161378</v>
      </c>
      <c r="AK244" s="436">
        <f t="shared" si="143"/>
        <v>0.77947546664566436</v>
      </c>
      <c r="AL244" s="436">
        <f t="shared" si="143"/>
        <v>0.72116458160373309</v>
      </c>
    </row>
    <row r="245" spans="2:39" x14ac:dyDescent="0.55000000000000004">
      <c r="B245" s="434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163"/>
      <c r="Z245" s="163"/>
      <c r="AA245" s="163"/>
      <c r="AB245" s="163"/>
      <c r="AC245" s="163"/>
      <c r="AD245" s="163"/>
    </row>
    <row r="246" spans="2:39" x14ac:dyDescent="0.55000000000000004">
      <c r="B246" s="18" t="s">
        <v>2461</v>
      </c>
      <c r="O246" s="72"/>
      <c r="P246" s="72"/>
      <c r="Q246" s="72"/>
      <c r="R246" s="72"/>
      <c r="S246" s="72"/>
      <c r="T246" s="72"/>
      <c r="U246" s="72"/>
      <c r="V246" s="72"/>
      <c r="W246" s="72">
        <f t="shared" ref="W246:AC246" si="144">W238-W243</f>
        <v>1849.3069007519998</v>
      </c>
      <c r="X246" s="72">
        <f t="shared" si="144"/>
        <v>1820.0127725439997</v>
      </c>
      <c r="Y246" s="72">
        <f t="shared" si="144"/>
        <v>1857.2854512939998</v>
      </c>
      <c r="Z246" s="72">
        <f t="shared" si="144"/>
        <v>1632.6</v>
      </c>
      <c r="AA246" s="72">
        <f t="shared" si="144"/>
        <v>1521.52</v>
      </c>
      <c r="AB246" s="72">
        <f t="shared" si="144"/>
        <v>1252.8</v>
      </c>
      <c r="AC246" s="72">
        <f t="shared" si="144"/>
        <v>984.8</v>
      </c>
      <c r="AD246" s="72">
        <f>AD238-AD243</f>
        <v>859.8599999999999</v>
      </c>
      <c r="AE246" s="601">
        <v>650</v>
      </c>
      <c r="AF246" s="601">
        <v>450</v>
      </c>
      <c r="AG246" s="601">
        <v>375</v>
      </c>
      <c r="AH246" s="72">
        <f>AH238-AH243</f>
        <v>624</v>
      </c>
      <c r="AI246" s="601">
        <v>550</v>
      </c>
      <c r="AJ246" s="601">
        <v>650</v>
      </c>
      <c r="AK246" s="601">
        <v>700</v>
      </c>
      <c r="AL246" s="72">
        <f>AL238-AL243</f>
        <v>974</v>
      </c>
    </row>
    <row r="247" spans="2:39" x14ac:dyDescent="0.55000000000000004">
      <c r="B247" s="434" t="s">
        <v>1106</v>
      </c>
      <c r="O247" s="72"/>
      <c r="P247" s="72"/>
      <c r="Q247" s="72"/>
      <c r="R247" s="72"/>
      <c r="S247" s="72"/>
      <c r="T247" s="72"/>
      <c r="U247" s="72"/>
      <c r="V247" s="72"/>
      <c r="W247" s="2">
        <f t="shared" ref="W247:AB247" si="145">W246/W238</f>
        <v>0.9</v>
      </c>
      <c r="X247" s="2">
        <f t="shared" si="145"/>
        <v>0.8</v>
      </c>
      <c r="Y247" s="2">
        <f t="shared" si="145"/>
        <v>0.7</v>
      </c>
      <c r="Z247" s="2">
        <f t="shared" si="145"/>
        <v>0.6</v>
      </c>
      <c r="AA247" s="2">
        <f t="shared" si="145"/>
        <v>0.55999999999999994</v>
      </c>
      <c r="AB247" s="2">
        <f t="shared" si="145"/>
        <v>0.48</v>
      </c>
      <c r="AC247" s="2">
        <f>AC246/AC238</f>
        <v>0.39999999999999997</v>
      </c>
      <c r="AD247" s="2">
        <f>AD246/AD238</f>
        <v>0.33999999999999997</v>
      </c>
      <c r="AE247" s="2">
        <f t="shared" ref="AE247:AL247" si="146">AE246/AE238</f>
        <v>0.26594221280286723</v>
      </c>
      <c r="AF247" s="2">
        <f t="shared" si="146"/>
        <v>0.18994234194686677</v>
      </c>
      <c r="AG247" s="2">
        <f t="shared" si="146"/>
        <v>0.15501376522235172</v>
      </c>
      <c r="AH247" s="2">
        <f t="shared" si="146"/>
        <v>0.22913797851831452</v>
      </c>
      <c r="AI247" s="2">
        <f t="shared" si="146"/>
        <v>0.19825177976029557</v>
      </c>
      <c r="AJ247" s="2">
        <f t="shared" si="146"/>
        <v>0.21672084687838628</v>
      </c>
      <c r="AK247" s="2">
        <f t="shared" si="146"/>
        <v>0.22052453335433567</v>
      </c>
      <c r="AL247" s="2">
        <f t="shared" si="146"/>
        <v>0.27883541839626691</v>
      </c>
    </row>
    <row r="248" spans="2:39" x14ac:dyDescent="0.55000000000000004">
      <c r="B248" s="434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163"/>
      <c r="Z248" s="163"/>
      <c r="AA248" s="163"/>
      <c r="AB248" s="163"/>
      <c r="AC248" s="163"/>
      <c r="AD248" s="163"/>
    </row>
    <row r="249" spans="2:39" x14ac:dyDescent="0.55000000000000004">
      <c r="B249" t="s">
        <v>2127</v>
      </c>
      <c r="O249" s="72"/>
      <c r="P249" s="72"/>
      <c r="Q249" s="72"/>
      <c r="R249" s="72"/>
      <c r="S249" s="72"/>
      <c r="T249" s="72"/>
      <c r="U249" s="72"/>
      <c r="V249" s="72"/>
      <c r="W249" s="439"/>
      <c r="X249" s="439"/>
      <c r="Y249" s="439"/>
      <c r="Z249" s="439"/>
      <c r="AA249" s="439"/>
      <c r="AB249" s="439"/>
      <c r="AC249" s="439"/>
      <c r="AD249" s="439"/>
      <c r="AE249" s="439"/>
      <c r="AF249" s="439"/>
      <c r="AG249" s="439"/>
      <c r="AH249" s="439"/>
      <c r="AI249" s="439"/>
      <c r="AJ249" s="439"/>
      <c r="AK249" s="439"/>
      <c r="AL249" s="439"/>
      <c r="AM249" s="439"/>
    </row>
    <row r="250" spans="2:39" x14ac:dyDescent="0.55000000000000004">
      <c r="B250" s="434" t="s">
        <v>136</v>
      </c>
      <c r="O250" s="436">
        <f t="shared" ref="O250:Z250" si="147">O239/O$238</f>
        <v>0.66989067131815894</v>
      </c>
      <c r="P250" s="436">
        <f t="shared" si="147"/>
        <v>0.61313455092518876</v>
      </c>
      <c r="Q250" s="436">
        <f t="shared" si="147"/>
        <v>0.57010377080244123</v>
      </c>
      <c r="R250" s="436">
        <f t="shared" si="147"/>
        <v>0.54091042189543215</v>
      </c>
      <c r="S250" s="436">
        <f t="shared" si="147"/>
        <v>0.53500241568732643</v>
      </c>
      <c r="T250" s="436">
        <f t="shared" si="147"/>
        <v>0.56203784973332938</v>
      </c>
      <c r="U250" s="436">
        <f t="shared" si="147"/>
        <v>0.56829408402159109</v>
      </c>
      <c r="V250" s="436">
        <f t="shared" si="147"/>
        <v>0.56092682953703055</v>
      </c>
      <c r="W250" s="436">
        <f t="shared" si="147"/>
        <v>0.49092330897961051</v>
      </c>
      <c r="X250" s="436">
        <f t="shared" si="147"/>
        <v>0.40377898470942392</v>
      </c>
      <c r="Y250" s="436">
        <f t="shared" si="147"/>
        <v>0.30652135188824176</v>
      </c>
      <c r="Z250" s="436">
        <f t="shared" si="147"/>
        <v>0.27306137449467105</v>
      </c>
      <c r="AA250" s="436">
        <f t="shared" ref="AA250:AB252" si="148">AA239/AA$238</f>
        <v>0.24733161575266838</v>
      </c>
      <c r="AB250" s="436">
        <f t="shared" si="148"/>
        <v>0.23946360153256704</v>
      </c>
      <c r="AC250" s="436">
        <f t="shared" ref="AC250:AD252" si="149">AC239/AC$238</f>
        <v>0.19130787977254265</v>
      </c>
      <c r="AD250" s="436">
        <f t="shared" si="149"/>
        <v>0.16211941478845393</v>
      </c>
      <c r="AE250" s="438"/>
      <c r="AF250" s="438"/>
      <c r="AG250" s="438"/>
      <c r="AH250" s="436"/>
      <c r="AI250" s="438"/>
      <c r="AJ250" s="438"/>
      <c r="AK250" s="438"/>
      <c r="AL250" s="436"/>
      <c r="AM250" s="437"/>
    </row>
    <row r="251" spans="2:39" x14ac:dyDescent="0.55000000000000004">
      <c r="B251" s="434" t="s">
        <v>2126</v>
      </c>
      <c r="O251" s="436">
        <f t="shared" ref="O251:Z251" si="150">O240/O$238</f>
        <v>0.30868275440692927</v>
      </c>
      <c r="P251" s="436">
        <f t="shared" si="150"/>
        <v>0.35668874597223921</v>
      </c>
      <c r="Q251" s="436">
        <f t="shared" si="150"/>
        <v>0.38928841743642734</v>
      </c>
      <c r="R251" s="436">
        <f t="shared" si="150"/>
        <v>0.42072678074775777</v>
      </c>
      <c r="S251" s="436">
        <f t="shared" si="150"/>
        <v>0.43285479965155393</v>
      </c>
      <c r="T251" s="436">
        <f t="shared" si="150"/>
        <v>0.4111452199915922</v>
      </c>
      <c r="U251" s="436">
        <f t="shared" si="150"/>
        <v>0.38893678511996982</v>
      </c>
      <c r="V251" s="436">
        <f t="shared" si="150"/>
        <v>0.38075838250096694</v>
      </c>
      <c r="W251" s="436">
        <f t="shared" si="150"/>
        <v>0.41485861174855637</v>
      </c>
      <c r="X251" s="436">
        <f t="shared" si="150"/>
        <v>0.40397398850574562</v>
      </c>
      <c r="Y251" s="436">
        <f t="shared" si="150"/>
        <v>0.38221818472513724</v>
      </c>
      <c r="Z251" s="436">
        <f t="shared" si="150"/>
        <v>0.40904079382579933</v>
      </c>
      <c r="AA251" s="436">
        <f t="shared" si="148"/>
        <v>0.40007361059992641</v>
      </c>
      <c r="AB251" s="436">
        <f t="shared" si="148"/>
        <v>0.33946360153256705</v>
      </c>
      <c r="AC251" s="436">
        <f t="shared" si="149"/>
        <v>0.33143785540211212</v>
      </c>
      <c r="AD251" s="436">
        <f t="shared" si="149"/>
        <v>0.30170027678924477</v>
      </c>
      <c r="AE251" s="437"/>
      <c r="AF251" s="437"/>
      <c r="AG251" s="437"/>
      <c r="AH251" s="436"/>
      <c r="AI251" s="437"/>
      <c r="AJ251" s="437"/>
      <c r="AK251" s="437"/>
      <c r="AL251" s="436"/>
      <c r="AM251" s="437"/>
    </row>
    <row r="252" spans="2:39" x14ac:dyDescent="0.55000000000000004">
      <c r="B252" s="434" t="s">
        <v>267</v>
      </c>
      <c r="O252" s="436">
        <f t="shared" ref="O252:Z252" si="151">O241/O$238</f>
        <v>2.1426574274911719E-2</v>
      </c>
      <c r="P252" s="436">
        <f t="shared" si="151"/>
        <v>3.0176703102572075E-2</v>
      </c>
      <c r="Q252" s="436">
        <f t="shared" si="151"/>
        <v>4.0607811761131436E-2</v>
      </c>
      <c r="R252" s="436">
        <f t="shared" si="151"/>
        <v>3.8362797356809877E-2</v>
      </c>
      <c r="S252" s="436">
        <f t="shared" si="151"/>
        <v>3.2142784661119653E-2</v>
      </c>
      <c r="T252" s="436">
        <f t="shared" si="151"/>
        <v>2.6816930275078369E-2</v>
      </c>
      <c r="U252" s="436">
        <f t="shared" si="151"/>
        <v>4.2769130858439149E-2</v>
      </c>
      <c r="V252" s="436">
        <f t="shared" si="151"/>
        <v>5.8314787962002436E-2</v>
      </c>
      <c r="W252" s="436">
        <f t="shared" si="151"/>
        <v>9.4218079271833149E-2</v>
      </c>
      <c r="X252" s="436">
        <f t="shared" si="151"/>
        <v>0.19224702678483055</v>
      </c>
      <c r="Y252" s="436">
        <f t="shared" si="151"/>
        <v>0.31126046338662106</v>
      </c>
      <c r="Z252" s="436">
        <f t="shared" si="151"/>
        <v>0.31789783167952956</v>
      </c>
      <c r="AA252" s="436">
        <f t="shared" si="148"/>
        <v>0.35259477364740521</v>
      </c>
      <c r="AB252" s="436">
        <f t="shared" si="148"/>
        <v>0.42107279693486588</v>
      </c>
      <c r="AC252" s="436">
        <f t="shared" si="149"/>
        <v>0.47725426482534522</v>
      </c>
      <c r="AD252" s="436">
        <f t="shared" si="149"/>
        <v>0.53618030842230135</v>
      </c>
      <c r="AE252" s="438"/>
      <c r="AF252" s="438"/>
      <c r="AG252" s="438"/>
      <c r="AH252" s="436"/>
      <c r="AI252" s="438"/>
      <c r="AJ252" s="438"/>
      <c r="AK252" s="438"/>
      <c r="AL252" s="436"/>
      <c r="AM252" s="438"/>
    </row>
    <row r="253" spans="2:39" x14ac:dyDescent="0.55000000000000004">
      <c r="B253" s="434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</row>
    <row r="254" spans="2:39" x14ac:dyDescent="0.55000000000000004">
      <c r="B254" s="18" t="s">
        <v>2486</v>
      </c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73"/>
      <c r="P254" s="73"/>
      <c r="Q254" s="73"/>
      <c r="R254" s="73">
        <v>155</v>
      </c>
      <c r="S254" s="73">
        <f t="shared" ref="S254:Z254" si="152">SUM(S255:S257)</f>
        <v>225.5</v>
      </c>
      <c r="T254" s="73">
        <f t="shared" si="152"/>
        <v>296</v>
      </c>
      <c r="U254" s="73">
        <f t="shared" si="152"/>
        <v>366.5</v>
      </c>
      <c r="V254" s="73">
        <f t="shared" si="152"/>
        <v>437</v>
      </c>
      <c r="W254" s="73">
        <f t="shared" si="152"/>
        <v>598</v>
      </c>
      <c r="X254" s="73">
        <f t="shared" si="152"/>
        <v>754.90000000000009</v>
      </c>
      <c r="Y254" s="73">
        <f t="shared" si="152"/>
        <v>902</v>
      </c>
      <c r="Z254" s="73">
        <f t="shared" si="152"/>
        <v>985</v>
      </c>
      <c r="AA254" s="73">
        <v>1024</v>
      </c>
      <c r="AB254" s="73">
        <f>SUM(AB255:AB257)</f>
        <v>815</v>
      </c>
      <c r="AC254" s="73">
        <f>SUM(AC255:AC257)</f>
        <v>651</v>
      </c>
      <c r="AD254" s="73">
        <f>SUM(AD255:AD257)</f>
        <v>585</v>
      </c>
    </row>
    <row r="255" spans="2:39" x14ac:dyDescent="0.55000000000000004">
      <c r="B255" s="434" t="s">
        <v>136</v>
      </c>
      <c r="O255" s="72"/>
      <c r="P255" s="72"/>
      <c r="Q255" s="72"/>
      <c r="R255" s="72">
        <v>99</v>
      </c>
      <c r="S255" s="105">
        <f t="shared" ref="S255:U257" si="153">($V255-$R255)/4+R255</f>
        <v>138.5</v>
      </c>
      <c r="T255" s="105">
        <f t="shared" si="153"/>
        <v>178</v>
      </c>
      <c r="U255" s="105">
        <f t="shared" si="153"/>
        <v>217.5</v>
      </c>
      <c r="V255" s="72">
        <v>257</v>
      </c>
      <c r="W255" s="72">
        <v>340</v>
      </c>
      <c r="X255" s="72">
        <v>426.5</v>
      </c>
      <c r="Y255" s="72">
        <v>494</v>
      </c>
      <c r="Z255" s="72">
        <v>522</v>
      </c>
      <c r="AA255" s="72">
        <v>520</v>
      </c>
      <c r="AB255" s="72">
        <v>513</v>
      </c>
      <c r="AC255" s="72">
        <v>387</v>
      </c>
      <c r="AD255" s="72">
        <v>362</v>
      </c>
    </row>
    <row r="256" spans="2:39" x14ac:dyDescent="0.55000000000000004">
      <c r="B256" s="434" t="s">
        <v>2126</v>
      </c>
      <c r="O256" s="72"/>
      <c r="P256" s="72"/>
      <c r="Q256" s="72"/>
      <c r="R256" s="72">
        <v>56</v>
      </c>
      <c r="S256" s="105">
        <f t="shared" si="153"/>
        <v>85.5</v>
      </c>
      <c r="T256" s="105">
        <f t="shared" si="153"/>
        <v>115</v>
      </c>
      <c r="U256" s="105">
        <f t="shared" si="153"/>
        <v>144.5</v>
      </c>
      <c r="V256" s="72">
        <v>174</v>
      </c>
      <c r="W256" s="72">
        <v>252</v>
      </c>
      <c r="X256" s="72">
        <v>320.7</v>
      </c>
      <c r="Y256" s="72">
        <v>399</v>
      </c>
      <c r="Z256" s="72">
        <v>451</v>
      </c>
      <c r="AA256" s="72">
        <v>495</v>
      </c>
      <c r="AB256" s="72">
        <v>288</v>
      </c>
      <c r="AC256" s="72">
        <v>236</v>
      </c>
      <c r="AD256" s="72">
        <v>185</v>
      </c>
    </row>
    <row r="257" spans="2:38" x14ac:dyDescent="0.55000000000000004">
      <c r="B257" s="434" t="s">
        <v>267</v>
      </c>
      <c r="O257" s="72"/>
      <c r="P257" s="72"/>
      <c r="Q257" s="72"/>
      <c r="R257" s="72">
        <v>0</v>
      </c>
      <c r="S257" s="105">
        <f t="shared" si="153"/>
        <v>1.5</v>
      </c>
      <c r="T257" s="105">
        <f t="shared" si="153"/>
        <v>3</v>
      </c>
      <c r="U257" s="105">
        <f t="shared" si="153"/>
        <v>4.5</v>
      </c>
      <c r="V257" s="72">
        <v>6</v>
      </c>
      <c r="W257" s="72">
        <v>6</v>
      </c>
      <c r="X257" s="72">
        <v>7.7</v>
      </c>
      <c r="Y257" s="72">
        <v>9</v>
      </c>
      <c r="Z257" s="72">
        <v>12</v>
      </c>
      <c r="AA257" s="72">
        <v>10</v>
      </c>
      <c r="AB257" s="72">
        <v>14</v>
      </c>
      <c r="AC257" s="72">
        <v>28</v>
      </c>
      <c r="AD257" s="72">
        <v>38</v>
      </c>
    </row>
    <row r="258" spans="2:38" x14ac:dyDescent="0.55000000000000004">
      <c r="B258" s="434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</row>
    <row r="259" spans="2:38" x14ac:dyDescent="0.55000000000000004">
      <c r="B259" t="s">
        <v>2472</v>
      </c>
      <c r="O259" s="72"/>
      <c r="P259" s="72"/>
      <c r="Q259" s="72"/>
      <c r="R259" s="163">
        <f t="shared" ref="R259:AA259" si="154">R254/R238</f>
        <v>0.25341290669747263</v>
      </c>
      <c r="S259" s="163">
        <f t="shared" si="154"/>
        <v>0.2923419892695327</v>
      </c>
      <c r="T259" s="163">
        <f t="shared" si="154"/>
        <v>0.26520860110639971</v>
      </c>
      <c r="U259" s="163">
        <f t="shared" si="154"/>
        <v>0.23596742447145011</v>
      </c>
      <c r="V259" s="163">
        <f t="shared" si="154"/>
        <v>0.22915935955581621</v>
      </c>
      <c r="W259" s="163">
        <f t="shared" si="154"/>
        <v>0.29102795202956688</v>
      </c>
      <c r="X259" s="163">
        <f t="shared" si="154"/>
        <v>0.33182184713783375</v>
      </c>
      <c r="Y259" s="163">
        <f t="shared" si="154"/>
        <v>0.33995851287161793</v>
      </c>
      <c r="Z259" s="163">
        <f t="shared" si="154"/>
        <v>0.36199926497611173</v>
      </c>
      <c r="AA259" s="163">
        <f t="shared" si="154"/>
        <v>0.37688627162311372</v>
      </c>
      <c r="AB259" s="163">
        <f t="shared" ref="AB259:AD262" si="155">AB254/AB238</f>
        <v>0.31226053639846746</v>
      </c>
      <c r="AC259" s="163">
        <f t="shared" si="155"/>
        <v>0.26441917140536148</v>
      </c>
      <c r="AD259" s="163">
        <f t="shared" si="155"/>
        <v>0.23131672597864769</v>
      </c>
    </row>
    <row r="260" spans="2:38" x14ac:dyDescent="0.55000000000000004">
      <c r="B260" s="434" t="str">
        <f>B255</f>
        <v>Working Capital</v>
      </c>
      <c r="O260" s="72"/>
      <c r="P260" s="72"/>
      <c r="Q260" s="72"/>
      <c r="R260" s="163">
        <f t="shared" ref="R260:AA260" si="156">R255/R239</f>
        <v>0.29923120231899275</v>
      </c>
      <c r="S260" s="163">
        <f t="shared" si="156"/>
        <v>0.33561292822086281</v>
      </c>
      <c r="T260" s="163">
        <f t="shared" si="156"/>
        <v>0.28375944919190987</v>
      </c>
      <c r="U260" s="163">
        <f t="shared" si="156"/>
        <v>0.24641333105160901</v>
      </c>
      <c r="V260" s="163">
        <f t="shared" si="156"/>
        <v>0.240260885334451</v>
      </c>
      <c r="W260" s="163">
        <f t="shared" si="156"/>
        <v>0.33705345508839335</v>
      </c>
      <c r="X260" s="163">
        <f t="shared" si="156"/>
        <v>0.46429165192122196</v>
      </c>
      <c r="Y260" s="163">
        <f t="shared" si="156"/>
        <v>0.60741512211701476</v>
      </c>
      <c r="Z260" s="163">
        <f t="shared" si="156"/>
        <v>0.70255720053835802</v>
      </c>
      <c r="AA260" s="163">
        <f t="shared" si="156"/>
        <v>0.77380952380952384</v>
      </c>
      <c r="AB260" s="163">
        <f t="shared" si="155"/>
        <v>0.82079999999999997</v>
      </c>
      <c r="AC260" s="163">
        <f t="shared" si="155"/>
        <v>0.82165605095541405</v>
      </c>
      <c r="AD260" s="163">
        <f t="shared" si="155"/>
        <v>0.88292682926829269</v>
      </c>
    </row>
    <row r="261" spans="2:38" x14ac:dyDescent="0.55000000000000004">
      <c r="B261" s="434" t="str">
        <f>B256</f>
        <v>Credit Cards</v>
      </c>
      <c r="O261" s="72"/>
      <c r="P261" s="72"/>
      <c r="Q261" s="72"/>
      <c r="R261" s="163">
        <f t="shared" ref="R261:AA261" si="157">R256/R240</f>
        <v>0.21761303296193074</v>
      </c>
      <c r="S261" s="163">
        <f t="shared" si="157"/>
        <v>0.25607579451335272</v>
      </c>
      <c r="T261" s="163">
        <f t="shared" si="157"/>
        <v>0.25061005313878709</v>
      </c>
      <c r="U261" s="163">
        <f t="shared" si="157"/>
        <v>0.23920315325913283</v>
      </c>
      <c r="V261" s="163">
        <f t="shared" si="157"/>
        <v>0.23963813881468715</v>
      </c>
      <c r="W261" s="163">
        <f t="shared" si="157"/>
        <v>0.29562009365319952</v>
      </c>
      <c r="X261" s="163">
        <f t="shared" si="157"/>
        <v>0.34894831770106283</v>
      </c>
      <c r="Y261" s="163">
        <f t="shared" si="157"/>
        <v>0.39344219413616943</v>
      </c>
      <c r="Z261" s="163">
        <f t="shared" si="157"/>
        <v>0.40521114106019768</v>
      </c>
      <c r="AA261" s="163">
        <f t="shared" si="157"/>
        <v>0.45538178472861085</v>
      </c>
      <c r="AB261" s="163">
        <f t="shared" si="155"/>
        <v>0.32505643340857787</v>
      </c>
      <c r="AC261" s="163">
        <f t="shared" si="155"/>
        <v>0.28921568627450983</v>
      </c>
      <c r="AD261" s="163">
        <f t="shared" si="155"/>
        <v>0.24246395806028834</v>
      </c>
    </row>
    <row r="262" spans="2:38" x14ac:dyDescent="0.55000000000000004">
      <c r="B262" s="434" t="str">
        <f>B257</f>
        <v>Others</v>
      </c>
      <c r="O262" s="72"/>
      <c r="P262" s="72"/>
      <c r="Q262" s="72"/>
      <c r="R262" s="163">
        <f t="shared" ref="R262:AA262" si="158">R257/R241</f>
        <v>0</v>
      </c>
      <c r="S262" s="163">
        <f t="shared" si="158"/>
        <v>6.0499587272420621E-2</v>
      </c>
      <c r="T262" s="163">
        <f t="shared" si="158"/>
        <v>0.10023238989853604</v>
      </c>
      <c r="U262" s="163">
        <f t="shared" si="158"/>
        <v>6.7742335031076628E-2</v>
      </c>
      <c r="V262" s="163">
        <f t="shared" si="158"/>
        <v>5.3954629224241192E-2</v>
      </c>
      <c r="W262" s="163">
        <f t="shared" si="158"/>
        <v>3.0992065633104842E-2</v>
      </c>
      <c r="X262" s="163">
        <f t="shared" si="158"/>
        <v>1.7605430307856728E-2</v>
      </c>
      <c r="Y262" s="163">
        <f t="shared" si="158"/>
        <v>1.0897777408157672E-2</v>
      </c>
      <c r="Z262" s="163">
        <f t="shared" si="158"/>
        <v>1.3872832369942197E-2</v>
      </c>
      <c r="AA262" s="163">
        <f t="shared" si="158"/>
        <v>1.0438413361169102E-2</v>
      </c>
      <c r="AB262" s="163">
        <f t="shared" si="155"/>
        <v>1.2738853503184714E-2</v>
      </c>
      <c r="AC262" s="163">
        <f t="shared" si="155"/>
        <v>2.3829787234042554E-2</v>
      </c>
      <c r="AD262" s="163">
        <f t="shared" si="155"/>
        <v>2.8023598820058997E-2</v>
      </c>
    </row>
    <row r="263" spans="2:38" x14ac:dyDescent="0.55000000000000004">
      <c r="B263" s="434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</row>
    <row r="264" spans="2:38" x14ac:dyDescent="0.55000000000000004">
      <c r="B264" s="18" t="s">
        <v>2553</v>
      </c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73"/>
      <c r="P264" s="73"/>
      <c r="Q264" s="73"/>
      <c r="R264" s="73"/>
      <c r="S264" s="73"/>
      <c r="T264" s="73"/>
      <c r="U264" s="73"/>
      <c r="V264" s="73"/>
      <c r="W264" s="73">
        <f t="shared" ref="W264:Y267" si="159">W254-V254</f>
        <v>161</v>
      </c>
      <c r="X264" s="73">
        <f t="shared" si="159"/>
        <v>156.90000000000009</v>
      </c>
      <c r="Y264" s="73">
        <f t="shared" si="159"/>
        <v>147.09999999999991</v>
      </c>
      <c r="Z264" s="73">
        <f t="shared" ref="Z264:AD267" si="160">Z254-Y254</f>
        <v>83</v>
      </c>
      <c r="AA264" s="73">
        <f t="shared" si="160"/>
        <v>39</v>
      </c>
      <c r="AB264" s="477">
        <v>6</v>
      </c>
      <c r="AC264" s="73">
        <v>34</v>
      </c>
      <c r="AD264" s="73">
        <v>29</v>
      </c>
      <c r="AE264" s="95">
        <f t="shared" ref="AE264:AL264" si="161">AE269*AE284</f>
        <v>11.492380000000001</v>
      </c>
      <c r="AF264" s="95">
        <f t="shared" si="161"/>
        <v>11.354880000000001</v>
      </c>
      <c r="AG264" s="95">
        <f t="shared" si="161"/>
        <v>12.417380000000001</v>
      </c>
      <c r="AH264" s="95">
        <f t="shared" si="161"/>
        <v>12.623609999999999</v>
      </c>
      <c r="AI264" s="95">
        <f t="shared" si="161"/>
        <v>17.227875000000001</v>
      </c>
      <c r="AJ264" s="95">
        <f t="shared" si="161"/>
        <v>19.290375000000001</v>
      </c>
      <c r="AK264" s="95">
        <f t="shared" si="161"/>
        <v>21.852875000000001</v>
      </c>
      <c r="AL264" s="95">
        <f t="shared" si="161"/>
        <v>31.134024999999998</v>
      </c>
    </row>
    <row r="265" spans="2:38" x14ac:dyDescent="0.55000000000000004">
      <c r="B265" s="434" t="str">
        <f>B255</f>
        <v>Working Capital</v>
      </c>
      <c r="O265" s="72"/>
      <c r="P265" s="72"/>
      <c r="Q265" s="72"/>
      <c r="R265" s="72"/>
      <c r="S265" s="72"/>
      <c r="T265" s="72"/>
      <c r="U265" s="72"/>
      <c r="V265" s="72"/>
      <c r="W265" s="72">
        <f t="shared" si="159"/>
        <v>83</v>
      </c>
      <c r="X265" s="72">
        <f t="shared" si="159"/>
        <v>86.5</v>
      </c>
      <c r="Y265" s="72">
        <f t="shared" si="159"/>
        <v>67.5</v>
      </c>
      <c r="Z265" s="72">
        <f t="shared" si="160"/>
        <v>28</v>
      </c>
      <c r="AA265" s="72">
        <f t="shared" si="160"/>
        <v>-2</v>
      </c>
      <c r="AB265" s="72">
        <f t="shared" si="160"/>
        <v>-7</v>
      </c>
      <c r="AC265" s="72">
        <f t="shared" si="160"/>
        <v>-126</v>
      </c>
      <c r="AD265" s="72">
        <f t="shared" si="160"/>
        <v>-25</v>
      </c>
    </row>
    <row r="266" spans="2:38" x14ac:dyDescent="0.55000000000000004">
      <c r="B266" s="434" t="str">
        <f>B256</f>
        <v>Credit Cards</v>
      </c>
      <c r="O266" s="72"/>
      <c r="P266" s="72"/>
      <c r="Q266" s="72"/>
      <c r="R266" s="72"/>
      <c r="S266" s="72"/>
      <c r="T266" s="72"/>
      <c r="U266" s="72"/>
      <c r="V266" s="72"/>
      <c r="W266" s="72">
        <f t="shared" si="159"/>
        <v>78</v>
      </c>
      <c r="X266" s="72">
        <f t="shared" si="159"/>
        <v>68.699999999999989</v>
      </c>
      <c r="Y266" s="72">
        <f t="shared" si="159"/>
        <v>78.300000000000011</v>
      </c>
      <c r="Z266" s="72">
        <f t="shared" si="160"/>
        <v>52</v>
      </c>
      <c r="AA266" s="72">
        <f t="shared" si="160"/>
        <v>44</v>
      </c>
      <c r="AB266" s="72">
        <f t="shared" si="160"/>
        <v>-207</v>
      </c>
      <c r="AC266" s="72">
        <f t="shared" si="160"/>
        <v>-52</v>
      </c>
      <c r="AD266" s="72">
        <f t="shared" si="160"/>
        <v>-51</v>
      </c>
    </row>
    <row r="267" spans="2:38" x14ac:dyDescent="0.55000000000000004">
      <c r="B267" s="434" t="str">
        <f>B257</f>
        <v>Others</v>
      </c>
      <c r="O267" s="72"/>
      <c r="P267" s="72"/>
      <c r="Q267" s="72"/>
      <c r="R267" s="72"/>
      <c r="S267" s="72"/>
      <c r="T267" s="72"/>
      <c r="U267" s="72"/>
      <c r="V267" s="72"/>
      <c r="W267" s="72">
        <f t="shared" si="159"/>
        <v>0</v>
      </c>
      <c r="X267" s="72">
        <f t="shared" si="159"/>
        <v>1.7000000000000002</v>
      </c>
      <c r="Y267" s="72">
        <f t="shared" si="159"/>
        <v>1.2999999999999998</v>
      </c>
      <c r="Z267" s="72">
        <f t="shared" si="160"/>
        <v>3</v>
      </c>
      <c r="AA267" s="72">
        <f t="shared" si="160"/>
        <v>-2</v>
      </c>
      <c r="AB267" s="72">
        <f t="shared" si="160"/>
        <v>4</v>
      </c>
      <c r="AC267" s="72">
        <f t="shared" si="160"/>
        <v>14</v>
      </c>
      <c r="AD267" s="72">
        <f t="shared" si="160"/>
        <v>10</v>
      </c>
    </row>
    <row r="268" spans="2:38" x14ac:dyDescent="0.55000000000000004">
      <c r="B268" s="434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</row>
    <row r="269" spans="2:38" x14ac:dyDescent="0.55000000000000004">
      <c r="B269" s="18" t="s">
        <v>2555</v>
      </c>
      <c r="O269" s="72"/>
      <c r="P269" s="72"/>
      <c r="Q269" s="72"/>
      <c r="R269" s="72"/>
      <c r="S269" s="72"/>
      <c r="T269" s="72"/>
      <c r="U269" s="72"/>
      <c r="V269" s="72"/>
      <c r="W269" s="163">
        <f t="shared" ref="W269:AD269" si="162">W264/W284</f>
        <v>1.0758105368125552</v>
      </c>
      <c r="X269" s="163">
        <f t="shared" si="162"/>
        <v>1.0142662320132916</v>
      </c>
      <c r="Y269" s="163">
        <f t="shared" si="162"/>
        <v>0.86992747061949571</v>
      </c>
      <c r="Z269" s="163">
        <f t="shared" si="162"/>
        <v>0.50980599284699823</v>
      </c>
      <c r="AA269" s="163">
        <f t="shared" si="162"/>
        <v>0.26215179441114789</v>
      </c>
      <c r="AB269" s="163">
        <f t="shared" si="162"/>
        <v>6.1728395061728392E-2</v>
      </c>
      <c r="AC269" s="163">
        <f t="shared" si="162"/>
        <v>0.32692307692307693</v>
      </c>
      <c r="AD269" s="163">
        <f t="shared" si="162"/>
        <v>0.28667457493080267</v>
      </c>
      <c r="AE269" s="607">
        <v>0.1</v>
      </c>
      <c r="AF269" s="607">
        <v>0.1</v>
      </c>
      <c r="AG269" s="607">
        <v>0.1</v>
      </c>
      <c r="AH269" s="607">
        <v>0.1</v>
      </c>
      <c r="AI269" s="607">
        <v>0.1</v>
      </c>
      <c r="AJ269" s="607">
        <v>0.1</v>
      </c>
      <c r="AK269" s="607">
        <v>0.1</v>
      </c>
      <c r="AL269" s="607">
        <v>0.1</v>
      </c>
    </row>
    <row r="270" spans="2:38" x14ac:dyDescent="0.55000000000000004">
      <c r="B270" s="434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</row>
    <row r="271" spans="2:38" x14ac:dyDescent="0.55000000000000004">
      <c r="B271" s="18" t="s">
        <v>2471</v>
      </c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73"/>
      <c r="P271" s="73"/>
      <c r="Q271" s="73"/>
      <c r="R271" s="73">
        <f t="shared" ref="R271:AA271" si="163">R238-R254</f>
        <v>456.64998271000013</v>
      </c>
      <c r="S271" s="73">
        <f t="shared" si="163"/>
        <v>545.85686380000004</v>
      </c>
      <c r="T271" s="73">
        <f t="shared" si="163"/>
        <v>820.10256516999993</v>
      </c>
      <c r="U271" s="73">
        <f t="shared" si="163"/>
        <v>1186.68049015</v>
      </c>
      <c r="V271" s="73">
        <f t="shared" si="163"/>
        <v>1469.9698957400001</v>
      </c>
      <c r="W271" s="73">
        <f t="shared" si="163"/>
        <v>1456.7854452799997</v>
      </c>
      <c r="X271" s="73">
        <f t="shared" si="163"/>
        <v>1520.1159656799996</v>
      </c>
      <c r="Y271" s="73">
        <f t="shared" si="163"/>
        <v>1751.2649304199999</v>
      </c>
      <c r="Z271" s="73">
        <f t="shared" si="163"/>
        <v>1736</v>
      </c>
      <c r="AA271" s="73">
        <f t="shared" si="163"/>
        <v>1693</v>
      </c>
      <c r="AB271" s="73">
        <f t="shared" ref="AB271:AD274" si="164">AB238-AB254</f>
        <v>1795</v>
      </c>
      <c r="AC271" s="73">
        <f t="shared" si="164"/>
        <v>1811</v>
      </c>
      <c r="AD271" s="73">
        <f t="shared" si="164"/>
        <v>1944</v>
      </c>
    </row>
    <row r="272" spans="2:38" x14ac:dyDescent="0.55000000000000004">
      <c r="B272" s="434" t="s">
        <v>136</v>
      </c>
      <c r="O272" s="72"/>
      <c r="P272" s="72"/>
      <c r="Q272" s="72"/>
      <c r="R272" s="72">
        <f t="shared" ref="R272:AA272" si="165">R239-R255</f>
        <v>231.84785019999998</v>
      </c>
      <c r="S272" s="72">
        <f t="shared" si="165"/>
        <v>274.17778549000002</v>
      </c>
      <c r="T272" s="72">
        <f t="shared" si="165"/>
        <v>449.29188580999994</v>
      </c>
      <c r="U272" s="72">
        <f t="shared" si="165"/>
        <v>665.16328397000007</v>
      </c>
      <c r="V272" s="72">
        <f t="shared" si="165"/>
        <v>812.67057763999992</v>
      </c>
      <c r="W272" s="72">
        <f t="shared" si="165"/>
        <v>668.74207003999982</v>
      </c>
      <c r="X272" s="72">
        <f t="shared" si="165"/>
        <v>492.10363681999991</v>
      </c>
      <c r="Y272" s="72">
        <f t="shared" si="165"/>
        <v>319.28235339000003</v>
      </c>
      <c r="Z272" s="72">
        <f t="shared" si="165"/>
        <v>221</v>
      </c>
      <c r="AA272" s="72">
        <f t="shared" si="165"/>
        <v>152</v>
      </c>
      <c r="AB272" s="72">
        <f t="shared" si="164"/>
        <v>112</v>
      </c>
      <c r="AC272" s="72">
        <f t="shared" si="164"/>
        <v>84</v>
      </c>
      <c r="AD272" s="72">
        <f t="shared" si="164"/>
        <v>48</v>
      </c>
    </row>
    <row r="273" spans="2:38" x14ac:dyDescent="0.55000000000000004">
      <c r="B273" s="434" t="s">
        <v>2126</v>
      </c>
      <c r="O273" s="72"/>
      <c r="P273" s="72"/>
      <c r="Q273" s="72"/>
      <c r="R273" s="72">
        <f t="shared" ref="R273:AA273" si="166">R240-R256</f>
        <v>201.33752817000004</v>
      </c>
      <c r="S273" s="72">
        <f t="shared" si="166"/>
        <v>248.38552074</v>
      </c>
      <c r="T273" s="72">
        <f t="shared" si="166"/>
        <v>343.88023469000001</v>
      </c>
      <c r="U273" s="72">
        <f t="shared" si="166"/>
        <v>459.58902654999997</v>
      </c>
      <c r="V273" s="72">
        <f t="shared" si="166"/>
        <v>552.09477298000002</v>
      </c>
      <c r="W273" s="72">
        <f t="shared" si="166"/>
        <v>600.44543726999996</v>
      </c>
      <c r="X273" s="72">
        <f t="shared" si="166"/>
        <v>598.34727356999997</v>
      </c>
      <c r="Y273" s="72">
        <f t="shared" si="166"/>
        <v>615.12610529999995</v>
      </c>
      <c r="Z273" s="72">
        <f t="shared" si="166"/>
        <v>662</v>
      </c>
      <c r="AA273" s="72">
        <f t="shared" si="166"/>
        <v>592</v>
      </c>
      <c r="AB273" s="72">
        <f t="shared" si="164"/>
        <v>598</v>
      </c>
      <c r="AC273" s="72">
        <f t="shared" si="164"/>
        <v>580</v>
      </c>
      <c r="AD273" s="72">
        <f t="shared" si="164"/>
        <v>578</v>
      </c>
    </row>
    <row r="274" spans="2:38" x14ac:dyDescent="0.55000000000000004">
      <c r="B274" s="434" t="s">
        <v>267</v>
      </c>
      <c r="O274" s="72"/>
      <c r="P274" s="72"/>
      <c r="Q274" s="72"/>
      <c r="R274" s="72">
        <f t="shared" ref="R274:AA274" si="167">R241-R257</f>
        <v>23.464604340000001</v>
      </c>
      <c r="S274" s="72">
        <f t="shared" si="167"/>
        <v>23.293557570000001</v>
      </c>
      <c r="T274" s="72">
        <f t="shared" si="167"/>
        <v>26.93044467</v>
      </c>
      <c r="U274" s="72">
        <f t="shared" si="167"/>
        <v>61.928179630000002</v>
      </c>
      <c r="V274" s="72">
        <f t="shared" si="167"/>
        <v>105.20454511999999</v>
      </c>
      <c r="W274" s="72">
        <f t="shared" si="167"/>
        <v>187.59793797</v>
      </c>
      <c r="X274" s="72">
        <f t="shared" si="167"/>
        <v>429.66505529000005</v>
      </c>
      <c r="Y274" s="72">
        <f t="shared" si="167"/>
        <v>816.85647173000007</v>
      </c>
      <c r="Z274" s="72">
        <f t="shared" si="167"/>
        <v>853</v>
      </c>
      <c r="AA274" s="72">
        <f t="shared" si="167"/>
        <v>948</v>
      </c>
      <c r="AB274" s="72">
        <f t="shared" si="164"/>
        <v>1085</v>
      </c>
      <c r="AC274" s="72">
        <f t="shared" si="164"/>
        <v>1147</v>
      </c>
      <c r="AD274" s="72">
        <f t="shared" si="164"/>
        <v>1318</v>
      </c>
    </row>
    <row r="275" spans="2:38" x14ac:dyDescent="0.55000000000000004">
      <c r="B275" s="434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</row>
    <row r="276" spans="2:38" x14ac:dyDescent="0.55000000000000004">
      <c r="B276" s="434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</row>
    <row r="277" spans="2:38" x14ac:dyDescent="0.55000000000000004">
      <c r="B277" t="s">
        <v>3133</v>
      </c>
      <c r="O277" s="72"/>
      <c r="P277" s="72"/>
      <c r="Q277" s="72"/>
      <c r="R277" s="72"/>
      <c r="S277" s="72"/>
      <c r="T277" s="72"/>
      <c r="U277" s="72"/>
      <c r="V277" s="72"/>
      <c r="W277" s="72">
        <f t="shared" ref="W277:AD277" si="168">W278*AVERAGE(V243:W243)/4</f>
        <v>9.2465345037599995</v>
      </c>
      <c r="X277" s="72">
        <f t="shared" si="168"/>
        <v>14.860839097439996</v>
      </c>
      <c r="Y277" s="72">
        <f t="shared" si="168"/>
        <v>28.147110125895001</v>
      </c>
      <c r="Z277" s="72">
        <f t="shared" si="168"/>
        <v>42.398538280335003</v>
      </c>
      <c r="AA277" s="72">
        <f t="shared" si="168"/>
        <v>51.387300000000003</v>
      </c>
      <c r="AB277" s="72">
        <f t="shared" si="168"/>
        <v>57.435300000000005</v>
      </c>
      <c r="AC277" s="72">
        <f t="shared" si="168"/>
        <v>63.774000000000001</v>
      </c>
      <c r="AD277" s="72">
        <f t="shared" si="168"/>
        <v>70.792649999999995</v>
      </c>
      <c r="AE277" s="72">
        <f>AE278*AVERAGE(AD243:AE243)/4</f>
        <v>77.9238</v>
      </c>
      <c r="AF277" s="72">
        <f>AF278*AVERAGE(AE243:AF243)/4</f>
        <v>83.5488</v>
      </c>
      <c r="AG277" s="72">
        <f>AG278*AVERAGE(AF243:AG243)/4</f>
        <v>89.1738</v>
      </c>
      <c r="AH277" s="72">
        <f>Pagbank!I138-AE277-AF277-AG277</f>
        <v>78.236099999999993</v>
      </c>
      <c r="AI277" s="72">
        <f>AI278*AVERAGE(AH243:AI243)/4</f>
        <v>97.278750000000002</v>
      </c>
      <c r="AJ277" s="72">
        <f>AJ278*AVERAGE(AI243:AJ243)/4</f>
        <v>102.90375</v>
      </c>
      <c r="AK277" s="72">
        <f>AK278*AVERAGE(AJ243:AK243)/4</f>
        <v>108.52875</v>
      </c>
      <c r="AL277" s="72">
        <f>Pagbank!J138-AI277-AJ277-AK277</f>
        <v>106.94024999999999</v>
      </c>
    </row>
    <row r="278" spans="2:38" x14ac:dyDescent="0.55000000000000004">
      <c r="B278" t="s">
        <v>3227</v>
      </c>
      <c r="O278" s="72"/>
      <c r="P278" s="72"/>
      <c r="Q278" s="72"/>
      <c r="R278" s="72"/>
      <c r="S278" s="72"/>
      <c r="T278" s="72"/>
      <c r="U278" s="72"/>
      <c r="V278" s="72"/>
      <c r="W278" s="537">
        <f t="shared" ref="W278:AB278" si="169">X278</f>
        <v>0.18</v>
      </c>
      <c r="X278" s="537">
        <f t="shared" si="169"/>
        <v>0.18</v>
      </c>
      <c r="Y278" s="537">
        <f t="shared" si="169"/>
        <v>0.18</v>
      </c>
      <c r="Z278" s="537">
        <f t="shared" si="169"/>
        <v>0.18</v>
      </c>
      <c r="AA278" s="537">
        <f t="shared" si="169"/>
        <v>0.18</v>
      </c>
      <c r="AB278" s="537">
        <f t="shared" si="169"/>
        <v>0.18</v>
      </c>
      <c r="AC278" s="537">
        <v>0.18</v>
      </c>
      <c r="AD278" s="537">
        <v>0.18</v>
      </c>
      <c r="AE278" s="537">
        <v>0.18</v>
      </c>
      <c r="AF278" s="537">
        <v>0.18</v>
      </c>
      <c r="AG278" s="537">
        <v>0.18</v>
      </c>
      <c r="AH278" s="163">
        <f>AH277*4/AVERAGE(AG243,AH243)</f>
        <v>0.15105717781816336</v>
      </c>
      <c r="AI278" s="537">
        <v>0.18</v>
      </c>
      <c r="AJ278" s="537">
        <v>0.18</v>
      </c>
      <c r="AK278" s="537">
        <v>0.18</v>
      </c>
      <c r="AL278" s="163">
        <f>AL277*4/AVERAGE(AK243,AL243)</f>
        <v>0.17133227192165579</v>
      </c>
    </row>
    <row r="279" spans="2:38" x14ac:dyDescent="0.55000000000000004"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</row>
    <row r="280" spans="2:38" x14ac:dyDescent="0.55000000000000004">
      <c r="B280" t="s">
        <v>3134</v>
      </c>
      <c r="O280" s="72"/>
      <c r="P280" s="72"/>
      <c r="Q280" s="72"/>
      <c r="R280" s="72"/>
      <c r="S280" s="72"/>
      <c r="T280" s="72"/>
      <c r="U280" s="72"/>
      <c r="V280" s="72"/>
      <c r="W280" s="72">
        <f t="shared" ref="W280:AC280" si="170">W284-W277</f>
        <v>140.40806962106646</v>
      </c>
      <c r="X280" s="72">
        <f t="shared" si="170"/>
        <v>139.83227307347173</v>
      </c>
      <c r="Y280" s="72">
        <f t="shared" si="170"/>
        <v>140.94744656771826</v>
      </c>
      <c r="Z280" s="72">
        <f t="shared" si="170"/>
        <v>120.4084925599434</v>
      </c>
      <c r="AA280" s="72">
        <f t="shared" si="170"/>
        <v>97.381469970096163</v>
      </c>
      <c r="AB280" s="72">
        <f t="shared" si="170"/>
        <v>39.764699999999998</v>
      </c>
      <c r="AC280" s="72">
        <f t="shared" si="170"/>
        <v>40.225999999999999</v>
      </c>
      <c r="AD280" s="72">
        <f>AD284-AD277</f>
        <v>30.367350000000016</v>
      </c>
      <c r="AE280" s="601">
        <v>37</v>
      </c>
      <c r="AF280" s="601">
        <v>30</v>
      </c>
      <c r="AG280" s="601">
        <v>35</v>
      </c>
      <c r="AH280" s="72">
        <f>Pagbank!I143-AE280-AF280-AG280</f>
        <v>48</v>
      </c>
      <c r="AI280" s="601">
        <v>75</v>
      </c>
      <c r="AJ280" s="601">
        <v>90</v>
      </c>
      <c r="AK280" s="601">
        <v>110</v>
      </c>
      <c r="AL280" s="72">
        <f>Pagbank!J143-AI280-AJ280-AK280</f>
        <v>204.39999999999998</v>
      </c>
    </row>
    <row r="281" spans="2:38" x14ac:dyDescent="0.55000000000000004">
      <c r="B281" t="s">
        <v>3227</v>
      </c>
      <c r="O281" s="72"/>
      <c r="P281" s="72"/>
      <c r="Q281" s="72"/>
      <c r="R281" s="72"/>
      <c r="S281" s="72"/>
      <c r="T281" s="72"/>
      <c r="U281" s="72"/>
      <c r="V281" s="72"/>
      <c r="W281" s="163">
        <f t="shared" ref="W281:AL281" si="171">W280*4/AVERAGE(V243,W243)</f>
        <v>2.7332891605514256</v>
      </c>
      <c r="X281" s="163">
        <f t="shared" si="171"/>
        <v>1.693700401988794</v>
      </c>
      <c r="Y281" s="163">
        <f t="shared" si="171"/>
        <v>0.90135506873399041</v>
      </c>
      <c r="Z281" s="163">
        <f t="shared" si="171"/>
        <v>0.51118575167583735</v>
      </c>
      <c r="AA281" s="163">
        <f t="shared" si="171"/>
        <v>0.34110888477536877</v>
      </c>
      <c r="AB281" s="163">
        <f t="shared" si="171"/>
        <v>0.124621025745491</v>
      </c>
      <c r="AC281" s="163">
        <f t="shared" si="171"/>
        <v>0.11353655094552638</v>
      </c>
      <c r="AD281" s="163">
        <f t="shared" si="171"/>
        <v>7.7213142889833941E-2</v>
      </c>
      <c r="AE281" s="163">
        <f>AE280*4/AVERAGE(AD243,AE243)</f>
        <v>8.5468111154743481E-2</v>
      </c>
      <c r="AF281" s="163">
        <f t="shared" si="171"/>
        <v>6.4632885211995866E-2</v>
      </c>
      <c r="AG281" s="163">
        <f t="shared" si="171"/>
        <v>7.0648553723178784E-2</v>
      </c>
      <c r="AH281" s="163">
        <f t="shared" si="171"/>
        <v>9.2677734898235498E-2</v>
      </c>
      <c r="AI281" s="163">
        <f t="shared" si="171"/>
        <v>0.13877645426159363</v>
      </c>
      <c r="AJ281" s="163">
        <f t="shared" si="171"/>
        <v>0.1574286651361102</v>
      </c>
      <c r="AK281" s="163">
        <f t="shared" si="171"/>
        <v>0.18244013683010263</v>
      </c>
      <c r="AL281" s="163">
        <f t="shared" si="171"/>
        <v>0.32747554247148702</v>
      </c>
    </row>
    <row r="282" spans="2:38" x14ac:dyDescent="0.55000000000000004">
      <c r="O282" s="72"/>
      <c r="P282" s="72"/>
      <c r="Q282" s="72"/>
      <c r="R282" s="72"/>
      <c r="S282" s="72"/>
      <c r="T282" s="72"/>
      <c r="U282" s="72"/>
      <c r="V282" s="72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</row>
    <row r="283" spans="2:38" x14ac:dyDescent="0.55000000000000004">
      <c r="O283" s="72"/>
      <c r="P283" s="72"/>
      <c r="Q283" s="72"/>
      <c r="R283" s="72"/>
      <c r="S283" s="72"/>
      <c r="T283" s="72"/>
      <c r="U283" s="72"/>
      <c r="V283" s="72"/>
      <c r="W283" s="537"/>
      <c r="X283" s="537"/>
      <c r="Y283" s="537"/>
      <c r="Z283" s="537"/>
      <c r="AA283" s="537"/>
      <c r="AB283" s="537"/>
      <c r="AC283" s="537"/>
      <c r="AD283" s="537"/>
      <c r="AE283" s="537"/>
      <c r="AF283" s="537"/>
      <c r="AG283" s="537"/>
      <c r="AH283" s="537"/>
      <c r="AI283" s="537"/>
      <c r="AJ283" s="537"/>
      <c r="AK283" s="537"/>
      <c r="AL283" s="537"/>
    </row>
    <row r="284" spans="2:38" x14ac:dyDescent="0.55000000000000004">
      <c r="B284" s="546" t="s">
        <v>2557</v>
      </c>
      <c r="C284" s="546"/>
      <c r="D284" s="546"/>
      <c r="E284" s="546"/>
      <c r="F284" s="546"/>
      <c r="G284" s="546"/>
      <c r="H284" s="546"/>
      <c r="I284" s="546"/>
      <c r="J284" s="546"/>
      <c r="K284" s="546"/>
      <c r="L284" s="546"/>
      <c r="M284" s="546"/>
      <c r="N284" s="546"/>
      <c r="O284" s="538"/>
      <c r="P284" s="538"/>
      <c r="Q284" s="538"/>
      <c r="R284" s="538"/>
      <c r="S284" s="538"/>
      <c r="T284" s="538"/>
      <c r="U284" s="538"/>
      <c r="V284" s="538"/>
      <c r="W284" s="604">
        <f>W232*0.45</f>
        <v>149.65460412482645</v>
      </c>
      <c r="X284" s="604">
        <f>X232*0.45</f>
        <v>154.69311217091172</v>
      </c>
      <c r="Y284" s="604">
        <f>Y232*0.45</f>
        <v>169.09455669361327</v>
      </c>
      <c r="Z284" s="604">
        <f>Z232*0.45</f>
        <v>162.8070308402784</v>
      </c>
      <c r="AA284" s="604">
        <f>AA232*0.45</f>
        <v>148.76876997009617</v>
      </c>
      <c r="AB284" s="604">
        <f>AB232*0.4</f>
        <v>97.2</v>
      </c>
      <c r="AC284" s="605">
        <f>0.4*AC232</f>
        <v>104</v>
      </c>
      <c r="AD284" s="605">
        <f>0.4*AD232</f>
        <v>101.16000000000001</v>
      </c>
      <c r="AE284" s="538">
        <f t="shared" ref="AE284:AL284" si="172">AE277+AE280</f>
        <v>114.9238</v>
      </c>
      <c r="AF284" s="538">
        <f t="shared" si="172"/>
        <v>113.5488</v>
      </c>
      <c r="AG284" s="538">
        <f t="shared" si="172"/>
        <v>124.1738</v>
      </c>
      <c r="AH284" s="538">
        <f t="shared" si="172"/>
        <v>126.23609999999999</v>
      </c>
      <c r="AI284" s="538">
        <f t="shared" si="172"/>
        <v>172.27875</v>
      </c>
      <c r="AJ284" s="538">
        <f t="shared" si="172"/>
        <v>192.90375</v>
      </c>
      <c r="AK284" s="538">
        <f t="shared" si="172"/>
        <v>218.52875</v>
      </c>
      <c r="AL284" s="538">
        <f t="shared" si="172"/>
        <v>311.34024999999997</v>
      </c>
    </row>
    <row r="285" spans="2:38" x14ac:dyDescent="0.55000000000000004">
      <c r="B285" t="s">
        <v>2556</v>
      </c>
      <c r="O285" s="72"/>
      <c r="P285" s="72"/>
      <c r="Q285" s="72"/>
      <c r="R285" s="72"/>
      <c r="S285" s="72"/>
      <c r="T285" s="72"/>
      <c r="U285" s="72"/>
      <c r="V285" s="72"/>
      <c r="W285" s="163">
        <f t="shared" ref="W285:AL285" si="173">W284*4/AVERAGE(V238:W238)</f>
        <v>0.30219857864579014</v>
      </c>
      <c r="X285" s="163">
        <f t="shared" si="173"/>
        <v>0.28582024437303388</v>
      </c>
      <c r="Y285" s="163">
        <f t="shared" si="173"/>
        <v>0.2744885046263113</v>
      </c>
      <c r="Z285" s="163">
        <f t="shared" si="173"/>
        <v>0.242350584421308</v>
      </c>
      <c r="AA285" s="163">
        <f t="shared" si="173"/>
        <v>0.21885806542125219</v>
      </c>
      <c r="AB285" s="163">
        <f t="shared" si="173"/>
        <v>0.14597334334522247</v>
      </c>
      <c r="AC285" s="606">
        <f t="shared" si="173"/>
        <v>0.16403785488958991</v>
      </c>
      <c r="AD285" s="606">
        <f t="shared" si="173"/>
        <v>0.16214786615908638</v>
      </c>
      <c r="AE285" s="163">
        <f>AE284*4/AVERAGE(AD238:AE238)</f>
        <v>0.18487120813007474</v>
      </c>
      <c r="AF285" s="163">
        <f t="shared" si="173"/>
        <v>0.18872585845826545</v>
      </c>
      <c r="AG285" s="163">
        <f t="shared" si="173"/>
        <v>0.20746288855288325</v>
      </c>
      <c r="AH285" s="163">
        <f t="shared" si="173"/>
        <v>0.19638510498036904</v>
      </c>
      <c r="AI285" s="163">
        <f t="shared" si="173"/>
        <v>0.25070122783083221</v>
      </c>
      <c r="AJ285" s="163">
        <f t="shared" si="173"/>
        <v>0.26729540140296182</v>
      </c>
      <c r="AK285" s="163">
        <f t="shared" si="173"/>
        <v>0.28318295942334171</v>
      </c>
      <c r="AL285" s="163">
        <f t="shared" si="173"/>
        <v>0.37357000907406984</v>
      </c>
    </row>
    <row r="286" spans="2:38" x14ac:dyDescent="0.55000000000000004"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73"/>
      <c r="P286" s="73"/>
      <c r="Q286" s="73"/>
      <c r="R286" s="73"/>
      <c r="S286" s="73"/>
      <c r="T286" s="73"/>
      <c r="U286" s="73"/>
      <c r="V286" s="73"/>
      <c r="W286" s="275"/>
      <c r="X286" s="275"/>
      <c r="Y286" s="275"/>
      <c r="Z286" s="275"/>
      <c r="AA286" s="275"/>
      <c r="AB286" s="275"/>
      <c r="AC286" s="597"/>
      <c r="AD286" s="597"/>
      <c r="AE286" s="275"/>
      <c r="AF286" s="275"/>
      <c r="AG286" s="275"/>
      <c r="AH286" s="275"/>
      <c r="AI286" s="275"/>
      <c r="AJ286" s="275"/>
      <c r="AK286" s="275"/>
      <c r="AL286" s="275"/>
    </row>
    <row r="287" spans="2:38" x14ac:dyDescent="0.55000000000000004">
      <c r="B287" s="546" t="s">
        <v>3209</v>
      </c>
      <c r="C287" s="546"/>
      <c r="D287" s="546"/>
      <c r="E287" s="546"/>
      <c r="F287" s="546"/>
      <c r="G287" s="546"/>
      <c r="H287" s="546"/>
      <c r="I287" s="546"/>
      <c r="J287" s="546"/>
      <c r="K287" s="546"/>
      <c r="L287" s="546"/>
      <c r="M287" s="546"/>
      <c r="N287" s="546"/>
      <c r="O287" s="538"/>
      <c r="P287" s="538"/>
      <c r="Q287" s="538"/>
      <c r="R287" s="538"/>
      <c r="S287" s="538"/>
      <c r="T287" s="538"/>
      <c r="U287" s="538"/>
      <c r="V287" s="538"/>
      <c r="W287" s="550">
        <f t="shared" ref="W287:AC287" si="174">W232-W284-W289</f>
        <v>127.4843078192323</v>
      </c>
      <c r="X287" s="550">
        <f t="shared" si="174"/>
        <v>126.13935932000324</v>
      </c>
      <c r="Y287" s="550">
        <f t="shared" si="174"/>
        <v>132.58151234774974</v>
      </c>
      <c r="Z287" s="550">
        <f t="shared" si="174"/>
        <v>116.75208977700693</v>
      </c>
      <c r="AA287" s="550">
        <f t="shared" si="174"/>
        <v>104.7941216301175</v>
      </c>
      <c r="AB287" s="550">
        <f t="shared" si="174"/>
        <v>70.816781250000005</v>
      </c>
      <c r="AC287" s="550">
        <f t="shared" si="174"/>
        <v>71.883537499999989</v>
      </c>
      <c r="AD287" s="550">
        <f>AD232-AD284-AD289</f>
        <v>59.698750000000004</v>
      </c>
      <c r="AE287" s="547">
        <v>71</v>
      </c>
      <c r="AF287" s="547">
        <v>78</v>
      </c>
      <c r="AG287" s="547">
        <v>80</v>
      </c>
      <c r="AH287" s="538">
        <f>Pagbank!I92-AE287-AF287-AG287</f>
        <v>84.915634710311167</v>
      </c>
      <c r="AI287" s="547">
        <v>80</v>
      </c>
      <c r="AJ287" s="547">
        <v>81</v>
      </c>
      <c r="AK287" s="547">
        <v>82</v>
      </c>
      <c r="AL287" s="538">
        <f>Pagbank!J92-AI287-AJ287-AK287</f>
        <v>86.611416445826762</v>
      </c>
    </row>
    <row r="288" spans="2:38" x14ac:dyDescent="0.55000000000000004"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73"/>
      <c r="P288" s="73"/>
      <c r="Q288" s="73"/>
      <c r="R288" s="73"/>
      <c r="S288" s="73"/>
      <c r="T288" s="73"/>
      <c r="U288" s="73"/>
      <c r="V288" s="73"/>
      <c r="W288" s="90"/>
      <c r="X288" s="90"/>
      <c r="Y288" s="90"/>
      <c r="Z288" s="73"/>
      <c r="AA288" s="73"/>
      <c r="AB288" s="73"/>
      <c r="AC288" s="73"/>
      <c r="AD288" s="73"/>
      <c r="AE288" s="90"/>
      <c r="AF288" s="90"/>
      <c r="AG288" s="90"/>
      <c r="AH288" s="73"/>
      <c r="AI288" s="90"/>
      <c r="AJ288" s="90"/>
      <c r="AK288" s="90"/>
      <c r="AL288" s="73"/>
    </row>
    <row r="289" spans="2:38" x14ac:dyDescent="0.55000000000000004">
      <c r="B289" s="546" t="s">
        <v>3211</v>
      </c>
      <c r="C289" s="546"/>
      <c r="D289" s="546"/>
      <c r="E289" s="546"/>
      <c r="F289" s="546"/>
      <c r="G289" s="546"/>
      <c r="H289" s="546"/>
      <c r="I289" s="546"/>
      <c r="J289" s="546"/>
      <c r="K289" s="546"/>
      <c r="L289" s="546"/>
      <c r="M289" s="546"/>
      <c r="N289" s="546"/>
      <c r="O289" s="538"/>
      <c r="P289" s="538"/>
      <c r="Q289" s="538"/>
      <c r="R289" s="538"/>
      <c r="S289" s="538"/>
      <c r="T289" s="538"/>
      <c r="U289" s="538"/>
      <c r="V289" s="538"/>
      <c r="W289" s="550">
        <f t="shared" ref="W289:AD289" si="175">W313</f>
        <v>55.426875000000003</v>
      </c>
      <c r="X289" s="550">
        <f t="shared" si="175"/>
        <v>62.929999999999993</v>
      </c>
      <c r="Y289" s="550">
        <f t="shared" si="175"/>
        <v>74.089612499999816</v>
      </c>
      <c r="Z289" s="550">
        <f t="shared" si="175"/>
        <v>82.234281250000024</v>
      </c>
      <c r="AA289" s="550">
        <f t="shared" si="175"/>
        <v>77.034375000000011</v>
      </c>
      <c r="AB289" s="550">
        <f t="shared" si="175"/>
        <v>74.983218750000006</v>
      </c>
      <c r="AC289" s="550">
        <f t="shared" si="175"/>
        <v>84.116462500000011</v>
      </c>
      <c r="AD289" s="550">
        <f t="shared" si="175"/>
        <v>92.041250000000005</v>
      </c>
      <c r="AE289" s="550">
        <f t="shared" ref="AE289:AL289" si="176">AE313</f>
        <v>76.54112909729416</v>
      </c>
      <c r="AF289" s="550">
        <f t="shared" si="176"/>
        <v>60.36686798798803</v>
      </c>
      <c r="AG289" s="550">
        <f t="shared" ca="1" si="176"/>
        <v>61.100749176582902</v>
      </c>
      <c r="AH289" s="550">
        <f t="shared" ca="1" si="176"/>
        <v>82.473875124853635</v>
      </c>
      <c r="AI289" s="550">
        <f t="shared" si="176"/>
        <v>65.450290246986455</v>
      </c>
      <c r="AJ289" s="550">
        <f t="shared" si="176"/>
        <v>58.55992069934419</v>
      </c>
      <c r="AK289" s="550">
        <f t="shared" ca="1" si="176"/>
        <v>61.806632528435557</v>
      </c>
      <c r="AL289" s="550">
        <f t="shared" ca="1" si="176"/>
        <v>68.249778829921325</v>
      </c>
    </row>
    <row r="290" spans="2:38" x14ac:dyDescent="0.55000000000000004">
      <c r="B290" t="s">
        <v>3210</v>
      </c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69"/>
      <c r="AD290" s="69"/>
    </row>
    <row r="291" spans="2:38" x14ac:dyDescent="0.55000000000000004"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</row>
    <row r="292" spans="2:38" x14ac:dyDescent="0.55000000000000004">
      <c r="B292" s="23" t="s">
        <v>3244</v>
      </c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</row>
    <row r="293" spans="2:38" x14ac:dyDescent="0.55000000000000004"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</row>
    <row r="294" spans="2:38" x14ac:dyDescent="0.55000000000000004">
      <c r="B294" t="s">
        <v>3245</v>
      </c>
      <c r="O294" s="72"/>
      <c r="P294" s="72"/>
      <c r="Q294" s="72"/>
      <c r="R294" s="72"/>
      <c r="S294" s="72"/>
      <c r="T294" s="72"/>
      <c r="U294" s="72"/>
      <c r="V294" s="72">
        <f>V203</f>
        <v>13100</v>
      </c>
      <c r="W294" s="72">
        <f t="shared" ref="W294:AL294" si="177">W203</f>
        <v>14300</v>
      </c>
      <c r="X294" s="72">
        <f t="shared" si="177"/>
        <v>15100</v>
      </c>
      <c r="Y294" s="72">
        <f t="shared" si="177"/>
        <v>15800</v>
      </c>
      <c r="Z294" s="72">
        <f t="shared" si="177"/>
        <v>16200</v>
      </c>
      <c r="AA294" s="72">
        <f t="shared" si="177"/>
        <v>16300</v>
      </c>
      <c r="AB294" s="72">
        <f t="shared" si="177"/>
        <v>16400</v>
      </c>
      <c r="AC294" s="72">
        <f t="shared" ca="1" si="177"/>
        <v>16800</v>
      </c>
      <c r="AD294" s="72">
        <f t="shared" si="177"/>
        <v>16800</v>
      </c>
      <c r="AE294" s="72">
        <f t="shared" si="177"/>
        <v>17000</v>
      </c>
      <c r="AF294" s="72">
        <f t="shared" si="177"/>
        <v>17200</v>
      </c>
      <c r="AG294" s="72">
        <f t="shared" si="177"/>
        <v>17400</v>
      </c>
      <c r="AH294" s="72">
        <f t="shared" si="177"/>
        <v>17800</v>
      </c>
      <c r="AI294" s="72">
        <f t="shared" si="177"/>
        <v>17925</v>
      </c>
      <c r="AJ294" s="72">
        <f t="shared" si="177"/>
        <v>18050</v>
      </c>
      <c r="AK294" s="72">
        <f t="shared" si="177"/>
        <v>18175</v>
      </c>
      <c r="AL294" s="72">
        <f t="shared" si="177"/>
        <v>18300</v>
      </c>
    </row>
    <row r="295" spans="2:38" x14ac:dyDescent="0.55000000000000004"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</row>
    <row r="296" spans="2:38" x14ac:dyDescent="0.55000000000000004">
      <c r="B296" t="s">
        <v>2066</v>
      </c>
      <c r="O296" s="72"/>
      <c r="P296" s="62">
        <f t="shared" ref="P296:AH296" si="178">P232*1000/AVERAGE(O203,P203)/3</f>
        <v>6.532869301579372</v>
      </c>
      <c r="Q296" s="62">
        <f t="shared" si="178"/>
        <v>8.3023160617096039</v>
      </c>
      <c r="R296" s="62">
        <f t="shared" si="178"/>
        <v>8.0849340739573705</v>
      </c>
      <c r="S296" s="62">
        <f t="shared" si="178"/>
        <v>6.123535497244279</v>
      </c>
      <c r="T296" s="62">
        <f t="shared" si="178"/>
        <v>6.3369586386269381</v>
      </c>
      <c r="U296" s="62">
        <f t="shared" si="178"/>
        <v>7.3469968885883681</v>
      </c>
      <c r="V296" s="62">
        <f t="shared" si="178"/>
        <v>8.1221085112893547</v>
      </c>
      <c r="W296" s="62">
        <f t="shared" si="178"/>
        <v>8.0916249864734482</v>
      </c>
      <c r="X296" s="62">
        <f t="shared" si="178"/>
        <v>7.7950673807463708</v>
      </c>
      <c r="Y296" s="62">
        <f t="shared" si="178"/>
        <v>8.1071344453368468</v>
      </c>
      <c r="Z296" s="62">
        <f t="shared" si="178"/>
        <v>7.5373625389017782</v>
      </c>
      <c r="AA296" s="62">
        <f t="shared" si="178"/>
        <v>6.7814823917992557</v>
      </c>
      <c r="AB296" s="62">
        <f t="shared" si="178"/>
        <v>4.954128440366973</v>
      </c>
      <c r="AC296" s="62">
        <f t="shared" ca="1" si="178"/>
        <v>5.2208835341365463</v>
      </c>
      <c r="AD296" s="62">
        <f t="shared" ca="1" si="178"/>
        <v>5.0178571428571432</v>
      </c>
      <c r="AE296" s="62">
        <f>AE232*1000/AVERAGE(AD203,AE203)/3</f>
        <v>5.1768230591182283</v>
      </c>
      <c r="AF296" s="62">
        <f t="shared" si="178"/>
        <v>4.9106368028847571</v>
      </c>
      <c r="AG296" s="62">
        <f t="shared" ca="1" si="178"/>
        <v>5.1112629899148931</v>
      </c>
      <c r="AH296" s="62">
        <f t="shared" ca="1" si="178"/>
        <v>5.5610910953629693</v>
      </c>
      <c r="AI296" s="62"/>
      <c r="AJ296" s="62"/>
      <c r="AK296" s="62"/>
      <c r="AL296" s="62"/>
    </row>
    <row r="297" spans="2:38" x14ac:dyDescent="0.55000000000000004"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</row>
    <row r="298" spans="2:38" x14ac:dyDescent="0.55000000000000004">
      <c r="B298" t="s">
        <v>2467</v>
      </c>
      <c r="O298" s="72"/>
      <c r="P298" s="72"/>
      <c r="Q298" s="72"/>
      <c r="R298" s="72"/>
      <c r="S298" s="72"/>
      <c r="T298" s="72"/>
      <c r="U298" s="72">
        <v>7200</v>
      </c>
      <c r="V298" s="72">
        <v>8800</v>
      </c>
      <c r="W298" s="72">
        <v>11200</v>
      </c>
      <c r="X298" s="72">
        <v>15500</v>
      </c>
      <c r="Y298" s="72">
        <v>19402</v>
      </c>
      <c r="Z298" s="72">
        <v>20700</v>
      </c>
      <c r="AA298" s="72">
        <v>18600</v>
      </c>
      <c r="AB298" s="72">
        <v>18290</v>
      </c>
      <c r="AC298" s="72">
        <v>21569</v>
      </c>
      <c r="AD298" s="72">
        <v>27571</v>
      </c>
      <c r="AE298" s="4">
        <f>AE294*AE305/1000</f>
        <v>20368.711656441719</v>
      </c>
      <c r="AF298" s="4">
        <f>AF294*AF305/1000</f>
        <v>20141.304878048781</v>
      </c>
      <c r="AG298" s="4">
        <f ca="1">AG294*AG305/1000</f>
        <v>23456.287500000002</v>
      </c>
      <c r="AH298" s="4">
        <f>Pagbank!I153</f>
        <v>25553.383333333335</v>
      </c>
      <c r="AI298" s="4">
        <f>AI294*AI305/1000</f>
        <v>22121.31947852761</v>
      </c>
      <c r="AJ298" s="4">
        <f>AJ294*AJ305/1000</f>
        <v>21770.75986280488</v>
      </c>
      <c r="AK298" s="4">
        <f ca="1">AK294*AK305/1000</f>
        <v>25236.067015625005</v>
      </c>
      <c r="AL298" s="4">
        <f>Pagbank!J153</f>
        <v>27584.733750000003</v>
      </c>
    </row>
    <row r="299" spans="2:38" x14ac:dyDescent="0.55000000000000004">
      <c r="B299" t="s">
        <v>7</v>
      </c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163">
        <f t="shared" ref="AA299:AL299" si="179">AA298/Z298-1</f>
        <v>-0.10144927536231885</v>
      </c>
      <c r="AB299" s="163">
        <f t="shared" si="179"/>
        <v>-1.6666666666666718E-2</v>
      </c>
      <c r="AC299" s="163">
        <f t="shared" si="179"/>
        <v>0.17927829414980856</v>
      </c>
      <c r="AD299" s="163">
        <f t="shared" si="179"/>
        <v>0.27826973897723595</v>
      </c>
      <c r="AE299" s="163">
        <f>AE298/AD298-1</f>
        <v>-0.26122695381227667</v>
      </c>
      <c r="AF299" s="163">
        <f t="shared" si="179"/>
        <v>-1.1164514586322394E-2</v>
      </c>
      <c r="AG299" s="163">
        <f t="shared" ca="1" si="179"/>
        <v>0.16458628882402215</v>
      </c>
      <c r="AH299" s="163">
        <f t="shared" ca="1" si="179"/>
        <v>8.9404422303970055E-2</v>
      </c>
      <c r="AI299" s="163">
        <f t="shared" si="179"/>
        <v>-0.13430956715343201</v>
      </c>
      <c r="AJ299" s="163">
        <f t="shared" si="179"/>
        <v>-1.5847138596909005E-2</v>
      </c>
      <c r="AK299" s="163">
        <f t="shared" ca="1" si="179"/>
        <v>0.15917254035494488</v>
      </c>
      <c r="AL299" s="163">
        <f t="shared" ca="1" si="179"/>
        <v>9.306785930314776E-2</v>
      </c>
    </row>
    <row r="300" spans="2:38" x14ac:dyDescent="0.55000000000000004"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163"/>
      <c r="AB300" s="163"/>
      <c r="AC300" s="163"/>
      <c r="AD300" s="163"/>
    </row>
    <row r="301" spans="2:38" x14ac:dyDescent="0.55000000000000004">
      <c r="B301" s="10" t="s">
        <v>2891</v>
      </c>
      <c r="O301" s="72"/>
      <c r="P301" s="72"/>
      <c r="Q301" s="72"/>
      <c r="R301" s="72"/>
      <c r="S301" s="72"/>
      <c r="T301" s="72"/>
      <c r="U301" s="72"/>
      <c r="V301" s="72"/>
      <c r="W301" s="72"/>
      <c r="X301" s="163">
        <v>0.81</v>
      </c>
      <c r="Y301" s="72"/>
      <c r="Z301" s="72"/>
      <c r="AA301" s="163">
        <f>AA302/AA298</f>
        <v>0.83870967741935487</v>
      </c>
      <c r="AB301" s="163">
        <v>0.86</v>
      </c>
      <c r="AC301" s="163">
        <v>0.85</v>
      </c>
      <c r="AD301" s="163"/>
    </row>
    <row r="302" spans="2:38" x14ac:dyDescent="0.55000000000000004">
      <c r="B302" s="10" t="s">
        <v>1106</v>
      </c>
      <c r="O302" s="72"/>
      <c r="P302" s="72"/>
      <c r="Q302" s="72"/>
      <c r="R302" s="72"/>
      <c r="S302" s="72"/>
      <c r="T302" s="72"/>
      <c r="U302" s="72"/>
      <c r="V302" s="72"/>
      <c r="W302" s="72"/>
      <c r="X302" s="72">
        <f>X298*X301</f>
        <v>12555</v>
      </c>
      <c r="Y302" s="72"/>
      <c r="Z302" s="72"/>
      <c r="AA302" s="72">
        <v>15600</v>
      </c>
      <c r="AB302" s="72">
        <f>AB298*AB301</f>
        <v>15729.4</v>
      </c>
      <c r="AC302" s="72">
        <f>AC298*AC301</f>
        <v>18333.649999999998</v>
      </c>
      <c r="AD302" s="72"/>
    </row>
    <row r="303" spans="2:38" x14ac:dyDescent="0.55000000000000004">
      <c r="B303" s="10" t="s">
        <v>2892</v>
      </c>
      <c r="O303" s="72"/>
      <c r="P303" s="72"/>
      <c r="Q303" s="72"/>
      <c r="R303" s="72"/>
      <c r="S303" s="72"/>
      <c r="T303" s="72"/>
      <c r="U303" s="72"/>
      <c r="V303" s="72"/>
      <c r="W303" s="72"/>
      <c r="X303" s="72">
        <f>X298-X302</f>
        <v>2945</v>
      </c>
      <c r="Y303" s="72"/>
      <c r="Z303" s="72"/>
      <c r="AA303" s="72">
        <f>AA298-AA302</f>
        <v>3000</v>
      </c>
      <c r="AB303" s="72">
        <f>AB298-AB302</f>
        <v>2560.6000000000004</v>
      </c>
      <c r="AC303" s="72">
        <f>AC298-AC302</f>
        <v>3235.3500000000022</v>
      </c>
      <c r="AD303" s="72"/>
    </row>
    <row r="304" spans="2:38" x14ac:dyDescent="0.55000000000000004"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</row>
    <row r="305" spans="2:38" x14ac:dyDescent="0.55000000000000004">
      <c r="B305" t="s">
        <v>2949</v>
      </c>
      <c r="O305" s="72"/>
      <c r="P305" s="72"/>
      <c r="Q305" s="72"/>
      <c r="R305" s="72"/>
      <c r="S305" s="72"/>
      <c r="T305" s="72"/>
      <c r="U305" s="72"/>
      <c r="V305" s="72"/>
      <c r="W305" s="72">
        <f t="shared" ref="W305:AD305" si="180">W298*1000/W294</f>
        <v>783.21678321678326</v>
      </c>
      <c r="X305" s="72">
        <f t="shared" si="180"/>
        <v>1026.4900662251655</v>
      </c>
      <c r="Y305" s="72">
        <f t="shared" si="180"/>
        <v>1227.9746835443038</v>
      </c>
      <c r="Z305" s="72">
        <f t="shared" si="180"/>
        <v>1277.7777777777778</v>
      </c>
      <c r="AA305" s="72">
        <f t="shared" si="180"/>
        <v>1141.1042944785277</v>
      </c>
      <c r="AB305" s="72">
        <f t="shared" si="180"/>
        <v>1115.2439024390244</v>
      </c>
      <c r="AC305" s="72">
        <f t="shared" ca="1" si="180"/>
        <v>1283.8690476190477</v>
      </c>
      <c r="AD305" s="72">
        <f t="shared" si="180"/>
        <v>1641.1309523809523</v>
      </c>
      <c r="AE305" s="72">
        <f>(1+AE306)*AA305</f>
        <v>1198.159509202454</v>
      </c>
      <c r="AF305" s="72">
        <f>(1+AF306)*AB305</f>
        <v>1171.0060975609756</v>
      </c>
      <c r="AG305" s="72">
        <f ca="1">(1+AG306)*AC305</f>
        <v>1348.0625000000002</v>
      </c>
      <c r="AH305" s="72">
        <f>AH298*1000/AH294</f>
        <v>1435.5833333333335</v>
      </c>
      <c r="AI305" s="72">
        <f>(1+AI306)*AE305</f>
        <v>1234.1042944785277</v>
      </c>
      <c r="AJ305" s="72">
        <f>(1+AJ306)*AF305</f>
        <v>1206.1362804878049</v>
      </c>
      <c r="AK305" s="72">
        <f ca="1">(1+AK306)*AG305</f>
        <v>1388.5043750000002</v>
      </c>
      <c r="AL305" s="72">
        <f>AL298*1000/AL294</f>
        <v>1507.3625000000002</v>
      </c>
    </row>
    <row r="306" spans="2:38" x14ac:dyDescent="0.55000000000000004">
      <c r="B306" t="s">
        <v>195</v>
      </c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163">
        <f>AA305/W305-1</f>
        <v>0.45694566170026296</v>
      </c>
      <c r="AB306" s="163">
        <f>AB305/X305-1</f>
        <v>8.6463414634146529E-2</v>
      </c>
      <c r="AC306" s="163">
        <f ca="1">AC305/Y305-1</f>
        <v>4.5517521512264292E-2</v>
      </c>
      <c r="AD306" s="163">
        <f>AD305/Z305-1</f>
        <v>0.28436335403726698</v>
      </c>
      <c r="AE306" s="537">
        <v>0.05</v>
      </c>
      <c r="AF306" s="537">
        <v>0.05</v>
      </c>
      <c r="AG306" s="537">
        <v>0.05</v>
      </c>
      <c r="AH306" s="163">
        <f>AH305/AD305-1</f>
        <v>-0.1252475427079176</v>
      </c>
      <c r="AI306" s="537">
        <v>0.03</v>
      </c>
      <c r="AJ306" s="537">
        <v>0.03</v>
      </c>
      <c r="AK306" s="537">
        <v>0.03</v>
      </c>
      <c r="AL306" s="163">
        <f>AL305/AH305-1</f>
        <v>5.0000000000000044E-2</v>
      </c>
    </row>
    <row r="307" spans="2:38" x14ac:dyDescent="0.55000000000000004"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</row>
    <row r="308" spans="2:38" x14ac:dyDescent="0.55000000000000004">
      <c r="B308" s="9" t="s">
        <v>3235</v>
      </c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</row>
    <row r="309" spans="2:38" x14ac:dyDescent="0.55000000000000004">
      <c r="B309" t="s">
        <v>2228</v>
      </c>
      <c r="O309" s="72"/>
      <c r="P309" s="72"/>
      <c r="Q309" s="72"/>
      <c r="R309" s="72"/>
      <c r="S309" s="72"/>
      <c r="T309" s="72"/>
      <c r="U309" s="72"/>
      <c r="V309" s="72">
        <v>5000</v>
      </c>
      <c r="W309" s="72">
        <v>5500</v>
      </c>
      <c r="X309" s="72">
        <v>6100</v>
      </c>
      <c r="Y309" s="72">
        <v>6734</v>
      </c>
      <c r="Z309" s="72">
        <v>8700</v>
      </c>
      <c r="AA309" s="72">
        <v>7900</v>
      </c>
      <c r="AB309" s="72">
        <v>8258</v>
      </c>
      <c r="AC309" s="72">
        <v>9655</v>
      </c>
      <c r="AD309" s="72">
        <v>11383</v>
      </c>
      <c r="AE309" s="4">
        <f>AE310*AE298</f>
        <v>8409.4535847548541</v>
      </c>
      <c r="AF309" s="4">
        <f>AF310*AF298</f>
        <v>8315.5661175448586</v>
      </c>
      <c r="AG309" s="4">
        <f ca="1">AG310*AG298</f>
        <v>9684.194284302348</v>
      </c>
      <c r="AH309" s="4">
        <f>Pagbank!I157</f>
        <v>11499.022500000001</v>
      </c>
      <c r="AI309" s="4">
        <f>AI310*AI298</f>
        <v>9954.593765337424</v>
      </c>
      <c r="AJ309" s="4">
        <f>AJ310*AJ298</f>
        <v>9796.841938262196</v>
      </c>
      <c r="AK309" s="4">
        <f ca="1">AK310*AK298</f>
        <v>11356.230157031252</v>
      </c>
      <c r="AL309" s="4">
        <f>Pagbank!J157</f>
        <v>12413.130187500001</v>
      </c>
    </row>
    <row r="310" spans="2:38" x14ac:dyDescent="0.55000000000000004">
      <c r="B310" t="s">
        <v>3246</v>
      </c>
      <c r="O310" s="72"/>
      <c r="P310" s="72"/>
      <c r="Q310" s="72"/>
      <c r="R310" s="72"/>
      <c r="S310" s="72"/>
      <c r="T310" s="72"/>
      <c r="U310" s="72"/>
      <c r="V310" s="72"/>
      <c r="W310" s="163">
        <f>W309/W298</f>
        <v>0.49107142857142855</v>
      </c>
      <c r="X310" s="163">
        <f t="shared" ref="X310:AD310" si="181">X309/X298</f>
        <v>0.3935483870967742</v>
      </c>
      <c r="Y310" s="163">
        <f t="shared" si="181"/>
        <v>0.34707762086382848</v>
      </c>
      <c r="Z310" s="163">
        <f t="shared" si="181"/>
        <v>0.42028985507246375</v>
      </c>
      <c r="AA310" s="163">
        <f t="shared" si="181"/>
        <v>0.42473118279569894</v>
      </c>
      <c r="AB310" s="163">
        <f t="shared" si="181"/>
        <v>0.45150355385456531</v>
      </c>
      <c r="AC310" s="163">
        <f t="shared" si="181"/>
        <v>0.44763317724512031</v>
      </c>
      <c r="AD310" s="163">
        <f t="shared" si="181"/>
        <v>0.41286133981357226</v>
      </c>
      <c r="AE310" s="5">
        <f>AD310</f>
        <v>0.41286133981357226</v>
      </c>
      <c r="AF310" s="5">
        <f>AE310</f>
        <v>0.41286133981357226</v>
      </c>
      <c r="AG310" s="5">
        <f>AF310</f>
        <v>0.41286133981357226</v>
      </c>
      <c r="AH310" s="163">
        <f>AH309/AH298</f>
        <v>0.45</v>
      </c>
      <c r="AI310" s="5">
        <f>AH310</f>
        <v>0.45</v>
      </c>
      <c r="AJ310" s="5">
        <f>AI310</f>
        <v>0.45</v>
      </c>
      <c r="AK310" s="5">
        <f>AJ310</f>
        <v>0.45</v>
      </c>
      <c r="AL310" s="163">
        <f>AL309/AL298</f>
        <v>0.44999999999999996</v>
      </c>
    </row>
    <row r="311" spans="2:38" x14ac:dyDescent="0.55000000000000004">
      <c r="B311" t="s">
        <v>3250</v>
      </c>
      <c r="O311" s="72"/>
      <c r="P311" s="72"/>
      <c r="Q311" s="72"/>
      <c r="R311" s="72"/>
      <c r="S311" s="72"/>
      <c r="T311" s="72"/>
      <c r="U311" s="72"/>
      <c r="V311" s="72"/>
      <c r="W311" s="163">
        <v>0.59</v>
      </c>
      <c r="X311" s="163">
        <v>0.65</v>
      </c>
      <c r="Y311" s="163">
        <v>0.66</v>
      </c>
      <c r="Z311" s="163">
        <v>0.69</v>
      </c>
      <c r="AA311" s="163">
        <v>0.73</v>
      </c>
      <c r="AB311" s="163">
        <v>0.73</v>
      </c>
      <c r="AC311" s="163">
        <v>0.72</v>
      </c>
      <c r="AD311" s="163">
        <v>0.72</v>
      </c>
      <c r="AE311" s="5">
        <v>0.72499999999999998</v>
      </c>
      <c r="AF311" s="5">
        <v>0.72499999999999998</v>
      </c>
      <c r="AG311" s="5">
        <v>0.72499999999999998</v>
      </c>
      <c r="AH311" s="2">
        <f ca="1">(1-(AH312)*4/AH93)</f>
        <v>0.66327702921118248</v>
      </c>
      <c r="AI311" s="5">
        <v>0.72499999999999998</v>
      </c>
      <c r="AJ311" s="5">
        <v>0.72499999999999998</v>
      </c>
      <c r="AK311" s="5">
        <v>0.72499999999999998</v>
      </c>
      <c r="AL311" s="2">
        <f ca="1">(1-(AL312)*4/AL93)</f>
        <v>0.72975677499730485</v>
      </c>
    </row>
    <row r="312" spans="2:38" x14ac:dyDescent="0.55000000000000004">
      <c r="B312" t="s">
        <v>3237</v>
      </c>
      <c r="O312" s="72"/>
      <c r="P312" s="72"/>
      <c r="Q312" s="72"/>
      <c r="R312" s="72"/>
      <c r="S312" s="72"/>
      <c r="T312" s="72"/>
      <c r="U312" s="72"/>
      <c r="V312" s="72"/>
      <c r="W312" s="69">
        <f t="shared" ref="W312:AC312" si="182">(1-W311)*W93/4</f>
        <v>1.0557500000000001E-2</v>
      </c>
      <c r="X312" s="69">
        <f t="shared" si="182"/>
        <v>1.0849999999999999E-2</v>
      </c>
      <c r="Y312" s="69">
        <f t="shared" si="182"/>
        <v>1.1545833333333304E-2</v>
      </c>
      <c r="Z312" s="69">
        <f t="shared" si="182"/>
        <v>1.0656250000000003E-2</v>
      </c>
      <c r="AA312" s="69">
        <f t="shared" si="182"/>
        <v>9.2812500000000013E-3</v>
      </c>
      <c r="AB312" s="69">
        <f t="shared" si="182"/>
        <v>9.2812500000000013E-3</v>
      </c>
      <c r="AC312" s="69">
        <f t="shared" si="182"/>
        <v>9.391666666666668E-3</v>
      </c>
      <c r="AD312" s="69">
        <f>(1-AD311)*AD93/4</f>
        <v>8.7500000000000008E-3</v>
      </c>
      <c r="AE312" s="69">
        <f>(1-AE311)*AE93/4</f>
        <v>7.7343749999999999E-3</v>
      </c>
      <c r="AF312" s="69">
        <f>(1-AF311)*AF93/4</f>
        <v>7.2187500000000003E-3</v>
      </c>
      <c r="AG312" s="69">
        <f>(1-AG311)*AG93/4</f>
        <v>6.7890625000000008E-3</v>
      </c>
      <c r="AH312" s="69">
        <f ca="1">AH313/AVERAGE(AG309,AH309)</f>
        <v>7.7867186994914038E-3</v>
      </c>
      <c r="AI312" s="69">
        <f>(1-AI311)*AI93/4</f>
        <v>6.1015625000000002E-3</v>
      </c>
      <c r="AJ312" s="69">
        <f>(1-AJ311)*AJ93/4</f>
        <v>5.9296875000000001E-3</v>
      </c>
      <c r="AK312" s="69">
        <f>(1-AK311)*AK93/4</f>
        <v>5.8437500000000009E-3</v>
      </c>
      <c r="AL312" s="69">
        <f ca="1">AL313/AVERAGE(AK309,AL309)</f>
        <v>5.7426685313072736E-3</v>
      </c>
    </row>
    <row r="313" spans="2:38" x14ac:dyDescent="0.55000000000000004">
      <c r="B313" t="s">
        <v>3238</v>
      </c>
      <c r="O313" s="72"/>
      <c r="P313" s="72"/>
      <c r="Q313" s="72"/>
      <c r="R313" s="72"/>
      <c r="S313" s="72"/>
      <c r="T313" s="72"/>
      <c r="U313" s="72"/>
      <c r="V313" s="72"/>
      <c r="W313" s="72">
        <f t="shared" ref="W313:AD313" si="183">W312*AVERAGE(V309,W309)</f>
        <v>55.426875000000003</v>
      </c>
      <c r="X313" s="72">
        <f t="shared" si="183"/>
        <v>62.929999999999993</v>
      </c>
      <c r="Y313" s="72">
        <f t="shared" si="183"/>
        <v>74.089612499999816</v>
      </c>
      <c r="Z313" s="72">
        <f t="shared" si="183"/>
        <v>82.234281250000024</v>
      </c>
      <c r="AA313" s="72">
        <f t="shared" si="183"/>
        <v>77.034375000000011</v>
      </c>
      <c r="AB313" s="72">
        <f t="shared" si="183"/>
        <v>74.983218750000006</v>
      </c>
      <c r="AC313" s="72">
        <f t="shared" si="183"/>
        <v>84.116462500000011</v>
      </c>
      <c r="AD313" s="72">
        <f t="shared" si="183"/>
        <v>92.041250000000005</v>
      </c>
      <c r="AE313" s="72">
        <f>AE312*AVERAGE(AD309,AE309)</f>
        <v>76.54112909729416</v>
      </c>
      <c r="AF313" s="72">
        <f>AF312*AVERAGE(AE309,AF309)</f>
        <v>60.36686798798803</v>
      </c>
      <c r="AG313" s="72">
        <f ca="1">AG312*AVERAGE(AF309,AG309)</f>
        <v>61.100749176582902</v>
      </c>
      <c r="AH313" s="4">
        <f ca="1">Pagbank!I161-AE313-AF313-AG313</f>
        <v>82.473875124853635</v>
      </c>
      <c r="AI313" s="72">
        <f>AI312*AVERAGE(AH309,AI309)</f>
        <v>65.450290246986455</v>
      </c>
      <c r="AJ313" s="72">
        <f>AJ312*AVERAGE(AI309,AJ309)</f>
        <v>58.55992069934419</v>
      </c>
      <c r="AK313" s="72">
        <f ca="1">AK312*AVERAGE(AJ309,AK309)</f>
        <v>61.806632528435557</v>
      </c>
      <c r="AL313" s="4">
        <f ca="1">Pagbank!J161-AI313-AJ313-AK313</f>
        <v>68.249778829921325</v>
      </c>
    </row>
    <row r="314" spans="2:38" x14ac:dyDescent="0.55000000000000004"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163"/>
      <c r="Z314" s="163"/>
      <c r="AA314" s="163"/>
      <c r="AB314" s="163"/>
      <c r="AC314" s="163"/>
      <c r="AD314" s="163"/>
    </row>
    <row r="315" spans="2:38" x14ac:dyDescent="0.55000000000000004">
      <c r="B315" t="s">
        <v>3236</v>
      </c>
      <c r="O315" s="72"/>
      <c r="P315" s="72"/>
      <c r="Q315" s="72"/>
      <c r="R315" s="72"/>
      <c r="S315" s="72"/>
      <c r="T315" s="72"/>
      <c r="U315" s="72"/>
      <c r="V315" s="72"/>
      <c r="W315" s="72">
        <f t="shared" ref="W315:AC315" si="184">W298-W309</f>
        <v>5700</v>
      </c>
      <c r="X315" s="72">
        <f t="shared" si="184"/>
        <v>9400</v>
      </c>
      <c r="Y315" s="72">
        <f t="shared" si="184"/>
        <v>12668</v>
      </c>
      <c r="Z315" s="72">
        <f t="shared" si="184"/>
        <v>12000</v>
      </c>
      <c r="AA315" s="72">
        <f t="shared" si="184"/>
        <v>10700</v>
      </c>
      <c r="AB315" s="72">
        <f t="shared" si="184"/>
        <v>10032</v>
      </c>
      <c r="AC315" s="72">
        <f t="shared" si="184"/>
        <v>11914</v>
      </c>
      <c r="AD315" s="72">
        <f>AD298-AD309</f>
        <v>16188</v>
      </c>
    </row>
    <row r="316" spans="2:38" x14ac:dyDescent="0.55000000000000004">
      <c r="B316" t="str">
        <f>B311</f>
        <v>% yield on checking (as % CDI) per Q</v>
      </c>
      <c r="O316" s="72"/>
      <c r="P316" s="72"/>
      <c r="Q316" s="72"/>
      <c r="R316" s="72"/>
      <c r="S316" s="72"/>
      <c r="T316" s="72"/>
      <c r="U316" s="72"/>
      <c r="V316" s="72"/>
      <c r="W316" s="163">
        <v>1.27</v>
      </c>
      <c r="X316" s="163">
        <v>1.18</v>
      </c>
      <c r="Y316" s="163">
        <v>1.165</v>
      </c>
      <c r="Z316" s="163">
        <v>1.1599999999999999</v>
      </c>
      <c r="AA316" s="163">
        <v>1.0900000000000001</v>
      </c>
      <c r="AB316" s="163">
        <v>1.1180000000000001</v>
      </c>
      <c r="AC316" s="163">
        <v>1.1080000000000001</v>
      </c>
      <c r="AD316" s="163"/>
    </row>
    <row r="317" spans="2:38" x14ac:dyDescent="0.55000000000000004">
      <c r="O317" s="72"/>
      <c r="P317" s="72"/>
      <c r="Q317" s="72"/>
      <c r="R317" s="72"/>
      <c r="S317" s="72"/>
      <c r="T317" s="72"/>
      <c r="U317" s="72"/>
      <c r="V317" s="72"/>
      <c r="W317" s="163"/>
      <c r="X317" s="72"/>
      <c r="Y317" s="72"/>
      <c r="Z317" s="163"/>
      <c r="AA317" s="163"/>
      <c r="AB317" s="72"/>
      <c r="AC317" s="163"/>
      <c r="AD317" s="163"/>
    </row>
    <row r="318" spans="2:38" x14ac:dyDescent="0.55000000000000004">
      <c r="B318" t="s">
        <v>3239</v>
      </c>
      <c r="O318" s="72"/>
      <c r="P318" s="72"/>
      <c r="Q318" s="72"/>
      <c r="R318" s="72"/>
      <c r="S318" s="72"/>
      <c r="T318" s="72"/>
      <c r="U318" s="72"/>
      <c r="V318" s="72"/>
      <c r="W318" s="163">
        <f t="shared" ref="W318:AD318" si="185">((W311*AVERAGE(V309,W309)+(W316*AVERAGE(V315,W315))))/W298</f>
        <v>0.92290178571428572</v>
      </c>
      <c r="X318" s="163">
        <f t="shared" si="185"/>
        <v>0.81799999999999995</v>
      </c>
      <c r="Y318" s="163">
        <f t="shared" si="185"/>
        <v>0.8808282651273065</v>
      </c>
      <c r="Z318" s="163">
        <f t="shared" si="185"/>
        <v>0.94841400966183564</v>
      </c>
      <c r="AA318" s="163">
        <f t="shared" si="185"/>
        <v>0.99088709677419351</v>
      </c>
      <c r="AB318" s="163">
        <f t="shared" si="185"/>
        <v>0.95608846364133404</v>
      </c>
      <c r="AC318" s="163">
        <f t="shared" si="185"/>
        <v>0.86266233946868187</v>
      </c>
      <c r="AD318" s="163">
        <f t="shared" si="185"/>
        <v>0.27469732690145443</v>
      </c>
    </row>
    <row r="319" spans="2:38" x14ac:dyDescent="0.55000000000000004"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</row>
    <row r="320" spans="2:38" x14ac:dyDescent="0.55000000000000004">
      <c r="B320" t="s">
        <v>1440</v>
      </c>
      <c r="O320" s="72"/>
      <c r="P320" s="72"/>
      <c r="Q320" s="72"/>
      <c r="R320" s="72"/>
      <c r="S320" s="72"/>
      <c r="T320" s="72"/>
      <c r="U320" s="69">
        <f t="shared" ref="U320:AD320" si="186">U93</f>
        <v>5.2499999999999998E-2</v>
      </c>
      <c r="V320" s="69">
        <f t="shared" si="186"/>
        <v>8.0799999999999997E-2</v>
      </c>
      <c r="W320" s="69">
        <f t="shared" si="186"/>
        <v>0.10299999999999999</v>
      </c>
      <c r="X320" s="69">
        <f t="shared" si="186"/>
        <v>0.124</v>
      </c>
      <c r="Y320" s="69">
        <f t="shared" si="186"/>
        <v>0.135833333333333</v>
      </c>
      <c r="Z320" s="69">
        <f t="shared" si="186"/>
        <v>0.13750000000000001</v>
      </c>
      <c r="AA320" s="69">
        <f t="shared" si="186"/>
        <v>0.13750000000000001</v>
      </c>
      <c r="AB320" s="69">
        <f t="shared" si="186"/>
        <v>0.13750000000000001</v>
      </c>
      <c r="AC320" s="69">
        <f t="shared" si="186"/>
        <v>0.13416666666666668</v>
      </c>
      <c r="AD320" s="69">
        <f t="shared" si="186"/>
        <v>0.125</v>
      </c>
      <c r="AE320" s="69">
        <f>AE93</f>
        <v>0.11249999999999999</v>
      </c>
      <c r="AF320" s="69">
        <f>AF93</f>
        <v>0.105</v>
      </c>
      <c r="AG320" s="69">
        <f>AG93</f>
        <v>9.8750000000000004E-2</v>
      </c>
      <c r="AH320" s="69">
        <f>AH321*4/AVERAGE(AG238,AH238)</f>
        <v>0.11845501556669165</v>
      </c>
      <c r="AI320" s="548">
        <v>0.09</v>
      </c>
      <c r="AJ320" s="548">
        <v>0.09</v>
      </c>
      <c r="AK320" s="548">
        <v>0.09</v>
      </c>
      <c r="AL320" s="69">
        <f>AL321*4/AVERAGE(AK238,AL238)</f>
        <v>8.1524743713769346E-2</v>
      </c>
    </row>
    <row r="321" spans="2:38" x14ac:dyDescent="0.55000000000000004">
      <c r="B321" t="s">
        <v>290</v>
      </c>
      <c r="O321" s="72"/>
      <c r="P321" s="72"/>
      <c r="Q321" s="72"/>
      <c r="R321" s="72"/>
      <c r="S321" s="72"/>
      <c r="T321" s="72"/>
      <c r="U321" s="72">
        <f t="shared" ref="U321:AD321" si="187">U320*AVERAGE(T238,U238)/4</f>
        <v>17.517170050537501</v>
      </c>
      <c r="V321" s="72">
        <f t="shared" si="187"/>
        <v>34.947518897488997</v>
      </c>
      <c r="W321" s="72">
        <f t="shared" si="187"/>
        <v>51.007600015632498</v>
      </c>
      <c r="X321" s="72">
        <f t="shared" si="187"/>
        <v>67.111921869879978</v>
      </c>
      <c r="Y321" s="72">
        <f t="shared" si="187"/>
        <v>83.678102715031031</v>
      </c>
      <c r="Z321" s="72">
        <f t="shared" si="187"/>
        <v>92.370178491593762</v>
      </c>
      <c r="AA321" s="72">
        <f t="shared" si="187"/>
        <v>93.465625000000003</v>
      </c>
      <c r="AB321" s="72">
        <f t="shared" si="187"/>
        <v>91.557812500000011</v>
      </c>
      <c r="AC321" s="72">
        <f t="shared" si="187"/>
        <v>85.061666666666682</v>
      </c>
      <c r="AD321" s="72">
        <f t="shared" si="187"/>
        <v>77.984375</v>
      </c>
      <c r="AE321" s="72">
        <f>AE320*AVERAGE(AD238,AE238)/4</f>
        <v>69.93478125</v>
      </c>
      <c r="AF321" s="72">
        <f>AF320*AVERAGE(AE238,AF238)/4</f>
        <v>63.174300000000009</v>
      </c>
      <c r="AG321" s="72">
        <f>AG320*AVERAGE(AF238,AG238)/4</f>
        <v>59.105331250000013</v>
      </c>
      <c r="AH321" s="72">
        <f>Pagbank!I169-AE321-AF321-AG321</f>
        <v>76.142735937499936</v>
      </c>
      <c r="AI321" s="72">
        <f>AI320*AVERAGE(AH238,AI238)/4</f>
        <v>61.846874999999997</v>
      </c>
      <c r="AJ321" s="72">
        <f>AJ320*AVERAGE(AI238,AJ238)/4</f>
        <v>64.951875000000001</v>
      </c>
      <c r="AK321" s="72">
        <f>AK320*AVERAGE(AJ238,AK238)/4</f>
        <v>69.451875000000001</v>
      </c>
      <c r="AL321" s="72">
        <f>Pagbank!J169-AI321-AJ321-AK321</f>
        <v>67.944250000000011</v>
      </c>
    </row>
    <row r="322" spans="2:38" x14ac:dyDescent="0.55000000000000004"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</row>
    <row r="323" spans="2:38" x14ac:dyDescent="0.55000000000000004">
      <c r="B323" s="18" t="s">
        <v>1773</v>
      </c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73">
        <v>63.497340432797451</v>
      </c>
      <c r="P323" s="73">
        <v>22.853825050270061</v>
      </c>
      <c r="Q323" s="73">
        <v>34.909417697515394</v>
      </c>
      <c r="R323" s="73">
        <v>41.772653314468485</v>
      </c>
      <c r="S323" s="73">
        <v>53.877894867759309</v>
      </c>
      <c r="T323" s="73">
        <v>76.081141101005997</v>
      </c>
      <c r="U323" s="73">
        <v>122.26442015396904</v>
      </c>
      <c r="V323" s="73">
        <v>142.28778944446478</v>
      </c>
      <c r="W323" s="477">
        <v>170.40260633492653</v>
      </c>
      <c r="X323" s="477">
        <v>171.95104632575305</v>
      </c>
      <c r="Y323" s="477">
        <v>175.92335108089279</v>
      </c>
      <c r="Z323" s="477">
        <v>162.4633396660081</v>
      </c>
      <c r="AA323" s="477">
        <v>155.87473796460415</v>
      </c>
      <c r="AB323" s="477">
        <v>114</v>
      </c>
      <c r="AC323" s="477">
        <v>132.9</v>
      </c>
      <c r="AD323" s="477">
        <v>159.1</v>
      </c>
      <c r="AE323" s="73">
        <f t="shared" ref="AE323:AL323" si="188">AE284+AE289-AE321</f>
        <v>121.53014784729415</v>
      </c>
      <c r="AF323" s="73">
        <f t="shared" si="188"/>
        <v>110.74136798798801</v>
      </c>
      <c r="AG323" s="73">
        <f t="shared" ca="1" si="188"/>
        <v>126.16921792658289</v>
      </c>
      <c r="AH323" s="73">
        <f t="shared" ca="1" si="188"/>
        <v>132.56723918735369</v>
      </c>
      <c r="AI323" s="73">
        <f t="shared" si="188"/>
        <v>175.88216524698646</v>
      </c>
      <c r="AJ323" s="73">
        <f t="shared" si="188"/>
        <v>186.51179569934419</v>
      </c>
      <c r="AK323" s="73">
        <f t="shared" ca="1" si="188"/>
        <v>210.88350752843556</v>
      </c>
      <c r="AL323" s="73">
        <f t="shared" ca="1" si="188"/>
        <v>311.64577882992126</v>
      </c>
    </row>
    <row r="324" spans="2:38" x14ac:dyDescent="0.55000000000000004">
      <c r="B324" s="18" t="s">
        <v>2558</v>
      </c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73"/>
      <c r="P324" s="73"/>
      <c r="Q324" s="73"/>
      <c r="R324" s="73"/>
      <c r="S324" s="73"/>
      <c r="T324" s="73"/>
      <c r="U324" s="275">
        <f t="shared" ref="U324:AL324" si="189">(U323*4)/AVERAGE(T238,U238)</f>
        <v>0.36643373556143655</v>
      </c>
      <c r="V324" s="275">
        <f t="shared" si="189"/>
        <v>0.32897480993819017</v>
      </c>
      <c r="W324" s="275">
        <f t="shared" si="189"/>
        <v>0.34409516321329303</v>
      </c>
      <c r="X324" s="275">
        <f t="shared" si="189"/>
        <v>0.31770703550605245</v>
      </c>
      <c r="Y324" s="275">
        <f t="shared" si="189"/>
        <v>0.28557357795106192</v>
      </c>
      <c r="Z324" s="275">
        <f t="shared" si="189"/>
        <v>0.24183897410254621</v>
      </c>
      <c r="AA324" s="275">
        <f t="shared" si="189"/>
        <v>0.22931186166179351</v>
      </c>
      <c r="AB324" s="275">
        <f t="shared" si="189"/>
        <v>0.17120330392340904</v>
      </c>
      <c r="AC324" s="275">
        <f t="shared" si="189"/>
        <v>0.20962145110410096</v>
      </c>
      <c r="AD324" s="275">
        <f t="shared" si="189"/>
        <v>0.255019034261671</v>
      </c>
      <c r="AE324" s="275">
        <f>(AE323*4)/AVERAGE(AD238,AE238)</f>
        <v>0.1954984542519119</v>
      </c>
      <c r="AF324" s="275">
        <f t="shared" si="189"/>
        <v>0.18405971476911878</v>
      </c>
      <c r="AG324" s="275">
        <f t="shared" ca="1" si="189"/>
        <v>0.21079672521503817</v>
      </c>
      <c r="AH324" s="275">
        <f t="shared" ca="1" si="189"/>
        <v>0.20623443836403491</v>
      </c>
      <c r="AI324" s="275">
        <f t="shared" si="189"/>
        <v>0.25594494260589207</v>
      </c>
      <c r="AJ324" s="275">
        <f t="shared" si="189"/>
        <v>0.25843844558668977</v>
      </c>
      <c r="AK324" s="275">
        <f t="shared" ca="1" si="189"/>
        <v>0.27327578524783097</v>
      </c>
      <c r="AL324" s="275">
        <f t="shared" ca="1" si="189"/>
        <v>0.37393660609378088</v>
      </c>
    </row>
    <row r="325" spans="2:38" x14ac:dyDescent="0.55000000000000004">
      <c r="B325" s="18" t="s">
        <v>2718</v>
      </c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73"/>
      <c r="P325" s="73"/>
      <c r="Q325" s="73"/>
      <c r="R325" s="73"/>
      <c r="S325" s="73"/>
      <c r="T325" s="73"/>
      <c r="U325" s="275"/>
      <c r="V325" s="275"/>
      <c r="W325" s="73">
        <v>142.40693126884713</v>
      </c>
      <c r="X325" s="73">
        <v>142.66777547875563</v>
      </c>
      <c r="Y325" s="73">
        <v>139.58145081647132</v>
      </c>
      <c r="Z325" s="73">
        <v>129.6</v>
      </c>
      <c r="AA325" s="275"/>
      <c r="AB325" s="275"/>
      <c r="AC325" s="275"/>
      <c r="AD325" s="275"/>
      <c r="AE325" s="275"/>
      <c r="AF325" s="275"/>
      <c r="AG325" s="275"/>
      <c r="AH325" s="275"/>
      <c r="AI325" s="275"/>
      <c r="AJ325" s="275"/>
      <c r="AK325" s="275"/>
      <c r="AL325" s="275"/>
    </row>
    <row r="326" spans="2:38" x14ac:dyDescent="0.55000000000000004"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</row>
    <row r="327" spans="2:38" x14ac:dyDescent="0.55000000000000004">
      <c r="B327" t="s">
        <v>313</v>
      </c>
      <c r="O327" s="72"/>
      <c r="P327" s="72"/>
      <c r="Q327" s="72"/>
      <c r="R327" s="72"/>
      <c r="S327" s="72"/>
      <c r="T327" s="72"/>
      <c r="U327" s="72"/>
      <c r="V327" s="72"/>
      <c r="W327" s="72">
        <f t="shared" ref="W327:AC327" si="190">W330-(W323-W333)</f>
        <v>38.545871336257903</v>
      </c>
      <c r="X327" s="72">
        <f t="shared" si="190"/>
        <v>55.413712750032929</v>
      </c>
      <c r="Y327" s="72">
        <f t="shared" si="190"/>
        <v>83.698140622523894</v>
      </c>
      <c r="Z327" s="72">
        <f t="shared" si="190"/>
        <v>84.129773049032508</v>
      </c>
      <c r="AA327" s="72">
        <f t="shared" si="190"/>
        <v>62.519981425828206</v>
      </c>
      <c r="AB327" s="72">
        <f t="shared" si="190"/>
        <v>2.7000000000000028</v>
      </c>
      <c r="AC327" s="72">
        <f t="shared" si="190"/>
        <v>1.7999999999999972</v>
      </c>
      <c r="AD327" s="72">
        <f>AD330-(AD323-AD333)</f>
        <v>-5.5999999999999943</v>
      </c>
      <c r="AE327" s="72">
        <f>AE328*(AE232-AE287)</f>
        <v>0</v>
      </c>
      <c r="AF327" s="72">
        <f>AF328*(AF232-AF287)</f>
        <v>0</v>
      </c>
      <c r="AG327" s="72">
        <f ca="1">AG328*(AG232-AG287)</f>
        <v>0</v>
      </c>
      <c r="AH327" s="72">
        <f ca="1">Pagbank!I176-AE327-AF327-AG327</f>
        <v>0</v>
      </c>
      <c r="AI327" s="72">
        <f>AI328*(AI232-AI287)</f>
        <v>0</v>
      </c>
      <c r="AJ327" s="72">
        <f>AJ328*(AJ232-AJ287)</f>
        <v>0</v>
      </c>
      <c r="AK327" s="72">
        <f ca="1">AK328*(AK232-AK287)</f>
        <v>0</v>
      </c>
      <c r="AL327" s="72">
        <f ca="1">Pagbank!J176-AI327-AJ327-AK327</f>
        <v>0</v>
      </c>
    </row>
    <row r="328" spans="2:38" x14ac:dyDescent="0.55000000000000004">
      <c r="B328" t="s">
        <v>2562</v>
      </c>
      <c r="O328" s="72"/>
      <c r="P328" s="72"/>
      <c r="Q328" s="72"/>
      <c r="R328" s="72"/>
      <c r="S328" s="72"/>
      <c r="T328" s="72"/>
      <c r="U328" s="72"/>
      <c r="V328" s="72"/>
      <c r="W328" s="163">
        <f t="shared" ref="W328:AC328" si="191">W327/(W232-W287)</f>
        <v>0.18795393665361795</v>
      </c>
      <c r="X328" s="163">
        <f t="shared" si="191"/>
        <v>0.2546315609461251</v>
      </c>
      <c r="Y328" s="163">
        <f t="shared" si="191"/>
        <v>0.34417594245572347</v>
      </c>
      <c r="Z328" s="163">
        <f t="shared" si="191"/>
        <v>0.34332893637966366</v>
      </c>
      <c r="AA328" s="163">
        <f t="shared" si="191"/>
        <v>0.27687825798045429</v>
      </c>
      <c r="AB328" s="163">
        <f t="shared" si="191"/>
        <v>1.5680970652083383E-2</v>
      </c>
      <c r="AC328" s="163">
        <f t="shared" si="191"/>
        <v>9.5685405523718951E-3</v>
      </c>
      <c r="AD328" s="163">
        <f>AD327/(AD232-AD287)</f>
        <v>-2.8985319711958352E-2</v>
      </c>
      <c r="AE328" s="537">
        <v>0</v>
      </c>
      <c r="AF328" s="537">
        <v>0</v>
      </c>
      <c r="AG328" s="537">
        <v>0</v>
      </c>
      <c r="AH328" s="163">
        <f ca="1">AH327/(AH232-AH287)</f>
        <v>0</v>
      </c>
      <c r="AI328" s="537">
        <v>0</v>
      </c>
      <c r="AJ328" s="537">
        <v>0</v>
      </c>
      <c r="AK328" s="537">
        <v>0</v>
      </c>
      <c r="AL328" s="163">
        <f ca="1">AL327/(AL232-AL287)</f>
        <v>0</v>
      </c>
    </row>
    <row r="329" spans="2:38" x14ac:dyDescent="0.55000000000000004"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</row>
    <row r="330" spans="2:38" x14ac:dyDescent="0.55000000000000004">
      <c r="B330" t="s">
        <v>2492</v>
      </c>
      <c r="O330" s="72"/>
      <c r="P330" s="72"/>
      <c r="Q330" s="72"/>
      <c r="R330" s="72"/>
      <c r="S330" s="72"/>
      <c r="T330" s="72"/>
      <c r="U330" s="72"/>
      <c r="V330" s="72"/>
      <c r="W330" s="72">
        <f t="shared" ref="W330:AL330" si="192">W264</f>
        <v>161</v>
      </c>
      <c r="X330" s="72">
        <f t="shared" si="192"/>
        <v>156.90000000000009</v>
      </c>
      <c r="Y330" s="72">
        <f t="shared" si="192"/>
        <v>147.09999999999991</v>
      </c>
      <c r="Z330" s="72">
        <f t="shared" si="192"/>
        <v>83</v>
      </c>
      <c r="AA330" s="72">
        <f t="shared" si="192"/>
        <v>39</v>
      </c>
      <c r="AB330" s="72">
        <f t="shared" si="192"/>
        <v>6</v>
      </c>
      <c r="AC330" s="72">
        <f t="shared" si="192"/>
        <v>34</v>
      </c>
      <c r="AD330" s="72">
        <f>AD264</f>
        <v>29</v>
      </c>
      <c r="AE330" s="72">
        <f t="shared" si="192"/>
        <v>11.492380000000001</v>
      </c>
      <c r="AF330" s="72">
        <f t="shared" si="192"/>
        <v>11.354880000000001</v>
      </c>
      <c r="AG330" s="72">
        <f t="shared" si="192"/>
        <v>12.417380000000001</v>
      </c>
      <c r="AH330" s="72">
        <f t="shared" si="192"/>
        <v>12.623609999999999</v>
      </c>
      <c r="AI330" s="72">
        <f t="shared" si="192"/>
        <v>17.227875000000001</v>
      </c>
      <c r="AJ330" s="72">
        <f t="shared" si="192"/>
        <v>19.290375000000001</v>
      </c>
      <c r="AK330" s="72">
        <f t="shared" si="192"/>
        <v>21.852875000000001</v>
      </c>
      <c r="AL330" s="72">
        <f t="shared" si="192"/>
        <v>31.134024999999998</v>
      </c>
    </row>
    <row r="331" spans="2:38" x14ac:dyDescent="0.55000000000000004">
      <c r="B331" t="s">
        <v>507</v>
      </c>
      <c r="O331" s="72"/>
      <c r="P331" s="72"/>
      <c r="Q331" s="72"/>
      <c r="R331" s="72"/>
      <c r="S331" s="72"/>
      <c r="T331" s="72"/>
      <c r="U331" s="72"/>
      <c r="V331" s="72"/>
      <c r="W331" s="163">
        <f t="shared" ref="W331:AC331" si="193">W330/W232</f>
        <v>0.48411474156564993</v>
      </c>
      <c r="X331" s="163">
        <f t="shared" si="193"/>
        <v>0.45641980440598123</v>
      </c>
      <c r="Y331" s="163">
        <f t="shared" si="193"/>
        <v>0.39146736177877306</v>
      </c>
      <c r="Z331" s="163">
        <f t="shared" si="193"/>
        <v>0.22941269678114923</v>
      </c>
      <c r="AA331" s="163">
        <f t="shared" si="193"/>
        <v>0.11796830748501655</v>
      </c>
      <c r="AB331" s="163">
        <f t="shared" si="193"/>
        <v>2.4691358024691357E-2</v>
      </c>
      <c r="AC331" s="163">
        <f t="shared" si="193"/>
        <v>0.13076923076923078</v>
      </c>
      <c r="AD331" s="163">
        <f>AD330/AD232</f>
        <v>0.11466982997232107</v>
      </c>
      <c r="AE331" s="72"/>
      <c r="AF331" s="72"/>
      <c r="AG331" s="72"/>
      <c r="AH331" s="72"/>
      <c r="AI331" s="72"/>
      <c r="AJ331" s="72"/>
      <c r="AK331" s="72"/>
      <c r="AL331" s="72"/>
    </row>
    <row r="332" spans="2:38" x14ac:dyDescent="0.55000000000000004"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</row>
    <row r="333" spans="2:38" x14ac:dyDescent="0.55000000000000004">
      <c r="B333" s="18" t="s">
        <v>1774</v>
      </c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73">
        <v>118.2140123532439</v>
      </c>
      <c r="P333" s="73">
        <v>60.177353551349661</v>
      </c>
      <c r="Q333" s="73">
        <v>95.209175317809013</v>
      </c>
      <c r="R333" s="73">
        <v>142.87579279172246</v>
      </c>
      <c r="S333" s="73">
        <v>-26.573735482885269</v>
      </c>
      <c r="T333" s="73">
        <v>44.321761350725822</v>
      </c>
      <c r="U333" s="73">
        <v>103.83962350440807</v>
      </c>
      <c r="V333" s="73">
        <v>76.426347798483036</v>
      </c>
      <c r="W333" s="477">
        <v>47.948477671184435</v>
      </c>
      <c r="X333" s="477">
        <v>70.464759075785892</v>
      </c>
      <c r="Y333" s="477">
        <v>112.52149170341677</v>
      </c>
      <c r="Z333" s="477">
        <v>163.5931127150406</v>
      </c>
      <c r="AA333" s="477">
        <v>179.39471939043236</v>
      </c>
      <c r="AB333" s="477">
        <v>110.7</v>
      </c>
      <c r="AC333" s="477">
        <v>100.7</v>
      </c>
      <c r="AD333" s="477">
        <v>124.5</v>
      </c>
      <c r="AE333" s="73">
        <f t="shared" ref="AE333:AL333" si="194">AE323+AE327-AE330</f>
        <v>110.03776784729415</v>
      </c>
      <c r="AF333" s="73">
        <f t="shared" si="194"/>
        <v>99.386487987988005</v>
      </c>
      <c r="AG333" s="73">
        <f t="shared" ca="1" si="194"/>
        <v>113.75183792658288</v>
      </c>
      <c r="AH333" s="73">
        <f t="shared" ca="1" si="194"/>
        <v>119.94362918735369</v>
      </c>
      <c r="AI333" s="73">
        <f t="shared" si="194"/>
        <v>158.65429024698645</v>
      </c>
      <c r="AJ333" s="73">
        <f t="shared" si="194"/>
        <v>167.22142069934418</v>
      </c>
      <c r="AK333" s="73">
        <f t="shared" ca="1" si="194"/>
        <v>189.03063252843555</v>
      </c>
      <c r="AL333" s="73">
        <f t="shared" ca="1" si="194"/>
        <v>280.51175382992125</v>
      </c>
    </row>
    <row r="334" spans="2:38" x14ac:dyDescent="0.55000000000000004">
      <c r="B334" t="s">
        <v>477</v>
      </c>
      <c r="O334" s="72"/>
      <c r="P334" s="72"/>
      <c r="Q334" s="72"/>
      <c r="R334" s="72"/>
      <c r="S334" s="72"/>
      <c r="T334" s="72"/>
      <c r="U334" s="163">
        <f t="shared" ref="U334:AL334" si="195">U333/U232</f>
        <v>0.40151744259243111</v>
      </c>
      <c r="V334" s="163">
        <f t="shared" si="195"/>
        <v>0.24772389790064409</v>
      </c>
      <c r="W334" s="163">
        <f t="shared" si="195"/>
        <v>0.14417742159162603</v>
      </c>
      <c r="X334" s="163">
        <f t="shared" si="195"/>
        <v>0.2049809531860087</v>
      </c>
      <c r="Y334" s="163">
        <f t="shared" si="195"/>
        <v>0.2994458973524724</v>
      </c>
      <c r="Z334" s="163">
        <f t="shared" si="195"/>
        <v>0.4521727369009636</v>
      </c>
      <c r="AA334" s="163">
        <f t="shared" si="195"/>
        <v>0.5426382414933022</v>
      </c>
      <c r="AB334" s="163">
        <f t="shared" si="195"/>
        <v>0.45555555555555555</v>
      </c>
      <c r="AC334" s="163">
        <f t="shared" si="195"/>
        <v>0.3873076923076923</v>
      </c>
      <c r="AD334" s="163">
        <f t="shared" si="195"/>
        <v>0.49228944246737838</v>
      </c>
      <c r="AE334" s="163">
        <f t="shared" si="195"/>
        <v>0.4192475094701274</v>
      </c>
      <c r="AF334" s="163">
        <f t="shared" si="195"/>
        <v>0.39452285275375171</v>
      </c>
      <c r="AG334" s="163">
        <f t="shared" ca="1" si="195"/>
        <v>0.42880795869664345</v>
      </c>
      <c r="AH334" s="163">
        <f t="shared" ca="1" si="195"/>
        <v>0.40849171587821476</v>
      </c>
      <c r="AI334" s="163">
        <f t="shared" si="195"/>
        <v>0.49933833597223798</v>
      </c>
      <c r="AJ334" s="163">
        <f t="shared" si="195"/>
        <v>0.50297652175827345</v>
      </c>
      <c r="AK334" s="163">
        <f t="shared" ca="1" si="195"/>
        <v>0.52170072712565052</v>
      </c>
      <c r="AL334" s="163">
        <f t="shared" ca="1" si="195"/>
        <v>0.60169644833255431</v>
      </c>
    </row>
    <row r="335" spans="2:38" x14ac:dyDescent="0.55000000000000004">
      <c r="B335" s="18" t="s">
        <v>2720</v>
      </c>
      <c r="O335" s="72"/>
      <c r="P335" s="72"/>
      <c r="Q335" s="72"/>
      <c r="R335" s="72"/>
      <c r="S335" s="72"/>
      <c r="T335" s="72"/>
      <c r="U335" s="163"/>
      <c r="V335" s="163"/>
      <c r="W335" s="73">
        <v>19.952802605105035</v>
      </c>
      <c r="X335" s="73">
        <v>41.181488228788467</v>
      </c>
      <c r="Y335" s="73">
        <v>76.17926632899534</v>
      </c>
      <c r="Z335" s="73">
        <v>130.80000000000001</v>
      </c>
      <c r="AA335" s="73">
        <v>146.6</v>
      </c>
      <c r="AB335" s="73">
        <v>76.8</v>
      </c>
      <c r="AC335" s="73"/>
      <c r="AD335" s="73"/>
      <c r="AE335" s="163"/>
      <c r="AF335" s="163"/>
      <c r="AG335" s="163"/>
      <c r="AH335" s="163"/>
      <c r="AI335" s="163"/>
      <c r="AJ335" s="163"/>
      <c r="AK335" s="163"/>
      <c r="AL335" s="163"/>
    </row>
    <row r="336" spans="2:38" x14ac:dyDescent="0.55000000000000004"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</row>
    <row r="337" spans="2:58" x14ac:dyDescent="0.55000000000000004">
      <c r="B337" t="s">
        <v>1791</v>
      </c>
      <c r="O337" s="393">
        <f>O323-O340</f>
        <v>70.276808510912531</v>
      </c>
      <c r="P337" s="393">
        <f>P323-P340</f>
        <v>86.982969029244501</v>
      </c>
      <c r="Q337" s="393">
        <f>Q323-Q340</f>
        <v>101.06390632015696</v>
      </c>
      <c r="R337" s="393">
        <f>R323-R340</f>
        <v>56.434066994341222</v>
      </c>
      <c r="S337" s="393">
        <f t="shared" ref="S337:Z337" si="196">S340-S333</f>
        <v>-113.64245564095799</v>
      </c>
      <c r="T337" s="393">
        <f t="shared" si="196"/>
        <v>-122.8816013998979</v>
      </c>
      <c r="U337" s="393">
        <f t="shared" si="196"/>
        <v>-140.12978642243786</v>
      </c>
      <c r="V337" s="393">
        <f t="shared" si="196"/>
        <v>-146.70482270571637</v>
      </c>
      <c r="W337" s="393">
        <f t="shared" si="196"/>
        <v>-124.32380362486506</v>
      </c>
      <c r="X337" s="393">
        <f t="shared" si="196"/>
        <v>-136.96512239075014</v>
      </c>
      <c r="Y337" s="393">
        <f t="shared" si="196"/>
        <v>-174.80101071938032</v>
      </c>
      <c r="Z337" s="393">
        <f t="shared" si="196"/>
        <v>-151.97856139917673</v>
      </c>
      <c r="AA337" s="393">
        <f>AA340-AA333</f>
        <v>-110.50922578906997</v>
      </c>
      <c r="AB337" s="393">
        <f>AB340-AB333</f>
        <v>-111.4</v>
      </c>
      <c r="AC337" s="393">
        <f>AC340-AC333</f>
        <v>-98.7</v>
      </c>
      <c r="AD337" s="393">
        <f>AD340-AD333</f>
        <v>-71.400000000000006</v>
      </c>
      <c r="AE337" s="393">
        <f>-AE338*(AE232-AE287)</f>
        <v>-82.329919511836479</v>
      </c>
      <c r="AF337" s="393">
        <f>-AF338*(AF232-AF287)</f>
        <v>-69.566267195195209</v>
      </c>
      <c r="AG337" s="393">
        <f ca="1">-AG338*(AG232-AG287)</f>
        <v>-64.84609221180402</v>
      </c>
      <c r="AH337" s="393">
        <f ca="1">-Pagbank!I185-AE337-AF337-AG337</f>
        <v>-49.035513566515846</v>
      </c>
      <c r="AI337" s="393">
        <f>-AI338*(AI232-AI287)</f>
        <v>-59.432260061746618</v>
      </c>
      <c r="AJ337" s="393">
        <f>-AJ338*(AJ232-AJ287)</f>
        <v>-62.865917674836055</v>
      </c>
      <c r="AK337" s="393">
        <f ca="1">-AK338*(AK232-AK287)</f>
        <v>-70.08384563210889</v>
      </c>
      <c r="AL337" s="393">
        <f ca="1">-Pagbank!J185-AI337-AJ337-AK337</f>
        <v>-94.897507207480359</v>
      </c>
    </row>
    <row r="338" spans="2:58" x14ac:dyDescent="0.55000000000000004">
      <c r="B338" t="s">
        <v>2563</v>
      </c>
      <c r="O338" s="393"/>
      <c r="P338" s="393"/>
      <c r="Q338" s="393"/>
      <c r="R338" s="393"/>
      <c r="S338" s="393"/>
      <c r="T338" s="393"/>
      <c r="U338" s="2">
        <f t="shared" ref="U338:AC338" si="197">-U337/(U232-U287)</f>
        <v>0.54184088478491399</v>
      </c>
      <c r="V338" s="2">
        <f t="shared" si="197"/>
        <v>0.47552043985286863</v>
      </c>
      <c r="W338" s="2">
        <f t="shared" si="197"/>
        <v>0.60621663231321443</v>
      </c>
      <c r="X338" s="2">
        <f t="shared" si="197"/>
        <v>0.62936845735017188</v>
      </c>
      <c r="Y338" s="2">
        <f t="shared" si="197"/>
        <v>0.71880094538642048</v>
      </c>
      <c r="Z338" s="2">
        <f t="shared" si="197"/>
        <v>0.62021607745548057</v>
      </c>
      <c r="AA338" s="2">
        <f t="shared" si="197"/>
        <v>0.48940516662735167</v>
      </c>
      <c r="AB338" s="2">
        <f t="shared" si="197"/>
        <v>0.64698523357114335</v>
      </c>
      <c r="AC338" s="2">
        <f t="shared" si="197"/>
        <v>0.52467497362172644</v>
      </c>
      <c r="AD338" s="2">
        <f>-AD337/(AD232-AD287)</f>
        <v>0.3695628263274694</v>
      </c>
      <c r="AE338" s="537">
        <v>0.43</v>
      </c>
      <c r="AF338" s="537">
        <v>0.4</v>
      </c>
      <c r="AG338" s="537">
        <v>0.35</v>
      </c>
      <c r="AH338" s="2">
        <f ca="1">-AH337/(AH232-AH287)</f>
        <v>0.23494571132588182</v>
      </c>
      <c r="AI338" s="537">
        <v>0.25</v>
      </c>
      <c r="AJ338" s="537">
        <v>0.25</v>
      </c>
      <c r="AK338" s="537">
        <v>0.25</v>
      </c>
      <c r="AL338" s="2">
        <f ca="1">-AL337/(AL232-AL287)</f>
        <v>0.25000000000000011</v>
      </c>
    </row>
    <row r="339" spans="2:58" x14ac:dyDescent="0.55000000000000004">
      <c r="O339" s="393"/>
      <c r="P339" s="393"/>
      <c r="Q339" s="393"/>
      <c r="R339" s="393"/>
      <c r="S339" s="393"/>
      <c r="T339" s="393"/>
      <c r="U339" s="393"/>
      <c r="V339" s="393"/>
      <c r="W339" s="393"/>
      <c r="X339" s="393"/>
      <c r="Y339" s="393"/>
      <c r="Z339" s="393"/>
      <c r="AA339" s="393"/>
      <c r="AB339" s="393"/>
      <c r="AC339" s="393"/>
      <c r="AD339" s="393"/>
    </row>
    <row r="340" spans="2:58" x14ac:dyDescent="0.55000000000000004">
      <c r="B340" s="18" t="s">
        <v>1770</v>
      </c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73">
        <v>-6.7794680781150731</v>
      </c>
      <c r="P340" s="73">
        <v>-64.12914397897444</v>
      </c>
      <c r="Q340" s="73">
        <v>-66.154488622641566</v>
      </c>
      <c r="R340" s="73">
        <v>-14.661413679872734</v>
      </c>
      <c r="S340" s="73">
        <v>-140.21619112384326</v>
      </c>
      <c r="T340" s="73">
        <v>-78.559840049172081</v>
      </c>
      <c r="U340" s="73">
        <v>-36.290162918029793</v>
      </c>
      <c r="V340" s="73">
        <v>-70.278474907233331</v>
      </c>
      <c r="W340" s="477">
        <v>-76.37532595368063</v>
      </c>
      <c r="X340" s="477">
        <v>-66.500363314964247</v>
      </c>
      <c r="Y340" s="477">
        <v>-62.279519015963544</v>
      </c>
      <c r="Z340" s="477">
        <v>11.614551315863878</v>
      </c>
      <c r="AA340" s="477">
        <v>68.885493601362384</v>
      </c>
      <c r="AB340" s="477">
        <v>-0.7</v>
      </c>
      <c r="AC340" s="477">
        <v>2</v>
      </c>
      <c r="AD340" s="477">
        <v>53.1</v>
      </c>
      <c r="AE340" s="73">
        <f t="shared" ref="AE340:AL340" si="198">AE333+AE337</f>
        <v>27.707848335457669</v>
      </c>
      <c r="AF340" s="73">
        <f t="shared" si="198"/>
        <v>29.820220792792796</v>
      </c>
      <c r="AG340" s="73">
        <f t="shared" ca="1" si="198"/>
        <v>48.90574571477886</v>
      </c>
      <c r="AH340" s="73">
        <f t="shared" ca="1" si="198"/>
        <v>70.908115620837847</v>
      </c>
      <c r="AI340" s="73">
        <f t="shared" si="198"/>
        <v>99.222030185239831</v>
      </c>
      <c r="AJ340" s="73">
        <f t="shared" si="198"/>
        <v>104.35550302450812</v>
      </c>
      <c r="AK340" s="73">
        <f t="shared" ca="1" si="198"/>
        <v>118.94678689632666</v>
      </c>
      <c r="AL340" s="73">
        <f t="shared" ca="1" si="198"/>
        <v>185.61424662244087</v>
      </c>
    </row>
    <row r="341" spans="2:58" x14ac:dyDescent="0.55000000000000004">
      <c r="B341" t="s">
        <v>1955</v>
      </c>
      <c r="O341" s="2">
        <f t="shared" ref="O341:T341" si="199">O340/O224</f>
        <v>-5.7944171607821136E-2</v>
      </c>
      <c r="P341" s="2">
        <f t="shared" si="199"/>
        <v>-0.80416790247763315</v>
      </c>
      <c r="Q341" s="2">
        <f t="shared" si="199"/>
        <v>-0.49628872462969642</v>
      </c>
      <c r="R341" s="2">
        <f t="shared" si="199"/>
        <v>-6.9840781778100214E-2</v>
      </c>
      <c r="S341" s="2">
        <f t="shared" si="199"/>
        <v>-0.94064918700548272</v>
      </c>
      <c r="T341" s="2">
        <f t="shared" si="199"/>
        <v>-0.43133315157195867</v>
      </c>
      <c r="U341" s="2">
        <f t="shared" ref="U341:AL341" si="200">U340/U232</f>
        <v>-0.14032344219248294</v>
      </c>
      <c r="V341" s="2">
        <f t="shared" si="200"/>
        <v>-0.22779654195222457</v>
      </c>
      <c r="W341" s="2">
        <f t="shared" si="200"/>
        <v>-0.22965478997551786</v>
      </c>
      <c r="X341" s="2">
        <f t="shared" si="200"/>
        <v>-0.19344858392060327</v>
      </c>
      <c r="Y341" s="2">
        <f t="shared" si="200"/>
        <v>-0.16574030592814543</v>
      </c>
      <c r="Z341" s="2">
        <f t="shared" si="200"/>
        <v>3.2102717340667199E-2</v>
      </c>
      <c r="AA341" s="2">
        <f t="shared" si="200"/>
        <v>0.20836679719032455</v>
      </c>
      <c r="AB341" s="2">
        <f t="shared" si="200"/>
        <v>-2.8806584362139915E-3</v>
      </c>
      <c r="AC341" s="2">
        <f t="shared" si="200"/>
        <v>7.6923076923076927E-3</v>
      </c>
      <c r="AD341" s="2">
        <f>AD340/AD232</f>
        <v>0.20996441281138789</v>
      </c>
      <c r="AE341" s="2">
        <f t="shared" si="200"/>
        <v>0.10556781216734118</v>
      </c>
      <c r="AF341" s="2">
        <f t="shared" si="200"/>
        <v>0.11837382339479853</v>
      </c>
      <c r="AG341" s="2">
        <f t="shared" ca="1" si="200"/>
        <v>0.18435898154038219</v>
      </c>
      <c r="AH341" s="2">
        <f t="shared" ca="1" si="200"/>
        <v>0.24149159080723293</v>
      </c>
      <c r="AI341" s="2">
        <f t="shared" si="200"/>
        <v>0.31228505303798998</v>
      </c>
      <c r="AJ341" s="2">
        <f t="shared" si="200"/>
        <v>0.31388543236917937</v>
      </c>
      <c r="AK341" s="2">
        <f t="shared" ca="1" si="200"/>
        <v>0.32827814403963679</v>
      </c>
      <c r="AL341" s="2">
        <f t="shared" ca="1" si="200"/>
        <v>0.3981417228611423</v>
      </c>
    </row>
    <row r="342" spans="2:58" x14ac:dyDescent="0.55000000000000004">
      <c r="B342" s="18" t="s">
        <v>2719</v>
      </c>
      <c r="O342" s="2"/>
      <c r="P342" s="2"/>
      <c r="Q342" s="2"/>
      <c r="R342" s="2"/>
      <c r="S342" s="2"/>
      <c r="T342" s="2"/>
      <c r="U342" s="2"/>
      <c r="V342" s="2"/>
      <c r="W342" s="73">
        <v>-104.37100101976003</v>
      </c>
      <c r="X342" s="73">
        <v>-95.783634161961672</v>
      </c>
      <c r="Y342" s="73">
        <v>-98.621744390384976</v>
      </c>
      <c r="Z342" s="73">
        <v>-21</v>
      </c>
      <c r="AA342" s="73">
        <v>36.1</v>
      </c>
      <c r="AB342" s="73">
        <v>-34.6</v>
      </c>
      <c r="AC342" s="73">
        <v>-34.6</v>
      </c>
      <c r="AD342" s="73">
        <v>-34.6</v>
      </c>
      <c r="AE342" s="2"/>
      <c r="AF342" s="2"/>
      <c r="AG342" s="2"/>
      <c r="AH342" s="2"/>
      <c r="AI342" s="2"/>
      <c r="AJ342" s="2"/>
      <c r="AK342" s="2"/>
      <c r="AL342" s="2"/>
    </row>
    <row r="344" spans="2:58" x14ac:dyDescent="0.55000000000000004">
      <c r="B344" s="71" t="s">
        <v>1105</v>
      </c>
      <c r="S344">
        <v>621</v>
      </c>
    </row>
    <row r="345" spans="2:58" x14ac:dyDescent="0.55000000000000004">
      <c r="B345" s="71" t="s">
        <v>1106</v>
      </c>
      <c r="S345" s="12">
        <f>S344/S160</f>
        <v>8.4663188432036379E-2</v>
      </c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</row>
    <row r="347" spans="2:58" x14ac:dyDescent="0.55000000000000004">
      <c r="B347" s="23" t="s">
        <v>270</v>
      </c>
    </row>
    <row r="349" spans="2:58" x14ac:dyDescent="0.55000000000000004">
      <c r="B349" s="332" t="s">
        <v>262</v>
      </c>
      <c r="C349" s="333" t="s">
        <v>11</v>
      </c>
      <c r="D349" s="333" t="s">
        <v>12</v>
      </c>
      <c r="E349" s="333" t="s">
        <v>13</v>
      </c>
      <c r="F349" s="333" t="s">
        <v>14</v>
      </c>
      <c r="G349" s="333" t="s">
        <v>15</v>
      </c>
      <c r="H349" s="333" t="s">
        <v>16</v>
      </c>
      <c r="I349" s="333" t="s">
        <v>17</v>
      </c>
      <c r="J349" s="333" t="s">
        <v>18</v>
      </c>
      <c r="K349" s="333" t="s">
        <v>19</v>
      </c>
      <c r="L349" s="333" t="s">
        <v>20</v>
      </c>
      <c r="M349" s="333" t="s">
        <v>21</v>
      </c>
      <c r="N349" s="333" t="s">
        <v>22</v>
      </c>
      <c r="O349" s="333" t="s">
        <v>23</v>
      </c>
      <c r="P349" s="333" t="s">
        <v>24</v>
      </c>
      <c r="Q349" s="333" t="s">
        <v>25</v>
      </c>
      <c r="R349" s="333" t="s">
        <v>877</v>
      </c>
      <c r="S349" s="333" t="s">
        <v>953</v>
      </c>
      <c r="T349" s="333" t="s">
        <v>954</v>
      </c>
      <c r="U349" s="333"/>
      <c r="V349" s="389"/>
      <c r="W349" s="389"/>
      <c r="X349" s="389"/>
      <c r="Y349" s="389"/>
      <c r="Z349" s="389"/>
      <c r="AA349" s="389"/>
      <c r="AB349" s="389"/>
      <c r="AC349" s="389"/>
      <c r="AD349" s="389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76" t="str">
        <f t="shared" ref="AO349:AU349" si="201">AO210</f>
        <v>3Q19</v>
      </c>
      <c r="AP349" s="76" t="str">
        <f t="shared" si="201"/>
        <v>4Q19</v>
      </c>
      <c r="AQ349" s="76" t="str">
        <f t="shared" si="201"/>
        <v>1Q20</v>
      </c>
      <c r="AR349" s="76" t="str">
        <f t="shared" si="201"/>
        <v>2Q20</v>
      </c>
      <c r="AS349" s="76" t="str">
        <f t="shared" si="201"/>
        <v>3Q20</v>
      </c>
      <c r="AT349" s="76" t="str">
        <f t="shared" si="201"/>
        <v>4Q 20</v>
      </c>
      <c r="AU349" s="76" t="str">
        <f t="shared" si="201"/>
        <v>1Q 21</v>
      </c>
      <c r="AV349" s="76"/>
      <c r="AW349" s="76"/>
      <c r="AX349" s="76"/>
      <c r="AY349" s="164"/>
      <c r="AZ349" s="164"/>
      <c r="BA349" s="164"/>
      <c r="BB349" s="164"/>
      <c r="BC349" s="164"/>
      <c r="BD349" s="164"/>
      <c r="BE349" s="164"/>
      <c r="BF349" s="164"/>
    </row>
    <row r="350" spans="2:58" x14ac:dyDescent="0.55000000000000004">
      <c r="B350" s="86" t="s">
        <v>0</v>
      </c>
      <c r="C350" s="62">
        <v>144.642</v>
      </c>
      <c r="D350" s="62">
        <v>150.98099999999999</v>
      </c>
      <c r="E350" s="62">
        <v>158.30599999999998</v>
      </c>
      <c r="F350" s="62">
        <v>171.691</v>
      </c>
      <c r="G350" s="62">
        <v>152.678</v>
      </c>
      <c r="H350" s="62">
        <v>151.05485470136998</v>
      </c>
      <c r="I350" s="62">
        <v>153.93359761232</v>
      </c>
      <c r="J350" s="62">
        <v>168.84099940704002</v>
      </c>
      <c r="K350" s="62">
        <v>156.78931989930999</v>
      </c>
      <c r="L350" s="62">
        <v>164.51446382993998</v>
      </c>
      <c r="M350" s="62">
        <v>171.73782386767999</v>
      </c>
      <c r="N350" s="62">
        <v>190.09635077325001</v>
      </c>
      <c r="O350" s="62">
        <v>159.77159842133</v>
      </c>
      <c r="P350" s="62">
        <v>127.96407430523001</v>
      </c>
      <c r="Q350" s="62">
        <v>165.63334321071</v>
      </c>
      <c r="R350" s="62">
        <v>190.5856</v>
      </c>
      <c r="S350" s="62">
        <f>Analysis!G441</f>
        <v>160</v>
      </c>
      <c r="T350" s="62">
        <f>Analysis!H441</f>
        <v>165.2</v>
      </c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F350" s="62"/>
      <c r="AG350" s="62"/>
      <c r="AH350" s="62"/>
      <c r="AI350" s="62"/>
      <c r="AJ350" s="62"/>
      <c r="AK350" s="62"/>
      <c r="AL350" s="62"/>
      <c r="AM350" s="62"/>
      <c r="AN350" s="78"/>
      <c r="AO350" s="12">
        <f t="shared" ref="AO350:AU357" si="202">M350/I350-1</f>
        <v>0.11566173032738258</v>
      </c>
      <c r="AP350" s="12">
        <f t="shared" si="202"/>
        <v>0.12588975095419697</v>
      </c>
      <c r="AQ350" s="12">
        <f t="shared" si="202"/>
        <v>1.9020929001638764E-2</v>
      </c>
      <c r="AR350" s="12">
        <f t="shared" si="202"/>
        <v>-0.22217128314317958</v>
      </c>
      <c r="AS350" s="12">
        <f t="shared" si="202"/>
        <v>-3.554534766711237E-2</v>
      </c>
      <c r="AT350" s="12">
        <f t="shared" si="202"/>
        <v>2.5736907876448001E-3</v>
      </c>
      <c r="AU350" s="12">
        <f t="shared" si="202"/>
        <v>1.4295505642227813E-3</v>
      </c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</row>
    <row r="351" spans="2:58" x14ac:dyDescent="0.55000000000000004">
      <c r="B351" s="86" t="s">
        <v>1454</v>
      </c>
      <c r="C351" s="62">
        <v>93.805000000000007</v>
      </c>
      <c r="D351" s="62">
        <v>93.950999999999993</v>
      </c>
      <c r="E351" s="62">
        <v>95.792000000000002</v>
      </c>
      <c r="F351" s="62">
        <v>108.136</v>
      </c>
      <c r="G351" s="62">
        <v>98.94</v>
      </c>
      <c r="H351" s="62">
        <v>101.733</v>
      </c>
      <c r="I351" s="62">
        <v>109.249</v>
      </c>
      <c r="J351" s="62">
        <v>127.193</v>
      </c>
      <c r="K351" s="62">
        <v>113.005</v>
      </c>
      <c r="L351" s="62">
        <v>114.054</v>
      </c>
      <c r="M351" s="62">
        <v>118.87799999999999</v>
      </c>
      <c r="N351" s="62">
        <v>141.86099999999999</v>
      </c>
      <c r="O351" s="62">
        <v>121.857</v>
      </c>
      <c r="P351" s="62">
        <v>102.521</v>
      </c>
      <c r="Q351" s="62">
        <v>130.959</v>
      </c>
      <c r="R351" s="62">
        <v>154.47499999999999</v>
      </c>
      <c r="S351" s="62">
        <f>S353/R353*R351</f>
        <v>139.84355202999348</v>
      </c>
      <c r="T351" s="62">
        <f>T353/S353*S351</f>
        <v>157.56173007219365</v>
      </c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F351" s="62"/>
      <c r="AG351" s="62"/>
      <c r="AH351" s="62"/>
      <c r="AI351" s="62"/>
      <c r="AJ351" s="62"/>
      <c r="AK351" s="62"/>
      <c r="AL351" s="62"/>
      <c r="AM351" s="62"/>
      <c r="AN351" s="80"/>
      <c r="AO351" s="12">
        <f t="shared" si="202"/>
        <v>8.8138106527290816E-2</v>
      </c>
      <c r="AP351" s="12">
        <f t="shared" si="202"/>
        <v>0.11532081167988806</v>
      </c>
      <c r="AQ351" s="12">
        <f t="shared" si="202"/>
        <v>7.8332817131985255E-2</v>
      </c>
      <c r="AR351" s="12">
        <f t="shared" si="202"/>
        <v>-0.10111876830273381</v>
      </c>
      <c r="AS351" s="12">
        <f t="shared" si="202"/>
        <v>0.10162519557866068</v>
      </c>
      <c r="AT351" s="12">
        <f t="shared" si="202"/>
        <v>8.8918025391051758E-2</v>
      </c>
      <c r="AU351" s="12">
        <f t="shared" si="202"/>
        <v>0.14760376531502883</v>
      </c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</row>
    <row r="352" spans="2:58" x14ac:dyDescent="0.55000000000000004">
      <c r="B352" s="334" t="s">
        <v>263</v>
      </c>
      <c r="C352" s="335">
        <v>31.459</v>
      </c>
      <c r="D352" s="335">
        <v>33.052</v>
      </c>
      <c r="E352" s="335">
        <v>35.433</v>
      </c>
      <c r="F352" s="335">
        <v>42.118000000000002</v>
      </c>
      <c r="G352" s="335">
        <v>40.902999999999999</v>
      </c>
      <c r="H352" s="335">
        <v>44.120000000000005</v>
      </c>
      <c r="I352" s="335">
        <v>47.701000000000001</v>
      </c>
      <c r="J352" s="335">
        <v>54.715000000000003</v>
      </c>
      <c r="K352" s="335">
        <v>47.64</v>
      </c>
      <c r="L352" s="335">
        <v>46.9</v>
      </c>
      <c r="M352" s="335">
        <v>51.881</v>
      </c>
      <c r="N352" s="335">
        <v>61.1</v>
      </c>
      <c r="O352" s="335">
        <f>Analysis!C440</f>
        <v>62.2</v>
      </c>
      <c r="P352" s="335">
        <f>Analysis!D440</f>
        <v>55</v>
      </c>
      <c r="Q352" s="335">
        <f>Analysis!E440</f>
        <v>71</v>
      </c>
      <c r="R352" s="335">
        <f>Analysis!F440</f>
        <v>85</v>
      </c>
      <c r="S352" s="335">
        <f>Analysis!G440</f>
        <v>87</v>
      </c>
      <c r="T352" s="335">
        <f>Analysis!H440</f>
        <v>96.199999999999989</v>
      </c>
      <c r="U352" s="335"/>
      <c r="V352" s="62"/>
      <c r="W352" s="62"/>
      <c r="X352" s="62"/>
      <c r="Y352" s="62"/>
      <c r="Z352" s="62"/>
      <c r="AA352" s="62"/>
      <c r="AB352" s="62"/>
      <c r="AC352" s="62"/>
      <c r="AD352" s="62"/>
      <c r="AF352" s="62"/>
      <c r="AG352" s="62"/>
      <c r="AH352" s="62"/>
      <c r="AI352" s="62"/>
      <c r="AJ352" s="62"/>
      <c r="AK352" s="62"/>
      <c r="AL352" s="62"/>
      <c r="AM352" s="62"/>
      <c r="AN352" s="165"/>
      <c r="AO352" s="12">
        <f t="shared" si="202"/>
        <v>8.7629190163728277E-2</v>
      </c>
      <c r="AP352" s="12">
        <f t="shared" si="202"/>
        <v>0.11669560449602479</v>
      </c>
      <c r="AQ352" s="12">
        <f t="shared" si="202"/>
        <v>0.30562552476910154</v>
      </c>
      <c r="AR352" s="12">
        <f t="shared" si="202"/>
        <v>0.1727078891257996</v>
      </c>
      <c r="AS352" s="12">
        <f t="shared" si="202"/>
        <v>0.36851641255951129</v>
      </c>
      <c r="AT352" s="12">
        <f t="shared" si="202"/>
        <v>0.39116202945990186</v>
      </c>
      <c r="AU352" s="12">
        <f t="shared" si="202"/>
        <v>0.3987138263665595</v>
      </c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</row>
    <row r="353" spans="2:58" x14ac:dyDescent="0.55000000000000004">
      <c r="B353" s="93" t="s">
        <v>264</v>
      </c>
      <c r="C353" s="92">
        <v>5.8610399986678781</v>
      </c>
      <c r="D353" s="92">
        <v>7.9834987442759644</v>
      </c>
      <c r="E353" s="92">
        <v>10.512449343960885</v>
      </c>
      <c r="F353" s="92">
        <v>13.507176979960224</v>
      </c>
      <c r="G353" s="92">
        <v>14.240883712501216</v>
      </c>
      <c r="H353" s="92">
        <v>16.733977676032723</v>
      </c>
      <c r="I353" s="92">
        <v>20.147184848896842</v>
      </c>
      <c r="J353" s="92">
        <v>24.544564643392555</v>
      </c>
      <c r="K353" s="92">
        <v>24.41292857869</v>
      </c>
      <c r="L353" s="92">
        <v>26.752425459980266</v>
      </c>
      <c r="M353" s="92">
        <v>29.383746622389996</v>
      </c>
      <c r="N353" s="92">
        <v>34.271467945140003</v>
      </c>
      <c r="O353" s="92">
        <v>31.656836126869997</v>
      </c>
      <c r="P353" s="92">
        <v>29.794330696780001</v>
      </c>
      <c r="Q353" s="92">
        <v>44.861264196384468</v>
      </c>
      <c r="R353" s="92">
        <f>R159/1000</f>
        <v>55.23136310456001</v>
      </c>
      <c r="S353" s="92">
        <f>S159/1000</f>
        <v>50</v>
      </c>
      <c r="T353" s="92">
        <f>T159/1000</f>
        <v>56.335000000000001</v>
      </c>
      <c r="U353" s="92"/>
      <c r="V353" s="67"/>
      <c r="W353" s="67"/>
      <c r="X353" s="67"/>
      <c r="Y353" s="67"/>
      <c r="Z353" s="67"/>
      <c r="AA353" s="67"/>
      <c r="AB353" s="67"/>
      <c r="AC353" s="67"/>
      <c r="AD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171">
        <f t="shared" si="202"/>
        <v>0.45845421297154076</v>
      </c>
      <c r="AP353" s="171">
        <f t="shared" si="202"/>
        <v>0.39629561343089259</v>
      </c>
      <c r="AQ353" s="171">
        <f t="shared" si="202"/>
        <v>0.29672423465422293</v>
      </c>
      <c r="AR353" s="171">
        <f t="shared" si="202"/>
        <v>0.11370577375685853</v>
      </c>
      <c r="AS353" s="171">
        <f t="shared" si="202"/>
        <v>0.52673737535569498</v>
      </c>
      <c r="AT353" s="171">
        <f t="shared" si="202"/>
        <v>0.61158439997293157</v>
      </c>
      <c r="AU353" s="171">
        <f t="shared" si="202"/>
        <v>0.57943768605355084</v>
      </c>
      <c r="AV353" s="171"/>
      <c r="AW353" s="171"/>
      <c r="AX353" s="171"/>
      <c r="AY353" s="171"/>
      <c r="AZ353" s="171"/>
      <c r="BA353" s="171"/>
      <c r="BB353" s="171"/>
      <c r="BC353" s="171"/>
      <c r="BD353" s="171"/>
      <c r="BE353" s="171"/>
      <c r="BF353" s="171"/>
    </row>
    <row r="354" spans="2:58" x14ac:dyDescent="0.55000000000000004">
      <c r="B354" s="86" t="s">
        <v>265</v>
      </c>
      <c r="C354" s="62">
        <v>10.5</v>
      </c>
      <c r="D354" s="62">
        <v>10.9</v>
      </c>
      <c r="E354" s="62">
        <v>11.9</v>
      </c>
      <c r="F354" s="62">
        <v>15.3</v>
      </c>
      <c r="G354" s="62">
        <v>16.5</v>
      </c>
      <c r="H354" s="62">
        <v>18.5</v>
      </c>
      <c r="I354" s="62">
        <v>21.8</v>
      </c>
      <c r="J354" s="62">
        <v>26.6</v>
      </c>
      <c r="K354" s="62">
        <v>26.5</v>
      </c>
      <c r="L354" s="62">
        <v>29.8</v>
      </c>
      <c r="M354" s="62">
        <v>32.6</v>
      </c>
      <c r="N354" s="62">
        <v>40.200000000000003</v>
      </c>
      <c r="O354" s="62">
        <f>Analysis!C439</f>
        <v>37.6</v>
      </c>
      <c r="P354" s="62">
        <f>Analysis!D439</f>
        <v>36.1</v>
      </c>
      <c r="Q354" s="62">
        <f>Analysis!E439</f>
        <v>48.1</v>
      </c>
      <c r="R354" s="62">
        <f>Analysis!F439</f>
        <v>57.300000000000004</v>
      </c>
      <c r="S354" s="62">
        <f>Analysis!G439</f>
        <v>50.8</v>
      </c>
      <c r="T354" s="62">
        <f>Analysis!H439</f>
        <v>58.6</v>
      </c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F354" s="62"/>
      <c r="AG354" s="62"/>
      <c r="AH354" s="62"/>
      <c r="AI354" s="62"/>
      <c r="AJ354" s="62"/>
      <c r="AK354" s="62"/>
      <c r="AL354" s="62"/>
      <c r="AM354" s="62"/>
      <c r="AN354" s="84"/>
      <c r="AO354" s="12">
        <f t="shared" si="202"/>
        <v>0.49541284403669716</v>
      </c>
      <c r="AP354" s="12">
        <f t="shared" si="202"/>
        <v>0.51127819548872178</v>
      </c>
      <c r="AQ354" s="12">
        <f t="shared" si="202"/>
        <v>0.41886792452830202</v>
      </c>
      <c r="AR354" s="12">
        <f t="shared" si="202"/>
        <v>0.21140939597315445</v>
      </c>
      <c r="AS354" s="12">
        <f t="shared" si="202"/>
        <v>0.47546012269938642</v>
      </c>
      <c r="AT354" s="12">
        <f t="shared" si="202"/>
        <v>0.42537313432835822</v>
      </c>
      <c r="AU354" s="12">
        <f t="shared" si="202"/>
        <v>0.35106382978723394</v>
      </c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</row>
    <row r="355" spans="2:58" x14ac:dyDescent="0.55000000000000004">
      <c r="B355" s="86" t="s">
        <v>266</v>
      </c>
      <c r="C355" s="62">
        <v>5.3</v>
      </c>
      <c r="D355" s="62">
        <v>5.3000000000000007</v>
      </c>
      <c r="E355" s="62">
        <v>5.4999999999999991</v>
      </c>
      <c r="F355" s="62">
        <v>6.4368421052631568</v>
      </c>
      <c r="G355" s="62">
        <v>6.1</v>
      </c>
      <c r="H355" s="62">
        <v>6.3</v>
      </c>
      <c r="I355" s="62">
        <v>6.7</v>
      </c>
      <c r="J355" s="62">
        <v>7.6000000000000014</v>
      </c>
      <c r="K355" s="62">
        <v>7</v>
      </c>
      <c r="L355" s="62">
        <v>7.1999999999999993</v>
      </c>
      <c r="M355" s="62">
        <v>7.2000000000000011</v>
      </c>
      <c r="N355" s="62">
        <v>8.1</v>
      </c>
      <c r="O355" s="62">
        <v>7.3</v>
      </c>
      <c r="P355" s="62">
        <v>6.3</v>
      </c>
      <c r="Q355" s="62">
        <v>7.6000000000000014</v>
      </c>
      <c r="R355" s="62">
        <f>Q355+1</f>
        <v>8.6000000000000014</v>
      </c>
      <c r="S355" s="62">
        <f>R355+1</f>
        <v>9.6000000000000014</v>
      </c>
      <c r="T355" s="62">
        <f>S355+1</f>
        <v>10.600000000000001</v>
      </c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F355" s="66"/>
      <c r="AG355" s="66"/>
      <c r="AH355" s="66"/>
      <c r="AI355" s="66"/>
      <c r="AJ355" s="66"/>
      <c r="AK355" s="66"/>
      <c r="AL355" s="66"/>
      <c r="AM355" s="66"/>
      <c r="AN355" s="66"/>
      <c r="AO355" s="12">
        <f t="shared" si="202"/>
        <v>7.4626865671642006E-2</v>
      </c>
      <c r="AP355" s="12">
        <f t="shared" si="202"/>
        <v>6.5789473684210176E-2</v>
      </c>
      <c r="AQ355" s="12">
        <f t="shared" si="202"/>
        <v>4.2857142857142927E-2</v>
      </c>
      <c r="AR355" s="12">
        <f t="shared" si="202"/>
        <v>-0.12499999999999989</v>
      </c>
      <c r="AS355" s="12">
        <f t="shared" si="202"/>
        <v>5.555555555555558E-2</v>
      </c>
      <c r="AT355" s="12">
        <f t="shared" si="202"/>
        <v>6.1728395061728669E-2</v>
      </c>
      <c r="AU355" s="12">
        <f t="shared" si="202"/>
        <v>0.31506849315068508</v>
      </c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</row>
    <row r="356" spans="2:58" x14ac:dyDescent="0.55000000000000004">
      <c r="B356" s="86" t="s">
        <v>267</v>
      </c>
      <c r="C356" s="62">
        <v>18.410505071435125</v>
      </c>
      <c r="D356" s="62">
        <v>18.7664793664282</v>
      </c>
      <c r="E356" s="62">
        <v>20.87881285997662</v>
      </c>
      <c r="F356" s="62">
        <v>23.171152336897251</v>
      </c>
      <c r="G356" s="62">
        <v>24.87850855217124</v>
      </c>
      <c r="H356" s="62">
        <v>24.278356688519182</v>
      </c>
      <c r="I356" s="62">
        <v>29.830392064048169</v>
      </c>
      <c r="J356" s="62">
        <v>33.569243423676767</v>
      </c>
      <c r="K356" s="62">
        <v>41.905393411122645</v>
      </c>
      <c r="L356" s="62">
        <v>45.027886376580739</v>
      </c>
      <c r="M356" s="62">
        <v>51.049714138691797</v>
      </c>
      <c r="N356" s="62">
        <v>57.163832419345056</v>
      </c>
      <c r="O356" s="62">
        <f t="shared" ref="O356:T356" si="203">O357-O355-O354-O353-O352-O351-O350</f>
        <v>55.614565451799962</v>
      </c>
      <c r="P356" s="62">
        <f t="shared" si="203"/>
        <v>55.320594997989957</v>
      </c>
      <c r="Q356" s="62">
        <f t="shared" si="203"/>
        <v>36.846392592905488</v>
      </c>
      <c r="R356" s="62">
        <f t="shared" si="203"/>
        <v>58.80803689544004</v>
      </c>
      <c r="S356" s="62">
        <f t="shared" si="203"/>
        <v>61.756447970006491</v>
      </c>
      <c r="T356" s="62">
        <f t="shared" si="203"/>
        <v>68.503269927806343</v>
      </c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12">
        <f t="shared" si="202"/>
        <v>0.71133232272254743</v>
      </c>
      <c r="AP356" s="12">
        <f t="shared" si="202"/>
        <v>0.7028632935774406</v>
      </c>
      <c r="AQ356" s="12">
        <f t="shared" si="202"/>
        <v>0.32714576632607373</v>
      </c>
      <c r="AR356" s="12">
        <f t="shared" si="202"/>
        <v>0.22858520462915877</v>
      </c>
      <c r="AS356" s="12">
        <f t="shared" si="202"/>
        <v>-0.27822529049229827</v>
      </c>
      <c r="AT356" s="12">
        <f t="shared" si="202"/>
        <v>2.8763020366328051E-2</v>
      </c>
      <c r="AU356" s="12">
        <f t="shared" si="202"/>
        <v>0.1104365820052946</v>
      </c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</row>
    <row r="357" spans="2:58" x14ac:dyDescent="0.55000000000000004">
      <c r="B357" s="336" t="s">
        <v>243</v>
      </c>
      <c r="C357" s="88">
        <v>309.97754507010302</v>
      </c>
      <c r="D357" s="88">
        <v>320.93397811070412</v>
      </c>
      <c r="E357" s="88">
        <v>338.3222622039375</v>
      </c>
      <c r="F357" s="88">
        <v>380.36017142212063</v>
      </c>
      <c r="G357" s="88">
        <v>354.24039226467249</v>
      </c>
      <c r="H357" s="88">
        <v>362.72018906592189</v>
      </c>
      <c r="I357" s="88">
        <v>389.36117452526503</v>
      </c>
      <c r="J357" s="88">
        <v>443.06280747410943</v>
      </c>
      <c r="K357" s="88">
        <v>417.25264188912263</v>
      </c>
      <c r="L357" s="88">
        <v>434.24877566650099</v>
      </c>
      <c r="M357" s="88">
        <v>462.73028462876175</v>
      </c>
      <c r="N357" s="88">
        <v>532.79265113773511</v>
      </c>
      <c r="O357" s="88">
        <f>Analysis!C434</f>
        <v>476</v>
      </c>
      <c r="P357" s="88">
        <f>Analysis!D434</f>
        <v>413</v>
      </c>
      <c r="Q357" s="88">
        <f>Analysis!E434</f>
        <v>505</v>
      </c>
      <c r="R357" s="88">
        <f>Analysis!F434</f>
        <v>610</v>
      </c>
      <c r="S357" s="88">
        <f>Analysis!G434</f>
        <v>559</v>
      </c>
      <c r="T357" s="88">
        <f>Analysis!H434</f>
        <v>613</v>
      </c>
      <c r="U357" s="88"/>
      <c r="V357" s="67"/>
      <c r="W357" s="67"/>
      <c r="X357" s="67"/>
      <c r="Y357" s="67"/>
      <c r="Z357" s="67"/>
      <c r="AA357" s="67"/>
      <c r="AB357" s="67"/>
      <c r="AC357" s="67"/>
      <c r="AD357" s="67"/>
      <c r="AF357" s="67"/>
      <c r="AG357" s="67"/>
      <c r="AH357" s="67"/>
      <c r="AI357" s="67"/>
      <c r="AJ357" s="67"/>
      <c r="AK357" s="67"/>
      <c r="AL357" s="67"/>
      <c r="AM357" s="67"/>
      <c r="AN357" s="67"/>
      <c r="AO357" s="171">
        <f t="shared" si="202"/>
        <v>0.18843458183254458</v>
      </c>
      <c r="AP357" s="171">
        <f t="shared" si="202"/>
        <v>0.20252172412117675</v>
      </c>
      <c r="AQ357" s="171">
        <f t="shared" si="202"/>
        <v>0.14079565283253115</v>
      </c>
      <c r="AR357" s="171">
        <f t="shared" si="202"/>
        <v>-4.8932263847808355E-2</v>
      </c>
      <c r="AS357" s="171">
        <f t="shared" si="202"/>
        <v>9.134849560397873E-2</v>
      </c>
      <c r="AT357" s="171">
        <f t="shared" si="202"/>
        <v>0.14491068654455908</v>
      </c>
      <c r="AU357" s="171">
        <f t="shared" si="202"/>
        <v>0.17436974789915971</v>
      </c>
      <c r="AV357" s="171"/>
      <c r="AW357" s="171"/>
      <c r="AX357" s="171"/>
      <c r="AY357" s="171"/>
      <c r="AZ357" s="171"/>
      <c r="BA357" s="171"/>
      <c r="BB357" s="171"/>
      <c r="BC357" s="171"/>
      <c r="BD357" s="171"/>
      <c r="BE357" s="171"/>
      <c r="BF357" s="171"/>
    </row>
    <row r="358" spans="2:58" x14ac:dyDescent="0.55000000000000004">
      <c r="B358" s="337"/>
      <c r="C358" s="337"/>
      <c r="D358" s="337"/>
      <c r="E358" s="337"/>
      <c r="F358" s="337"/>
      <c r="G358" s="337"/>
      <c r="H358" s="337"/>
      <c r="I358" s="337"/>
      <c r="J358" s="337"/>
      <c r="K358" s="337"/>
      <c r="L358" s="337"/>
      <c r="M358" s="337"/>
      <c r="N358" s="337"/>
      <c r="O358" s="337"/>
      <c r="P358" s="337"/>
      <c r="Q358" s="337"/>
      <c r="R358" s="337"/>
      <c r="S358" s="337"/>
      <c r="T358" s="337"/>
      <c r="U358" s="337"/>
      <c r="V358" s="337"/>
      <c r="W358" s="337"/>
      <c r="X358" s="337"/>
      <c r="Y358" s="337"/>
      <c r="Z358" s="337"/>
      <c r="AA358" s="337"/>
      <c r="AB358" s="337"/>
      <c r="AC358" s="337"/>
      <c r="AD358" s="337"/>
      <c r="AF358" s="71"/>
      <c r="AG358" s="71"/>
      <c r="AH358" s="71"/>
      <c r="AI358" s="71"/>
      <c r="AJ358" s="71"/>
      <c r="AK358" s="71"/>
      <c r="AL358" s="71"/>
      <c r="AM358" s="71"/>
      <c r="AN358" s="71"/>
    </row>
    <row r="359" spans="2:58" x14ac:dyDescent="0.55000000000000004">
      <c r="B359" s="332" t="s">
        <v>268</v>
      </c>
      <c r="C359" s="333" t="s">
        <v>11</v>
      </c>
      <c r="D359" s="333" t="s">
        <v>12</v>
      </c>
      <c r="E359" s="333" t="s">
        <v>13</v>
      </c>
      <c r="F359" s="333" t="s">
        <v>14</v>
      </c>
      <c r="G359" s="333" t="s">
        <v>15</v>
      </c>
      <c r="H359" s="333" t="s">
        <v>16</v>
      </c>
      <c r="I359" s="333" t="s">
        <v>17</v>
      </c>
      <c r="J359" s="333" t="s">
        <v>18</v>
      </c>
      <c r="K359" s="333" t="str">
        <f>K349</f>
        <v>1Q19</v>
      </c>
      <c r="L359" s="333" t="str">
        <f t="shared" ref="L359:R359" si="204">L349</f>
        <v>2Q19</v>
      </c>
      <c r="M359" s="333" t="str">
        <f t="shared" si="204"/>
        <v>3Q19</v>
      </c>
      <c r="N359" s="333" t="str">
        <f t="shared" si="204"/>
        <v>4Q19</v>
      </c>
      <c r="O359" s="333" t="str">
        <f t="shared" si="204"/>
        <v>1Q20</v>
      </c>
      <c r="P359" s="333" t="str">
        <f t="shared" si="204"/>
        <v>2Q20</v>
      </c>
      <c r="Q359" s="333" t="str">
        <f t="shared" si="204"/>
        <v>3Q20</v>
      </c>
      <c r="R359" s="333" t="str">
        <f t="shared" si="204"/>
        <v>4Q20</v>
      </c>
      <c r="S359" s="333" t="str">
        <f>S349</f>
        <v>1Q21</v>
      </c>
      <c r="T359" s="333" t="str">
        <f>T349</f>
        <v>2Q21</v>
      </c>
      <c r="U359" s="333"/>
      <c r="V359" s="389"/>
      <c r="W359" s="389"/>
      <c r="X359" s="389"/>
      <c r="Y359" s="389"/>
      <c r="Z359" s="389"/>
      <c r="AA359" s="389"/>
      <c r="AB359" s="389"/>
      <c r="AC359" s="389"/>
      <c r="AD359" s="389"/>
      <c r="AF359" s="164"/>
      <c r="AG359" s="164"/>
      <c r="AH359" s="164"/>
      <c r="AI359" s="164"/>
      <c r="AJ359" s="164"/>
      <c r="AK359" s="164"/>
      <c r="AL359" s="164"/>
      <c r="AM359" s="164"/>
      <c r="AN359" s="164"/>
    </row>
    <row r="360" spans="2:58" x14ac:dyDescent="0.55000000000000004">
      <c r="B360" s="86" t="s">
        <v>0</v>
      </c>
      <c r="C360" s="61">
        <v>0.4666208965791005</v>
      </c>
      <c r="D360" s="61">
        <v>0.47044255297866922</v>
      </c>
      <c r="E360" s="61">
        <v>0.46791481875518615</v>
      </c>
      <c r="F360" s="61">
        <v>0.45139058424037443</v>
      </c>
      <c r="G360" s="61">
        <v>0.43100110358370952</v>
      </c>
      <c r="H360" s="61">
        <v>0.41645008812541395</v>
      </c>
      <c r="I360" s="61">
        <v>0.39534911974725279</v>
      </c>
      <c r="J360" s="61">
        <v>0.38107689600397415</v>
      </c>
      <c r="K360" s="61">
        <v>0.37576591292374351</v>
      </c>
      <c r="L360" s="61">
        <v>0.37884842295165283</v>
      </c>
      <c r="M360" s="61">
        <v>0.3711402291411755</v>
      </c>
      <c r="N360" s="61">
        <v>0.35679236634986389</v>
      </c>
      <c r="O360" s="61">
        <f t="shared" ref="O360:T360" si="205">O350/O$357</f>
        <v>0.33565461853220585</v>
      </c>
      <c r="P360" s="61">
        <f t="shared" si="205"/>
        <v>0.30984037362041167</v>
      </c>
      <c r="Q360" s="61">
        <f t="shared" si="205"/>
        <v>0.3279868182390297</v>
      </c>
      <c r="R360" s="61">
        <f t="shared" si="205"/>
        <v>0.31243540983606555</v>
      </c>
      <c r="S360" s="61">
        <f t="shared" si="205"/>
        <v>0.28622540250447226</v>
      </c>
      <c r="T360" s="61">
        <f t="shared" si="205"/>
        <v>0.26949429037520389</v>
      </c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F360" s="61"/>
      <c r="AG360" s="61"/>
      <c r="AH360" s="61"/>
      <c r="AI360" s="61"/>
      <c r="AJ360" s="61"/>
      <c r="AK360" s="61"/>
      <c r="AL360" s="61"/>
      <c r="AM360" s="61"/>
      <c r="AN360" s="56"/>
    </row>
    <row r="361" spans="2:58" x14ac:dyDescent="0.55000000000000004">
      <c r="B361" s="86" t="s">
        <v>1</v>
      </c>
      <c r="C361" s="61">
        <v>0.30261869445667594</v>
      </c>
      <c r="D361" s="61">
        <v>0.29274245299010437</v>
      </c>
      <c r="E361" s="61">
        <v>0.28313832904752062</v>
      </c>
      <c r="F361" s="61">
        <v>0.28429895694833818</v>
      </c>
      <c r="G361" s="61">
        <v>0.27930185873912561</v>
      </c>
      <c r="H361" s="61">
        <v>0.28047239460803969</v>
      </c>
      <c r="I361" s="61">
        <v>0.28058524359344156</v>
      </c>
      <c r="J361" s="61">
        <v>0.28707668044881557</v>
      </c>
      <c r="K361" s="61">
        <v>0.27083111921920205</v>
      </c>
      <c r="L361" s="61">
        <v>0.26264668178959338</v>
      </c>
      <c r="M361" s="61">
        <v>0.25690559695130644</v>
      </c>
      <c r="N361" s="61">
        <v>0.26625930312114371</v>
      </c>
      <c r="O361" s="61">
        <f t="shared" ref="O361:Q367" si="206">O351/O$357</f>
        <v>0.25600210084033614</v>
      </c>
      <c r="P361" s="61">
        <f t="shared" si="206"/>
        <v>0.24823486682808718</v>
      </c>
      <c r="Q361" s="61">
        <f t="shared" si="206"/>
        <v>0.25932475247524756</v>
      </c>
      <c r="R361" s="61">
        <f t="shared" ref="R361:R366" si="207">R351/R$357</f>
        <v>0.25323770491803277</v>
      </c>
      <c r="S361" s="61">
        <f t="shared" ref="S361:T366" si="208">S351/S$357</f>
        <v>0.25016735604649998</v>
      </c>
      <c r="T361" s="61">
        <f t="shared" si="208"/>
        <v>0.2570338174097776</v>
      </c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F361" s="61"/>
      <c r="AG361" s="61"/>
      <c r="AH361" s="61"/>
      <c r="AI361" s="61"/>
      <c r="AJ361" s="61"/>
      <c r="AK361" s="61"/>
      <c r="AL361" s="61"/>
      <c r="AM361" s="61"/>
      <c r="AN361" s="57"/>
    </row>
    <row r="362" spans="2:58" x14ac:dyDescent="0.55000000000000004">
      <c r="B362" s="334" t="s">
        <v>263</v>
      </c>
      <c r="C362" s="338">
        <v>0.10148799647047138</v>
      </c>
      <c r="D362" s="338">
        <v>0.10298691398951508</v>
      </c>
      <c r="E362" s="338">
        <v>0.10473150589966591</v>
      </c>
      <c r="F362" s="338">
        <v>0.11073188825876773</v>
      </c>
      <c r="G362" s="338">
        <v>0.11546678722464579</v>
      </c>
      <c r="H362" s="338">
        <v>0.12163646063820699</v>
      </c>
      <c r="I362" s="338">
        <v>0.1225109310350736</v>
      </c>
      <c r="J362" s="338">
        <v>0.12349264952282707</v>
      </c>
      <c r="K362" s="338">
        <v>0.11417543046416341</v>
      </c>
      <c r="L362" s="338">
        <v>0.10800260732575735</v>
      </c>
      <c r="M362" s="338">
        <v>0.11211930950580201</v>
      </c>
      <c r="N362" s="338">
        <v>0.11467875893093861</v>
      </c>
      <c r="O362" s="338">
        <f t="shared" si="206"/>
        <v>0.13067226890756303</v>
      </c>
      <c r="P362" s="338">
        <f t="shared" si="206"/>
        <v>0.13317191283292978</v>
      </c>
      <c r="Q362" s="338">
        <f t="shared" si="206"/>
        <v>0.14059405940594061</v>
      </c>
      <c r="R362" s="338">
        <f t="shared" si="207"/>
        <v>0.13934426229508196</v>
      </c>
      <c r="S362" s="338">
        <f t="shared" si="208"/>
        <v>0.15563506261180679</v>
      </c>
      <c r="T362" s="338">
        <f t="shared" si="208"/>
        <v>0.15693311582381728</v>
      </c>
      <c r="U362" s="338"/>
      <c r="V362" s="61"/>
      <c r="W362" s="61"/>
      <c r="X362" s="61"/>
      <c r="Y362" s="61"/>
      <c r="Z362" s="61"/>
      <c r="AA362" s="61"/>
      <c r="AB362" s="61"/>
      <c r="AC362" s="61"/>
      <c r="AD362" s="61"/>
      <c r="AF362" s="61"/>
      <c r="AG362" s="61"/>
      <c r="AH362" s="61"/>
      <c r="AI362" s="61"/>
      <c r="AJ362" s="61"/>
      <c r="AK362" s="61"/>
      <c r="AL362" s="61"/>
      <c r="AM362" s="61"/>
      <c r="AN362" s="166"/>
    </row>
    <row r="363" spans="2:58" x14ac:dyDescent="0.55000000000000004">
      <c r="B363" s="93" t="s">
        <v>264</v>
      </c>
      <c r="C363" s="241">
        <v>1.8907950243113172E-2</v>
      </c>
      <c r="D363" s="241">
        <v>2.4875828951717003E-2</v>
      </c>
      <c r="E363" s="241">
        <v>3.10722956138904E-2</v>
      </c>
      <c r="F363" s="241">
        <v>3.5511544043790193E-2</v>
      </c>
      <c r="G363" s="241">
        <v>4.0201185475938234E-2</v>
      </c>
      <c r="H363" s="241">
        <v>4.6134674000711438E-2</v>
      </c>
      <c r="I363" s="241">
        <v>5.1744206066415395E-2</v>
      </c>
      <c r="J363" s="241">
        <v>5.5397483673523706E-2</v>
      </c>
      <c r="K363" s="241">
        <v>5.8508745368656759E-2</v>
      </c>
      <c r="L363" s="241">
        <v>6.1606219658120298E-2</v>
      </c>
      <c r="M363" s="241">
        <v>6.3500807270403595E-2</v>
      </c>
      <c r="N363" s="241">
        <v>6.4324212940918168E-2</v>
      </c>
      <c r="O363" s="241">
        <f t="shared" si="206"/>
        <v>6.6505958249726882E-2</v>
      </c>
      <c r="P363" s="241">
        <f t="shared" si="206"/>
        <v>7.2141236553946733E-2</v>
      </c>
      <c r="Q363" s="241">
        <f t="shared" si="206"/>
        <v>8.8834186527494002E-2</v>
      </c>
      <c r="R363" s="241">
        <f t="shared" si="207"/>
        <v>9.0543218204196738E-2</v>
      </c>
      <c r="S363" s="241">
        <f t="shared" si="208"/>
        <v>8.9445438282647588E-2</v>
      </c>
      <c r="T363" s="241">
        <f t="shared" si="208"/>
        <v>9.19004893964111E-2</v>
      </c>
      <c r="U363" s="241"/>
      <c r="V363" s="168"/>
      <c r="W363" s="168"/>
      <c r="X363" s="168"/>
      <c r="Y363" s="168"/>
      <c r="Z363" s="168"/>
      <c r="AA363" s="168"/>
      <c r="AB363" s="168"/>
      <c r="AC363" s="168"/>
      <c r="AD363" s="168"/>
      <c r="AF363" s="61"/>
      <c r="AG363" s="61"/>
      <c r="AH363" s="61"/>
      <c r="AI363" s="61"/>
      <c r="AJ363" s="61"/>
      <c r="AK363" s="61"/>
      <c r="AL363" s="61"/>
      <c r="AM363" s="61"/>
      <c r="AN363" s="167"/>
    </row>
    <row r="364" spans="2:58" x14ac:dyDescent="0.55000000000000004">
      <c r="B364" s="86" t="s">
        <v>265</v>
      </c>
      <c r="C364" s="61">
        <v>3.3873421371942831E-2</v>
      </c>
      <c r="D364" s="61">
        <v>3.396337173198942E-2</v>
      </c>
      <c r="E364" s="61">
        <v>3.5173564761832879E-2</v>
      </c>
      <c r="F364" s="61">
        <v>4.0225031823902996E-2</v>
      </c>
      <c r="G364" s="61">
        <v>4.6578539207555815E-2</v>
      </c>
      <c r="H364" s="61">
        <v>5.1003502307498394E-2</v>
      </c>
      <c r="I364" s="61">
        <v>5.5989146906031413E-2</v>
      </c>
      <c r="J364" s="61">
        <v>6.0036634877221967E-2</v>
      </c>
      <c r="K364" s="61">
        <v>6.3510682353071585E-2</v>
      </c>
      <c r="L364" s="61">
        <v>6.8624257959649659E-2</v>
      </c>
      <c r="M364" s="61">
        <v>7.0451407835029123E-2</v>
      </c>
      <c r="N364" s="61">
        <v>7.5451491146051264E-2</v>
      </c>
      <c r="O364" s="61">
        <f t="shared" si="206"/>
        <v>7.8991596638655459E-2</v>
      </c>
      <c r="P364" s="61">
        <f t="shared" si="206"/>
        <v>8.7409200968523004E-2</v>
      </c>
      <c r="Q364" s="61">
        <f t="shared" si="206"/>
        <v>9.5247524752475249E-2</v>
      </c>
      <c r="R364" s="61">
        <f t="shared" si="207"/>
        <v>9.3934426229508206E-2</v>
      </c>
      <c r="S364" s="61">
        <f t="shared" si="208"/>
        <v>9.0876565295169937E-2</v>
      </c>
      <c r="T364" s="61">
        <f t="shared" si="208"/>
        <v>9.5595432300163138E-2</v>
      </c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F364" s="61"/>
      <c r="AG364" s="61"/>
      <c r="AH364" s="61"/>
      <c r="AI364" s="61"/>
      <c r="AJ364" s="61"/>
      <c r="AK364" s="61"/>
      <c r="AL364" s="61"/>
      <c r="AM364" s="61"/>
      <c r="AN364" s="59"/>
    </row>
    <row r="365" spans="2:58" x14ac:dyDescent="0.55000000000000004">
      <c r="B365" s="86" t="s">
        <v>266</v>
      </c>
      <c r="C365" s="61">
        <v>1.7098012692504477E-2</v>
      </c>
      <c r="D365" s="61">
        <v>1.6514300016471924E-2</v>
      </c>
      <c r="E365" s="61">
        <v>1.6256689595805111E-2</v>
      </c>
      <c r="F365" s="61">
        <v>1.6923018204552238E-2</v>
      </c>
      <c r="G365" s="61">
        <v>1.7219944797944878E-2</v>
      </c>
      <c r="H365" s="61">
        <v>1.7368760245256208E-2</v>
      </c>
      <c r="I365" s="61">
        <v>1.7207673590385802E-2</v>
      </c>
      <c r="J365" s="61">
        <v>1.7153324250634851E-2</v>
      </c>
      <c r="K365" s="61">
        <v>1.677640665930193E-2</v>
      </c>
      <c r="L365" s="61">
        <v>1.6580357627834816E-2</v>
      </c>
      <c r="M365" s="61">
        <v>1.5559820135343856E-2</v>
      </c>
      <c r="N365" s="61">
        <v>1.5202912395099881E-2</v>
      </c>
      <c r="O365" s="61">
        <f t="shared" si="206"/>
        <v>1.5336134453781512E-2</v>
      </c>
      <c r="P365" s="61">
        <f t="shared" si="206"/>
        <v>1.5254237288135592E-2</v>
      </c>
      <c r="Q365" s="61">
        <f t="shared" si="206"/>
        <v>1.5049504950495052E-2</v>
      </c>
      <c r="R365" s="61">
        <f t="shared" si="207"/>
        <v>1.4098360655737708E-2</v>
      </c>
      <c r="S365" s="61">
        <f t="shared" si="208"/>
        <v>1.7173524150268338E-2</v>
      </c>
      <c r="T365" s="61">
        <f t="shared" si="208"/>
        <v>1.7292006525285484E-2</v>
      </c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F365" s="61"/>
      <c r="AG365" s="61"/>
      <c r="AH365" s="61"/>
      <c r="AI365" s="61"/>
      <c r="AJ365" s="61"/>
      <c r="AK365" s="61"/>
      <c r="AL365" s="61"/>
      <c r="AM365" s="61"/>
      <c r="AN365" s="60"/>
    </row>
    <row r="366" spans="2:58" x14ac:dyDescent="0.55000000000000004">
      <c r="B366" s="86" t="s">
        <v>267</v>
      </c>
      <c r="C366" s="61">
        <v>5.939302818619166E-2</v>
      </c>
      <c r="D366" s="61">
        <v>5.8474579341533051E-2</v>
      </c>
      <c r="E366" s="61">
        <v>6.1712796326098891E-2</v>
      </c>
      <c r="F366" s="61">
        <v>6.0918976480274258E-2</v>
      </c>
      <c r="G366" s="61">
        <v>7.023058097108005E-2</v>
      </c>
      <c r="H366" s="61">
        <v>6.6934120074873357E-2</v>
      </c>
      <c r="I366" s="61">
        <v>7.661367906139939E-2</v>
      </c>
      <c r="J366" s="61">
        <v>7.5766331223002512E-2</v>
      </c>
      <c r="K366" s="61">
        <v>0.10043170301186073</v>
      </c>
      <c r="L366" s="61">
        <v>0.10369145268739165</v>
      </c>
      <c r="M366" s="61">
        <v>0.11032282916093951</v>
      </c>
      <c r="N366" s="61">
        <v>0.10729095511598437</v>
      </c>
      <c r="O366" s="61">
        <f t="shared" si="206"/>
        <v>0.11683732237773101</v>
      </c>
      <c r="P366" s="61">
        <f t="shared" si="206"/>
        <v>0.13394817190796598</v>
      </c>
      <c r="Q366" s="61">
        <f t="shared" si="206"/>
        <v>7.2963153649317797E-2</v>
      </c>
      <c r="R366" s="61">
        <f t="shared" si="207"/>
        <v>9.6406617861377109E-2</v>
      </c>
      <c r="S366" s="61">
        <f t="shared" si="208"/>
        <v>0.11047665110913504</v>
      </c>
      <c r="T366" s="61">
        <f t="shared" si="208"/>
        <v>0.11175084816934151</v>
      </c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F366" s="61"/>
      <c r="AG366" s="61"/>
      <c r="AH366" s="61"/>
      <c r="AI366" s="61"/>
      <c r="AJ366" s="61"/>
      <c r="AK366" s="61"/>
      <c r="AL366" s="61"/>
      <c r="AM366" s="61"/>
      <c r="AN366" s="61"/>
    </row>
    <row r="367" spans="2:58" x14ac:dyDescent="0.55000000000000004">
      <c r="B367" s="336" t="s">
        <v>243</v>
      </c>
      <c r="C367" s="89">
        <v>1</v>
      </c>
      <c r="D367" s="89">
        <v>1</v>
      </c>
      <c r="E367" s="89">
        <v>1</v>
      </c>
      <c r="F367" s="89">
        <v>1</v>
      </c>
      <c r="G367" s="89">
        <v>1</v>
      </c>
      <c r="H367" s="89">
        <v>1</v>
      </c>
      <c r="I367" s="89">
        <v>1</v>
      </c>
      <c r="J367" s="89">
        <v>1</v>
      </c>
      <c r="K367" s="89">
        <v>1</v>
      </c>
      <c r="L367" s="89">
        <v>1</v>
      </c>
      <c r="M367" s="89">
        <v>1</v>
      </c>
      <c r="N367" s="89">
        <v>1</v>
      </c>
      <c r="O367" s="89">
        <f t="shared" si="206"/>
        <v>1</v>
      </c>
      <c r="P367" s="89">
        <f t="shared" si="206"/>
        <v>1</v>
      </c>
      <c r="Q367" s="89">
        <f t="shared" si="206"/>
        <v>1</v>
      </c>
      <c r="R367" s="89">
        <v>1</v>
      </c>
      <c r="S367" s="89">
        <v>1</v>
      </c>
      <c r="T367" s="89">
        <v>1</v>
      </c>
      <c r="U367" s="89"/>
      <c r="V367" s="168"/>
      <c r="W367" s="168"/>
      <c r="X367" s="168"/>
      <c r="Y367" s="168"/>
      <c r="Z367" s="168"/>
      <c r="AA367" s="168"/>
      <c r="AB367" s="168"/>
      <c r="AC367" s="168"/>
      <c r="AD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</row>
    <row r="369" spans="2:41" x14ac:dyDescent="0.55000000000000004">
      <c r="B369" s="18" t="s">
        <v>883</v>
      </c>
    </row>
    <row r="370" spans="2:41" x14ac:dyDescent="0.55000000000000004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333" t="str">
        <f t="shared" ref="O370:T370" si="209">O349</f>
        <v>1Q20</v>
      </c>
      <c r="P370" s="333" t="str">
        <f t="shared" si="209"/>
        <v>2Q20</v>
      </c>
      <c r="Q370" s="333" t="str">
        <f t="shared" si="209"/>
        <v>3Q20</v>
      </c>
      <c r="R370" s="333" t="str">
        <f t="shared" si="209"/>
        <v>4Q20</v>
      </c>
      <c r="S370" s="333" t="str">
        <f t="shared" si="209"/>
        <v>1Q21</v>
      </c>
      <c r="T370" s="333" t="str">
        <f t="shared" si="209"/>
        <v>2Q21</v>
      </c>
      <c r="U370" s="333"/>
      <c r="V370" s="389"/>
      <c r="W370" s="389"/>
      <c r="X370" s="389"/>
      <c r="Y370" s="389"/>
      <c r="Z370" s="389"/>
      <c r="AA370" s="389"/>
      <c r="AB370" s="389"/>
      <c r="AC370" s="389"/>
      <c r="AD370" s="389"/>
    </row>
    <row r="371" spans="2:41" x14ac:dyDescent="0.55000000000000004">
      <c r="B371" s="334" t="str">
        <f>B353</f>
        <v>PagSeguro</v>
      </c>
      <c r="T371" s="4">
        <f>T72</f>
        <v>-2032.4</v>
      </c>
      <c r="U371" s="4"/>
      <c r="V371" s="4"/>
      <c r="W371" s="4"/>
      <c r="X371" s="4"/>
      <c r="Y371" s="4"/>
      <c r="Z371" s="4"/>
      <c r="AA371" s="4"/>
      <c r="AB371" s="4"/>
      <c r="AC371" s="4"/>
      <c r="AD371" s="4"/>
    </row>
    <row r="372" spans="2:41" x14ac:dyDescent="0.55000000000000004">
      <c r="B372" s="334" t="str">
        <f>B354</f>
        <v>Stone</v>
      </c>
    </row>
    <row r="373" spans="2:41" x14ac:dyDescent="0.55000000000000004">
      <c r="B373" s="334" t="str">
        <f>B352</f>
        <v>GetNet</v>
      </c>
    </row>
    <row r="379" spans="2:41" hidden="1" outlineLevel="1" x14ac:dyDescent="0.55000000000000004">
      <c r="B379" s="75" t="s">
        <v>269</v>
      </c>
      <c r="C379" s="76" t="s">
        <v>11</v>
      </c>
      <c r="D379" s="76" t="s">
        <v>12</v>
      </c>
      <c r="E379" s="76" t="s">
        <v>13</v>
      </c>
      <c r="F379" s="76" t="s">
        <v>14</v>
      </c>
      <c r="G379" s="76" t="s">
        <v>15</v>
      </c>
      <c r="H379" s="76" t="s">
        <v>16</v>
      </c>
      <c r="I379" s="76" t="s">
        <v>17</v>
      </c>
      <c r="J379" s="76" t="s">
        <v>18</v>
      </c>
      <c r="K379" s="76" t="str">
        <f>K349</f>
        <v>1Q19</v>
      </c>
      <c r="L379" s="76" t="str">
        <f t="shared" ref="L379:S379" si="210">L349</f>
        <v>2Q19</v>
      </c>
      <c r="M379" s="76" t="str">
        <f t="shared" si="210"/>
        <v>3Q19</v>
      </c>
      <c r="N379" s="76" t="str">
        <f t="shared" si="210"/>
        <v>4Q19</v>
      </c>
      <c r="O379" s="76" t="str">
        <f t="shared" si="210"/>
        <v>1Q20</v>
      </c>
      <c r="P379" s="76" t="str">
        <f t="shared" si="210"/>
        <v>2Q20</v>
      </c>
      <c r="Q379" s="76" t="str">
        <f t="shared" si="210"/>
        <v>3Q20</v>
      </c>
      <c r="R379" s="76" t="str">
        <f t="shared" si="210"/>
        <v>4Q20</v>
      </c>
      <c r="S379" s="76" t="str">
        <f t="shared" si="210"/>
        <v>1Q21</v>
      </c>
      <c r="T379" s="76"/>
      <c r="U379" s="76"/>
      <c r="V379" s="76"/>
      <c r="W379" s="164"/>
      <c r="X379" s="164"/>
      <c r="Y379" s="164"/>
      <c r="Z379" s="164"/>
      <c r="AA379" s="164"/>
      <c r="AB379" s="164"/>
      <c r="AC379" s="164"/>
      <c r="AD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</row>
    <row r="380" spans="2:41" hidden="1" outlineLevel="1" x14ac:dyDescent="0.55000000000000004">
      <c r="B380" s="77" t="s">
        <v>0</v>
      </c>
      <c r="C380" s="78">
        <v>79.635999999999996</v>
      </c>
      <c r="D380" s="78">
        <v>82.715000000000003</v>
      </c>
      <c r="E380" s="78">
        <v>86.441000000000003</v>
      </c>
      <c r="F380" s="78">
        <v>95.293999999999997</v>
      </c>
      <c r="G380" s="78">
        <v>87.644999999999996</v>
      </c>
      <c r="H380" s="78">
        <v>88.588478304259993</v>
      </c>
      <c r="I380" s="78">
        <v>90.033595714</v>
      </c>
      <c r="J380" s="78">
        <v>98.115765569200008</v>
      </c>
      <c r="K380" s="78">
        <v>93.240246521749995</v>
      </c>
      <c r="L380" s="78">
        <v>99.905709204219988</v>
      </c>
      <c r="M380" s="78">
        <v>104.76388569085999</v>
      </c>
      <c r="N380" s="78">
        <v>113.66959263027999</v>
      </c>
      <c r="O380" s="78">
        <v>94.965329303679994</v>
      </c>
      <c r="P380" s="78">
        <v>70.80345088736</v>
      </c>
      <c r="Q380" s="78">
        <v>90.724015092119998</v>
      </c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F380" s="78"/>
      <c r="AG380" s="78"/>
      <c r="AH380" s="78"/>
      <c r="AI380" s="78"/>
      <c r="AJ380" s="78"/>
      <c r="AK380" s="78"/>
      <c r="AL380" s="78"/>
      <c r="AM380" s="78"/>
      <c r="AN380" s="78"/>
    </row>
    <row r="381" spans="2:41" hidden="1" outlineLevel="1" x14ac:dyDescent="0.55000000000000004">
      <c r="B381" s="79" t="s">
        <v>1</v>
      </c>
      <c r="C381" s="80">
        <v>60.938000000000002</v>
      </c>
      <c r="D381" s="80">
        <v>61.936999999999998</v>
      </c>
      <c r="E381" s="80">
        <v>63.558</v>
      </c>
      <c r="F381" s="80">
        <v>69.424999999999997</v>
      </c>
      <c r="G381" s="80">
        <v>63.344999999999999</v>
      </c>
      <c r="H381" s="80">
        <v>65.915000000000006</v>
      </c>
      <c r="I381" s="80">
        <v>70.376000000000005</v>
      </c>
      <c r="J381" s="80">
        <v>81.135999999999996</v>
      </c>
      <c r="K381" s="80">
        <v>72.876999999999995</v>
      </c>
      <c r="L381" s="80">
        <v>74.094999999999999</v>
      </c>
      <c r="M381" s="80">
        <v>76.635999999999996</v>
      </c>
      <c r="N381" s="80">
        <v>90.498999999999995</v>
      </c>
      <c r="O381" s="80">
        <v>76.575000000000003</v>
      </c>
      <c r="P381" s="80">
        <v>62.091999999999999</v>
      </c>
      <c r="Q381" s="80">
        <v>79.03</v>
      </c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F381" s="80"/>
      <c r="AG381" s="80"/>
      <c r="AH381" s="80"/>
      <c r="AI381" s="80"/>
      <c r="AJ381" s="80"/>
      <c r="AK381" s="80"/>
      <c r="AL381" s="80"/>
      <c r="AM381" s="80"/>
      <c r="AN381" s="80"/>
    </row>
    <row r="382" spans="2:41" hidden="1" outlineLevel="1" x14ac:dyDescent="0.55000000000000004">
      <c r="B382" s="81" t="s">
        <v>263</v>
      </c>
      <c r="C382" s="82">
        <v>20.273</v>
      </c>
      <c r="D382" s="82">
        <v>21.51</v>
      </c>
      <c r="E382" s="82">
        <v>23.146999999999998</v>
      </c>
      <c r="F382" s="82">
        <v>25.957000000000001</v>
      </c>
      <c r="G382" s="82">
        <v>24.795999999999999</v>
      </c>
      <c r="H382" s="82">
        <v>27.027000000000001</v>
      </c>
      <c r="I382" s="82">
        <v>29.030999999999999</v>
      </c>
      <c r="J382" s="82">
        <v>33.204999999999998</v>
      </c>
      <c r="K382" s="82">
        <v>29.143999999999998</v>
      </c>
      <c r="L382" s="82">
        <v>29</v>
      </c>
      <c r="M382" s="82">
        <v>31.992000000000001</v>
      </c>
      <c r="N382" s="82">
        <v>36.5</v>
      </c>
      <c r="O382" s="82">
        <v>36.700000000000003</v>
      </c>
      <c r="P382" s="82">
        <v>34.1</v>
      </c>
      <c r="Q382" s="82">
        <v>42</v>
      </c>
      <c r="R382" s="82"/>
      <c r="S382" s="82"/>
      <c r="T382" s="82"/>
      <c r="U382" s="82"/>
      <c r="V382" s="82"/>
      <c r="W382" s="165"/>
      <c r="X382" s="165"/>
      <c r="Y382" s="165"/>
      <c r="Z382" s="165"/>
      <c r="AA382" s="165"/>
      <c r="AB382" s="165"/>
      <c r="AC382" s="165"/>
      <c r="AD382" s="165"/>
      <c r="AF382" s="165"/>
      <c r="AG382" s="165"/>
      <c r="AH382" s="165"/>
      <c r="AI382" s="165"/>
      <c r="AJ382" s="165"/>
      <c r="AK382" s="165"/>
      <c r="AL382" s="165"/>
      <c r="AM382" s="165"/>
      <c r="AN382" s="67"/>
      <c r="AO382" s="162"/>
    </row>
    <row r="383" spans="2:41" hidden="1" outlineLevel="1" x14ac:dyDescent="0.55000000000000004">
      <c r="B383" s="93" t="s">
        <v>264</v>
      </c>
      <c r="C383" s="92">
        <v>4.0036710929348374</v>
      </c>
      <c r="D383" s="92">
        <v>5.3079184633032881</v>
      </c>
      <c r="E383" s="92">
        <v>6.9005205374083687</v>
      </c>
      <c r="F383" s="92">
        <v>8.5603087978645238</v>
      </c>
      <c r="G383" s="92">
        <v>8.2825455158143928</v>
      </c>
      <c r="H383" s="92">
        <v>9.860446899042417</v>
      </c>
      <c r="I383" s="92">
        <v>11.667984245582572</v>
      </c>
      <c r="J383" s="92">
        <v>13.588842840682172</v>
      </c>
      <c r="K383" s="92">
        <v>13.998122088537539</v>
      </c>
      <c r="L383" s="92">
        <v>15.666618158935425</v>
      </c>
      <c r="M383" s="92">
        <v>17.212913081177994</v>
      </c>
      <c r="N383" s="92">
        <v>19.117173513401625</v>
      </c>
      <c r="O383" s="92">
        <v>18.283202604337927</v>
      </c>
      <c r="P383" s="92">
        <v>16.346544005685182</v>
      </c>
      <c r="Q383" s="92">
        <v>22.658401825448291</v>
      </c>
      <c r="R383" s="92">
        <f>R393*R353</f>
        <v>27.615681552280005</v>
      </c>
      <c r="S383" s="92">
        <f>S393*S353</f>
        <v>28.499999999999996</v>
      </c>
      <c r="T383" s="92"/>
      <c r="U383" s="92"/>
      <c r="V383" s="92"/>
      <c r="W383" s="67"/>
      <c r="X383" s="67"/>
      <c r="Y383" s="67"/>
      <c r="Z383" s="67"/>
      <c r="AA383" s="67"/>
      <c r="AB383" s="67"/>
      <c r="AC383" s="67"/>
      <c r="AD383" s="67"/>
      <c r="AF383" s="67"/>
      <c r="AG383" s="67"/>
      <c r="AH383" s="67"/>
      <c r="AI383" s="67"/>
      <c r="AJ383" s="67"/>
      <c r="AK383" s="67"/>
      <c r="AL383" s="67"/>
      <c r="AM383" s="67"/>
      <c r="AN383" s="67"/>
      <c r="AO383" s="162"/>
    </row>
    <row r="384" spans="2:41" hidden="1" outlineLevel="1" x14ac:dyDescent="0.55000000000000004">
      <c r="B384" s="83" t="s">
        <v>265</v>
      </c>
      <c r="C384" s="84">
        <v>6.5500028571623528</v>
      </c>
      <c r="D384" s="84">
        <v>6.833040632146071</v>
      </c>
      <c r="E384" s="84">
        <v>7.4527703893960489</v>
      </c>
      <c r="F384" s="84">
        <v>9.4568022708829886</v>
      </c>
      <c r="G384" s="84">
        <v>10.346170301913492</v>
      </c>
      <c r="H384" s="84">
        <v>11.761512359536097</v>
      </c>
      <c r="I384" s="84">
        <v>13.802180326947399</v>
      </c>
      <c r="J384" s="84">
        <v>16.51827720240054</v>
      </c>
      <c r="K384" s="84">
        <v>16.859495099504336</v>
      </c>
      <c r="L384" s="84">
        <v>19.229330571872236</v>
      </c>
      <c r="M384" s="84">
        <v>21.095106282653909</v>
      </c>
      <c r="N384" s="84">
        <v>25.466686996919382</v>
      </c>
      <c r="O384" s="84">
        <v>24.207474056912844</v>
      </c>
      <c r="P384" s="84">
        <v>23.803509794749829</v>
      </c>
      <c r="Q384" s="84">
        <v>40.48425338690339</v>
      </c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F384" s="84"/>
      <c r="AG384" s="84"/>
      <c r="AH384" s="84"/>
      <c r="AI384" s="84"/>
      <c r="AJ384" s="84"/>
      <c r="AK384" s="84"/>
      <c r="AL384" s="84"/>
      <c r="AM384" s="84"/>
      <c r="AN384" s="84"/>
    </row>
    <row r="385" spans="2:40" hidden="1" outlineLevel="1" x14ac:dyDescent="0.55000000000000004">
      <c r="B385" s="85" t="s">
        <v>266</v>
      </c>
      <c r="C385" s="66">
        <v>2.4</v>
      </c>
      <c r="D385" s="66">
        <v>2.5000000000000004</v>
      </c>
      <c r="E385" s="66">
        <v>2.5</v>
      </c>
      <c r="F385" s="66">
        <v>2.9</v>
      </c>
      <c r="G385" s="66">
        <v>2.8</v>
      </c>
      <c r="H385" s="66">
        <v>3</v>
      </c>
      <c r="I385" s="66">
        <v>3.1000000000000005</v>
      </c>
      <c r="J385" s="66">
        <v>3.4000000000000004</v>
      </c>
      <c r="K385" s="66">
        <v>3.2</v>
      </c>
      <c r="L385" s="66">
        <v>3.3999999999999995</v>
      </c>
      <c r="M385" s="66">
        <v>3.4000000000000004</v>
      </c>
      <c r="N385" s="66">
        <v>3.5999999999999996</v>
      </c>
      <c r="O385" s="66">
        <v>3.3</v>
      </c>
      <c r="P385" s="66">
        <v>2.8</v>
      </c>
      <c r="Q385" s="66">
        <v>3.3000000000000007</v>
      </c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F385" s="66"/>
      <c r="AG385" s="66"/>
      <c r="AH385" s="66"/>
      <c r="AI385" s="66"/>
      <c r="AJ385" s="66"/>
      <c r="AK385" s="66"/>
      <c r="AL385" s="66"/>
      <c r="AM385" s="66"/>
      <c r="AN385" s="66"/>
    </row>
    <row r="386" spans="2:40" hidden="1" outlineLevel="1" x14ac:dyDescent="0.55000000000000004">
      <c r="B386" s="86" t="s">
        <v>267</v>
      </c>
      <c r="C386" s="62">
        <v>19.566355179935812</v>
      </c>
      <c r="D386" s="62">
        <v>20.385565002414779</v>
      </c>
      <c r="E386" s="62">
        <v>21.886266873783086</v>
      </c>
      <c r="F386" s="62">
        <v>23.504335523288631</v>
      </c>
      <c r="G386" s="62">
        <v>24.908400920874556</v>
      </c>
      <c r="H386" s="62">
        <v>24.449615775113415</v>
      </c>
      <c r="I386" s="62">
        <v>28.504521507495042</v>
      </c>
      <c r="J386" s="62">
        <v>29.172741152046711</v>
      </c>
      <c r="K386" s="62">
        <v>36.140338976430769</v>
      </c>
      <c r="L386" s="62">
        <v>38.915196350943319</v>
      </c>
      <c r="M386" s="62">
        <v>44.327841400719848</v>
      </c>
      <c r="N386" s="62">
        <v>48.67151901819409</v>
      </c>
      <c r="O386" s="62">
        <v>54.660743932822783</v>
      </c>
      <c r="P386" s="62">
        <v>47.128914246139431</v>
      </c>
      <c r="Q386" s="62">
        <v>40.9299869216822</v>
      </c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F386" s="62"/>
      <c r="AG386" s="62"/>
      <c r="AH386" s="62"/>
      <c r="AI386" s="62"/>
      <c r="AJ386" s="62"/>
      <c r="AK386" s="62"/>
      <c r="AL386" s="62"/>
      <c r="AM386" s="62"/>
      <c r="AN386" s="62"/>
    </row>
    <row r="387" spans="2:40" hidden="1" outlineLevel="1" x14ac:dyDescent="0.55000000000000004">
      <c r="B387" s="87" t="s">
        <v>243</v>
      </c>
      <c r="C387" s="88">
        <v>193.36702913003302</v>
      </c>
      <c r="D387" s="88">
        <v>201.1885240978641</v>
      </c>
      <c r="E387" s="88">
        <v>211.88555780058749</v>
      </c>
      <c r="F387" s="88">
        <v>235.09744659203614</v>
      </c>
      <c r="G387" s="88">
        <v>222.12311673860248</v>
      </c>
      <c r="H387" s="88">
        <v>230.6020533379519</v>
      </c>
      <c r="I387" s="88">
        <v>246.51528179402501</v>
      </c>
      <c r="J387" s="88">
        <v>275.13662676432943</v>
      </c>
      <c r="K387" s="88">
        <v>265.45920268622262</v>
      </c>
      <c r="L387" s="88">
        <v>280.21185428597096</v>
      </c>
      <c r="M387" s="88">
        <v>299.42774645541175</v>
      </c>
      <c r="N387" s="88">
        <v>337.52397215879512</v>
      </c>
      <c r="O387" s="88">
        <v>308.69174989775354</v>
      </c>
      <c r="P387" s="88">
        <v>257.07441893393445</v>
      </c>
      <c r="Q387" s="88">
        <v>319.1266572261539</v>
      </c>
      <c r="R387" s="88"/>
      <c r="S387" s="88"/>
      <c r="T387" s="88"/>
      <c r="U387" s="88"/>
      <c r="V387" s="88"/>
      <c r="W387" s="67"/>
      <c r="X387" s="67"/>
      <c r="Y387" s="67"/>
      <c r="Z387" s="67"/>
      <c r="AA387" s="67"/>
      <c r="AB387" s="67"/>
      <c r="AC387" s="67"/>
      <c r="AD387" s="67"/>
      <c r="AF387" s="67"/>
      <c r="AG387" s="67"/>
      <c r="AH387" s="67"/>
      <c r="AI387" s="67"/>
      <c r="AJ387" s="67"/>
      <c r="AK387" s="67"/>
      <c r="AL387" s="67"/>
      <c r="AM387" s="67"/>
      <c r="AN387" s="67"/>
    </row>
    <row r="388" spans="2:40" hidden="1" outlineLevel="1" x14ac:dyDescent="0.55000000000000004"/>
    <row r="389" spans="2:40" hidden="1" outlineLevel="1" x14ac:dyDescent="0.55000000000000004">
      <c r="B389" s="75" t="s">
        <v>864</v>
      </c>
      <c r="C389" s="240" t="str">
        <f>C379</f>
        <v>1Q17</v>
      </c>
      <c r="D389" s="240" t="str">
        <f t="shared" ref="D389:S389" si="211">D379</f>
        <v>2Q17</v>
      </c>
      <c r="E389" s="240" t="str">
        <f t="shared" si="211"/>
        <v>3Q17</v>
      </c>
      <c r="F389" s="240" t="str">
        <f t="shared" si="211"/>
        <v>4Q17</v>
      </c>
      <c r="G389" s="240" t="str">
        <f t="shared" si="211"/>
        <v>1Q18</v>
      </c>
      <c r="H389" s="240" t="str">
        <f t="shared" si="211"/>
        <v>2Q18</v>
      </c>
      <c r="I389" s="240" t="str">
        <f t="shared" si="211"/>
        <v>3Q18</v>
      </c>
      <c r="J389" s="240" t="str">
        <f t="shared" si="211"/>
        <v>4Q18</v>
      </c>
      <c r="K389" s="240" t="str">
        <f t="shared" si="211"/>
        <v>1Q19</v>
      </c>
      <c r="L389" s="240" t="str">
        <f t="shared" si="211"/>
        <v>2Q19</v>
      </c>
      <c r="M389" s="240" t="str">
        <f t="shared" si="211"/>
        <v>3Q19</v>
      </c>
      <c r="N389" s="240" t="str">
        <f t="shared" si="211"/>
        <v>4Q19</v>
      </c>
      <c r="O389" s="240" t="str">
        <f t="shared" si="211"/>
        <v>1Q20</v>
      </c>
      <c r="P389" s="240" t="str">
        <f t="shared" si="211"/>
        <v>2Q20</v>
      </c>
      <c r="Q389" s="240" t="str">
        <f t="shared" si="211"/>
        <v>3Q20</v>
      </c>
      <c r="R389" s="240" t="str">
        <f t="shared" si="211"/>
        <v>4Q20</v>
      </c>
      <c r="S389" s="240" t="str">
        <f t="shared" si="211"/>
        <v>1Q21</v>
      </c>
      <c r="T389" s="240"/>
      <c r="U389" s="240"/>
      <c r="V389" s="240"/>
      <c r="W389" s="290"/>
      <c r="X389" s="290"/>
      <c r="Y389" s="290"/>
      <c r="Z389" s="290"/>
      <c r="AA389" s="290"/>
      <c r="AB389" s="290"/>
      <c r="AC389" s="290"/>
      <c r="AD389" s="290"/>
      <c r="AF389" s="290"/>
      <c r="AG389" s="290"/>
      <c r="AH389" s="290"/>
      <c r="AI389" s="290"/>
      <c r="AJ389" s="290"/>
      <c r="AK389" s="290"/>
      <c r="AL389" s="290"/>
      <c r="AM389" s="290"/>
    </row>
    <row r="390" spans="2:40" hidden="1" outlineLevel="1" x14ac:dyDescent="0.55000000000000004">
      <c r="B390" s="77" t="s">
        <v>0</v>
      </c>
      <c r="C390" s="56">
        <f>C380/C350</f>
        <v>0.55057313919884954</v>
      </c>
      <c r="D390" s="56">
        <f t="shared" ref="D390:Q390" si="212">D380/D350</f>
        <v>0.54785039177115002</v>
      </c>
      <c r="E390" s="56">
        <f t="shared" si="212"/>
        <v>0.54603742119692245</v>
      </c>
      <c r="F390" s="56">
        <f t="shared" si="212"/>
        <v>0.5550320051720824</v>
      </c>
      <c r="G390" s="56">
        <f t="shared" si="212"/>
        <v>0.57405127130300371</v>
      </c>
      <c r="H390" s="56">
        <f t="shared" si="212"/>
        <v>0.58646561528523022</v>
      </c>
      <c r="I390" s="56">
        <f t="shared" si="212"/>
        <v>0.58488593205460304</v>
      </c>
      <c r="J390" s="56">
        <f t="shared" si="212"/>
        <v>0.58111339019418862</v>
      </c>
      <c r="K390" s="56">
        <f t="shared" si="212"/>
        <v>0.5946849350557093</v>
      </c>
      <c r="L390" s="56">
        <f t="shared" si="212"/>
        <v>0.60727614386230122</v>
      </c>
      <c r="M390" s="56">
        <f t="shared" si="212"/>
        <v>0.61002220321353395</v>
      </c>
      <c r="N390" s="56">
        <f t="shared" si="212"/>
        <v>0.59795778387070098</v>
      </c>
      <c r="O390" s="56">
        <f t="shared" si="212"/>
        <v>0.59438179402354796</v>
      </c>
      <c r="P390" s="56">
        <f t="shared" si="212"/>
        <v>0.55330725652321777</v>
      </c>
      <c r="Q390" s="56">
        <f t="shared" si="212"/>
        <v>0.54774004637886042</v>
      </c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</row>
    <row r="391" spans="2:40" hidden="1" outlineLevel="1" x14ac:dyDescent="0.55000000000000004">
      <c r="B391" s="79" t="s">
        <v>1</v>
      </c>
      <c r="C391" s="57">
        <f t="shared" ref="C391:Q391" si="213">C381/C351</f>
        <v>0.6496242204573317</v>
      </c>
      <c r="D391" s="57">
        <f t="shared" si="213"/>
        <v>0.65924790582324833</v>
      </c>
      <c r="E391" s="57">
        <f t="shared" si="213"/>
        <v>0.66350008351428091</v>
      </c>
      <c r="F391" s="57">
        <f t="shared" si="213"/>
        <v>0.64201560997262708</v>
      </c>
      <c r="G391" s="57">
        <f t="shared" si="213"/>
        <v>0.64023650697392365</v>
      </c>
      <c r="H391" s="57">
        <f t="shared" si="213"/>
        <v>0.64792152005740522</v>
      </c>
      <c r="I391" s="57">
        <f t="shared" si="213"/>
        <v>0.64417980942617326</v>
      </c>
      <c r="J391" s="57">
        <f t="shared" si="213"/>
        <v>0.63789673960044968</v>
      </c>
      <c r="K391" s="57">
        <f t="shared" si="213"/>
        <v>0.6449006681120304</v>
      </c>
      <c r="L391" s="57">
        <f t="shared" si="213"/>
        <v>0.6496484121556455</v>
      </c>
      <c r="M391" s="57">
        <f t="shared" si="213"/>
        <v>0.64466091286865534</v>
      </c>
      <c r="N391" s="57">
        <f t="shared" si="213"/>
        <v>0.63794136513911504</v>
      </c>
      <c r="O391" s="57">
        <f t="shared" si="213"/>
        <v>0.62840050222802135</v>
      </c>
      <c r="P391" s="57">
        <f t="shared" si="213"/>
        <v>0.60565152505340369</v>
      </c>
      <c r="Q391" s="57">
        <f t="shared" si="213"/>
        <v>0.60347131544987365</v>
      </c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</row>
    <row r="392" spans="2:40" hidden="1" outlineLevel="1" x14ac:dyDescent="0.55000000000000004">
      <c r="B392" s="81" t="s">
        <v>263</v>
      </c>
      <c r="C392" s="58">
        <f t="shared" ref="C392:Q392" si="214">C382/C352</f>
        <v>0.6444260783877428</v>
      </c>
      <c r="D392" s="58">
        <f t="shared" si="214"/>
        <v>0.65079269030618425</v>
      </c>
      <c r="E392" s="58">
        <f t="shared" si="214"/>
        <v>0.65326108429994634</v>
      </c>
      <c r="F392" s="58">
        <f t="shared" si="214"/>
        <v>0.61629232157272429</v>
      </c>
      <c r="G392" s="58">
        <f t="shared" si="214"/>
        <v>0.60621470307801384</v>
      </c>
      <c r="H392" s="58">
        <f t="shared" si="214"/>
        <v>0.61257932910244783</v>
      </c>
      <c r="I392" s="58">
        <f t="shared" si="214"/>
        <v>0.60860359321607516</v>
      </c>
      <c r="J392" s="58">
        <f t="shared" si="214"/>
        <v>0.60687197295074469</v>
      </c>
      <c r="K392" s="58">
        <f t="shared" si="214"/>
        <v>0.61175482787573465</v>
      </c>
      <c r="L392" s="58">
        <f t="shared" si="214"/>
        <v>0.61833688699360345</v>
      </c>
      <c r="M392" s="58">
        <f t="shared" si="214"/>
        <v>0.61664193057188565</v>
      </c>
      <c r="N392" s="58">
        <f t="shared" si="214"/>
        <v>0.59738134206219307</v>
      </c>
      <c r="O392" s="58">
        <f t="shared" si="214"/>
        <v>0.590032154340836</v>
      </c>
      <c r="P392" s="58">
        <f t="shared" si="214"/>
        <v>0.62</v>
      </c>
      <c r="Q392" s="58">
        <f t="shared" si="214"/>
        <v>0.59154929577464788</v>
      </c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</row>
    <row r="393" spans="2:40" hidden="1" outlineLevel="1" x14ac:dyDescent="0.55000000000000004">
      <c r="B393" s="93" t="s">
        <v>264</v>
      </c>
      <c r="C393" s="241">
        <f t="shared" ref="C393:Q393" si="215">C383/C353</f>
        <v>0.68309909057860185</v>
      </c>
      <c r="D393" s="241">
        <f t="shared" si="215"/>
        <v>0.66486118847441134</v>
      </c>
      <c r="E393" s="241">
        <f t="shared" si="215"/>
        <v>0.65641415350767229</v>
      </c>
      <c r="F393" s="241">
        <f t="shared" si="215"/>
        <v>0.63376002332426185</v>
      </c>
      <c r="G393" s="241">
        <f t="shared" si="215"/>
        <v>0.58160333888153615</v>
      </c>
      <c r="H393" s="241">
        <f t="shared" si="215"/>
        <v>0.5892470451400843</v>
      </c>
      <c r="I393" s="241">
        <f t="shared" si="215"/>
        <v>0.57913720120662171</v>
      </c>
      <c r="J393" s="241">
        <f t="shared" si="215"/>
        <v>0.55363959549147335</v>
      </c>
      <c r="K393" s="241">
        <f t="shared" si="215"/>
        <v>0.57338971207069656</v>
      </c>
      <c r="L393" s="241">
        <f t="shared" si="215"/>
        <v>0.58561487003754387</v>
      </c>
      <c r="M393" s="241">
        <f t="shared" si="215"/>
        <v>0.5857970837545271</v>
      </c>
      <c r="N393" s="241">
        <f t="shared" si="215"/>
        <v>0.55781601021594429</v>
      </c>
      <c r="O393" s="241">
        <f t="shared" si="215"/>
        <v>0.57754358430087493</v>
      </c>
      <c r="P393" s="241">
        <f t="shared" si="215"/>
        <v>0.54864612237964527</v>
      </c>
      <c r="Q393" s="241">
        <f t="shared" si="215"/>
        <v>0.50507720260086686</v>
      </c>
      <c r="R393" s="241">
        <v>0.5</v>
      </c>
      <c r="S393" s="241">
        <v>0.56999999999999995</v>
      </c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</row>
    <row r="394" spans="2:40" hidden="1" outlineLevel="1" x14ac:dyDescent="0.55000000000000004">
      <c r="B394" s="83" t="s">
        <v>265</v>
      </c>
      <c r="C394" s="59">
        <f t="shared" ref="C394:Q394" si="216">C384/C354</f>
        <v>0.62380979592022412</v>
      </c>
      <c r="D394" s="59">
        <f t="shared" si="216"/>
        <v>0.62688446166477718</v>
      </c>
      <c r="E394" s="59">
        <f t="shared" si="216"/>
        <v>0.6262832259996679</v>
      </c>
      <c r="F394" s="59">
        <f t="shared" si="216"/>
        <v>0.61809165169169855</v>
      </c>
      <c r="G394" s="59">
        <f t="shared" si="216"/>
        <v>0.62704062435839347</v>
      </c>
      <c r="H394" s="59">
        <f t="shared" si="216"/>
        <v>0.63575742483978903</v>
      </c>
      <c r="I394" s="59">
        <f t="shared" si="216"/>
        <v>0.63312753793336685</v>
      </c>
      <c r="J394" s="59">
        <f t="shared" si="216"/>
        <v>0.62098786475189993</v>
      </c>
      <c r="K394" s="59">
        <f t="shared" si="216"/>
        <v>0.63620736224544661</v>
      </c>
      <c r="L394" s="59">
        <f t="shared" si="216"/>
        <v>0.64527954939168575</v>
      </c>
      <c r="M394" s="59">
        <f t="shared" si="216"/>
        <v>0.6470891497746597</v>
      </c>
      <c r="N394" s="59">
        <f t="shared" si="216"/>
        <v>0.63349967654028305</v>
      </c>
      <c r="O394" s="59">
        <f t="shared" si="216"/>
        <v>0.64381579938597988</v>
      </c>
      <c r="P394" s="59">
        <f t="shared" si="216"/>
        <v>0.65937700262464893</v>
      </c>
      <c r="Q394" s="59">
        <f t="shared" si="216"/>
        <v>0.84166846958219099</v>
      </c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</row>
    <row r="395" spans="2:40" hidden="1" outlineLevel="1" x14ac:dyDescent="0.55000000000000004">
      <c r="B395" s="85" t="s">
        <v>266</v>
      </c>
      <c r="C395" s="60">
        <f t="shared" ref="C395:Q395" si="217">C385/C355</f>
        <v>0.45283018867924529</v>
      </c>
      <c r="D395" s="60">
        <f t="shared" si="217"/>
        <v>0.47169811320754718</v>
      </c>
      <c r="E395" s="60">
        <f t="shared" si="217"/>
        <v>0.45454545454545464</v>
      </c>
      <c r="F395" s="60">
        <f t="shared" si="217"/>
        <v>0.45053147996729359</v>
      </c>
      <c r="G395" s="60">
        <f t="shared" si="217"/>
        <v>0.45901639344262296</v>
      </c>
      <c r="H395" s="60">
        <f t="shared" si="217"/>
        <v>0.47619047619047622</v>
      </c>
      <c r="I395" s="60">
        <f t="shared" si="217"/>
        <v>0.46268656716417916</v>
      </c>
      <c r="J395" s="60">
        <f t="shared" si="217"/>
        <v>0.44736842105263153</v>
      </c>
      <c r="K395" s="60">
        <f t="shared" si="217"/>
        <v>0.45714285714285718</v>
      </c>
      <c r="L395" s="60">
        <f t="shared" si="217"/>
        <v>0.47222222222222221</v>
      </c>
      <c r="M395" s="60">
        <f t="shared" si="217"/>
        <v>0.47222222222222221</v>
      </c>
      <c r="N395" s="60">
        <f t="shared" si="217"/>
        <v>0.44444444444444442</v>
      </c>
      <c r="O395" s="60">
        <f t="shared" si="217"/>
        <v>0.45205479452054792</v>
      </c>
      <c r="P395" s="60">
        <f t="shared" si="217"/>
        <v>0.44444444444444442</v>
      </c>
      <c r="Q395" s="60">
        <f t="shared" si="217"/>
        <v>0.43421052631578949</v>
      </c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</row>
    <row r="396" spans="2:40" hidden="1" outlineLevel="1" x14ac:dyDescent="0.55000000000000004">
      <c r="B396" s="86" t="s">
        <v>267</v>
      </c>
      <c r="C396" s="61">
        <f t="shared" ref="C396:Q396" si="218">C386/C356</f>
        <v>1.0627820966353634</v>
      </c>
      <c r="D396" s="61">
        <f t="shared" si="218"/>
        <v>1.0862754065039497</v>
      </c>
      <c r="E396" s="61">
        <f t="shared" si="218"/>
        <v>1.0482524567159512</v>
      </c>
      <c r="F396" s="61">
        <f t="shared" si="218"/>
        <v>1.0143792238533096</v>
      </c>
      <c r="G396" s="61">
        <f t="shared" si="218"/>
        <v>1.0012015337913296</v>
      </c>
      <c r="H396" s="61">
        <f t="shared" si="218"/>
        <v>1.0070539818156317</v>
      </c>
      <c r="I396" s="61">
        <f t="shared" si="218"/>
        <v>0.95555302948394438</v>
      </c>
      <c r="J396" s="61">
        <f t="shared" si="218"/>
        <v>0.86903183321286437</v>
      </c>
      <c r="K396" s="61">
        <f t="shared" si="218"/>
        <v>0.86242691058565035</v>
      </c>
      <c r="L396" s="61">
        <f t="shared" si="218"/>
        <v>0.86424656990303095</v>
      </c>
      <c r="M396" s="61">
        <f t="shared" si="218"/>
        <v>0.86832692696946401</v>
      </c>
      <c r="N396" s="61">
        <f t="shared" si="218"/>
        <v>0.85143904735335685</v>
      </c>
      <c r="O396" s="61">
        <f t="shared" si="218"/>
        <v>0.98284942961922739</v>
      </c>
      <c r="P396" s="61">
        <f t="shared" si="218"/>
        <v>0.85192348794968376</v>
      </c>
      <c r="Q396" s="61">
        <f t="shared" si="218"/>
        <v>1.1108275204548241</v>
      </c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</row>
    <row r="397" spans="2:40" hidden="1" outlineLevel="1" x14ac:dyDescent="0.55000000000000004">
      <c r="B397" s="87" t="s">
        <v>243</v>
      </c>
      <c r="C397" s="89">
        <f t="shared" ref="C397:Q397" si="219">C387/C357</f>
        <v>0.62380979592022401</v>
      </c>
      <c r="D397" s="89">
        <f t="shared" si="219"/>
        <v>0.62688446166477707</v>
      </c>
      <c r="E397" s="89">
        <f t="shared" si="219"/>
        <v>0.6262832259996679</v>
      </c>
      <c r="F397" s="89">
        <f t="shared" si="219"/>
        <v>0.61809165169169855</v>
      </c>
      <c r="G397" s="89">
        <f t="shared" si="219"/>
        <v>0.62704062435839347</v>
      </c>
      <c r="H397" s="89">
        <f t="shared" si="219"/>
        <v>0.63575742483978903</v>
      </c>
      <c r="I397" s="89">
        <f t="shared" si="219"/>
        <v>0.63312753793336685</v>
      </c>
      <c r="J397" s="89">
        <f t="shared" si="219"/>
        <v>0.62098786475190015</v>
      </c>
      <c r="K397" s="89">
        <f t="shared" si="219"/>
        <v>0.63620736224544649</v>
      </c>
      <c r="L397" s="89">
        <f t="shared" si="219"/>
        <v>0.64527954939168564</v>
      </c>
      <c r="M397" s="89">
        <f t="shared" si="219"/>
        <v>0.6470891497746597</v>
      </c>
      <c r="N397" s="89">
        <f t="shared" si="219"/>
        <v>0.63349967654028316</v>
      </c>
      <c r="O397" s="89">
        <f t="shared" si="219"/>
        <v>0.64851207961712931</v>
      </c>
      <c r="P397" s="89">
        <f t="shared" si="219"/>
        <v>0.62245622017901803</v>
      </c>
      <c r="Q397" s="89">
        <f t="shared" si="219"/>
        <v>0.63193397470525525</v>
      </c>
      <c r="R397" s="89"/>
      <c r="S397" s="89"/>
      <c r="T397" s="89"/>
      <c r="U397" s="89"/>
      <c r="V397" s="89"/>
      <c r="W397" s="168"/>
      <c r="X397" s="168"/>
      <c r="Y397" s="168"/>
      <c r="Z397" s="168"/>
      <c r="AA397" s="168"/>
      <c r="AB397" s="168"/>
      <c r="AC397" s="168"/>
      <c r="AD397" s="168"/>
    </row>
    <row r="398" spans="2:40" hidden="1" outlineLevel="1" x14ac:dyDescent="0.55000000000000004">
      <c r="B398" s="87"/>
      <c r="M398" s="12">
        <f>SUM(K383:M383)/SUM(K353:M353)</f>
        <v>0.58197612318361924</v>
      </c>
      <c r="N398" s="12"/>
      <c r="O398" s="12"/>
      <c r="P398" s="12"/>
      <c r="Q398" s="12">
        <f>SUM(O383:Q383)/SUM(O353:Q353)</f>
        <v>0.53886594338789517</v>
      </c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</row>
    <row r="399" spans="2:40" hidden="1" outlineLevel="1" x14ac:dyDescent="0.55000000000000004">
      <c r="B399" s="75" t="s">
        <v>278</v>
      </c>
    </row>
    <row r="400" spans="2:40" hidden="1" outlineLevel="1" x14ac:dyDescent="0.55000000000000004">
      <c r="B400" s="93" t="s">
        <v>264</v>
      </c>
      <c r="C400" s="92">
        <v>4.0036710929348374</v>
      </c>
      <c r="D400" s="92">
        <v>5.3079184633032881</v>
      </c>
      <c r="E400" s="92">
        <v>6.9005205374083687</v>
      </c>
      <c r="F400" s="92">
        <v>8.5603087978645238</v>
      </c>
      <c r="G400" s="92">
        <v>8.2825455158143928</v>
      </c>
      <c r="H400" s="92">
        <v>9.860446899042417</v>
      </c>
      <c r="I400" s="92">
        <v>11.667984245582572</v>
      </c>
      <c r="J400" s="92">
        <v>13.588842840682172</v>
      </c>
      <c r="K400" s="92">
        <f>K353-K383</f>
        <v>10.414806490152461</v>
      </c>
      <c r="L400" s="92">
        <f t="shared" ref="L400:Q400" si="220">L353-L383</f>
        <v>11.085807301044841</v>
      </c>
      <c r="M400" s="92">
        <f t="shared" si="220"/>
        <v>12.170833541212001</v>
      </c>
      <c r="N400" s="92">
        <f t="shared" si="220"/>
        <v>15.154294431738379</v>
      </c>
      <c r="O400" s="92">
        <f t="shared" si="220"/>
        <v>13.373633522532071</v>
      </c>
      <c r="P400" s="92">
        <f t="shared" si="220"/>
        <v>13.447786691094819</v>
      </c>
      <c r="Q400" s="92">
        <f t="shared" si="220"/>
        <v>22.202862370936177</v>
      </c>
      <c r="R400" s="92">
        <f>R353-R383</f>
        <v>27.615681552280005</v>
      </c>
      <c r="S400" s="92">
        <f>S353-S383</f>
        <v>21.500000000000004</v>
      </c>
      <c r="T400" s="92"/>
      <c r="U400" s="92"/>
      <c r="V400" s="92"/>
      <c r="W400" s="67"/>
      <c r="X400" s="67"/>
      <c r="Y400" s="67"/>
      <c r="Z400" s="67"/>
      <c r="AA400" s="67"/>
      <c r="AB400" s="67"/>
      <c r="AC400" s="67"/>
      <c r="AD400" s="67"/>
      <c r="AF400" s="67"/>
      <c r="AG400" s="67"/>
      <c r="AH400" s="67"/>
      <c r="AI400" s="67"/>
      <c r="AJ400" s="67"/>
      <c r="AK400" s="67"/>
      <c r="AL400" s="67"/>
      <c r="AM400" s="67"/>
      <c r="AN400" s="67"/>
    </row>
    <row r="401" spans="2:40" hidden="1" outlineLevel="1" x14ac:dyDescent="0.55000000000000004">
      <c r="B401" t="s">
        <v>227</v>
      </c>
      <c r="C401" s="2">
        <f t="shared" ref="C401:J401" si="221">C400/C353</f>
        <v>0.68309909057860185</v>
      </c>
      <c r="D401" s="2">
        <f t="shared" si="221"/>
        <v>0.66486118847441134</v>
      </c>
      <c r="E401" s="2">
        <f t="shared" si="221"/>
        <v>0.65641415350767229</v>
      </c>
      <c r="F401" s="2">
        <f t="shared" si="221"/>
        <v>0.63376002332426185</v>
      </c>
      <c r="G401" s="2">
        <f t="shared" si="221"/>
        <v>0.58160333888153615</v>
      </c>
      <c r="H401" s="2">
        <f t="shared" si="221"/>
        <v>0.5892470451400843</v>
      </c>
      <c r="I401" s="2">
        <f t="shared" si="221"/>
        <v>0.57913720120662171</v>
      </c>
      <c r="J401" s="2">
        <f t="shared" si="221"/>
        <v>0.55363959549147335</v>
      </c>
      <c r="K401" s="2">
        <f>K400/K353</f>
        <v>0.42661028792930344</v>
      </c>
      <c r="L401" s="2">
        <f t="shared" ref="L401:R401" si="222">L400/L353</f>
        <v>0.41438512996245608</v>
      </c>
      <c r="M401" s="2">
        <f t="shared" si="222"/>
        <v>0.41420291624547295</v>
      </c>
      <c r="N401" s="2">
        <f t="shared" si="222"/>
        <v>0.44218398978405565</v>
      </c>
      <c r="O401" s="2">
        <f t="shared" si="222"/>
        <v>0.42245641569912501</v>
      </c>
      <c r="P401" s="2">
        <f t="shared" si="222"/>
        <v>0.45135387762035473</v>
      </c>
      <c r="Q401" s="2">
        <f t="shared" si="222"/>
        <v>0.4949227973991332</v>
      </c>
      <c r="R401" s="2">
        <f t="shared" si="222"/>
        <v>0.5</v>
      </c>
      <c r="S401" s="2">
        <f>S400/S353</f>
        <v>0.43000000000000005</v>
      </c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2:40" hidden="1" outlineLevel="1" x14ac:dyDescent="0.55000000000000004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2:40" collapsed="1" x14ac:dyDescent="0.55000000000000004"/>
  </sheetData>
  <phoneticPr fontId="51" type="noConversion"/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E59F-01D5-41C9-A2F0-39FA5830B03A}">
  <dimension ref="B2:O203"/>
  <sheetViews>
    <sheetView topLeftCell="A63" zoomScale="66" zoomScaleNormal="80" workbookViewId="0">
      <selection activeCell="I92" sqref="I92"/>
    </sheetView>
  </sheetViews>
  <sheetFormatPr defaultRowHeight="14.4" outlineLevelRow="1" x14ac:dyDescent="0.55000000000000004"/>
  <cols>
    <col min="2" max="2" width="41" customWidth="1"/>
    <col min="5" max="7" width="9" customWidth="1"/>
    <col min="22" max="22" width="12.41796875" bestFit="1" customWidth="1"/>
  </cols>
  <sheetData>
    <row r="2" spans="2:15" outlineLevel="1" x14ac:dyDescent="0.55000000000000004">
      <c r="B2" s="20" t="s">
        <v>200</v>
      </c>
      <c r="C2" s="20">
        <v>2018</v>
      </c>
      <c r="D2" s="20">
        <v>2019</v>
      </c>
      <c r="E2" s="20">
        <f>D2+1</f>
        <v>2020</v>
      </c>
      <c r="F2" s="20">
        <f t="shared" ref="F2:O2" si="0">E2+1</f>
        <v>2021</v>
      </c>
      <c r="G2" s="20">
        <f>F2+1</f>
        <v>2022</v>
      </c>
      <c r="H2" s="20">
        <f t="shared" si="0"/>
        <v>2023</v>
      </c>
      <c r="I2" s="20">
        <f t="shared" si="0"/>
        <v>2024</v>
      </c>
      <c r="J2" s="20">
        <f t="shared" si="0"/>
        <v>2025</v>
      </c>
      <c r="K2" s="20">
        <f t="shared" si="0"/>
        <v>2026</v>
      </c>
      <c r="L2" s="20">
        <f t="shared" si="0"/>
        <v>2027</v>
      </c>
      <c r="M2" s="20">
        <f t="shared" si="0"/>
        <v>2028</v>
      </c>
      <c r="N2" s="20">
        <f t="shared" si="0"/>
        <v>2029</v>
      </c>
      <c r="O2" s="20">
        <f t="shared" si="0"/>
        <v>2030</v>
      </c>
    </row>
    <row r="3" spans="2:15" outlineLevel="1" x14ac:dyDescent="0.55000000000000004">
      <c r="B3" s="9" t="s">
        <v>184</v>
      </c>
    </row>
    <row r="4" spans="2:15" outlineLevel="1" x14ac:dyDescent="0.55000000000000004">
      <c r="B4" t="s">
        <v>182</v>
      </c>
      <c r="D4" s="13">
        <f>D13-D9-D7</f>
        <v>0.3100000000000005</v>
      </c>
      <c r="E4" s="13">
        <f>E13-E9-E7</f>
        <v>0.52500000000000036</v>
      </c>
      <c r="F4" s="13">
        <f t="shared" ref="F4:O4" si="1">F13-F9-F7</f>
        <v>0.67500000000000071</v>
      </c>
      <c r="G4" s="13">
        <f t="shared" si="1"/>
        <v>0.72500000000000142</v>
      </c>
      <c r="H4" s="13">
        <f t="shared" si="1"/>
        <v>0.87000000000000099</v>
      </c>
      <c r="I4" s="13">
        <f t="shared" si="1"/>
        <v>0.87000000000000099</v>
      </c>
      <c r="J4" s="13">
        <f t="shared" si="1"/>
        <v>0.87000000000000099</v>
      </c>
      <c r="K4" s="13">
        <f t="shared" si="1"/>
        <v>0.87000000000000099</v>
      </c>
      <c r="L4" s="13">
        <f t="shared" si="1"/>
        <v>0.87000000000000099</v>
      </c>
      <c r="M4" s="13">
        <f t="shared" si="1"/>
        <v>0.87000000000000099</v>
      </c>
      <c r="N4" s="13">
        <f t="shared" si="1"/>
        <v>0.87000000000000099</v>
      </c>
      <c r="O4" s="13">
        <f t="shared" si="1"/>
        <v>0.87000000000000099</v>
      </c>
    </row>
    <row r="5" spans="2:15" outlineLevel="1" x14ac:dyDescent="0.55000000000000004">
      <c r="B5" t="s">
        <v>607</v>
      </c>
      <c r="D5" s="12">
        <f>D4/D25</f>
        <v>2.5409836065573813E-3</v>
      </c>
      <c r="E5" s="12">
        <f t="shared" ref="E5:O5" si="2">E4/E25</f>
        <v>3.9772727272727303E-3</v>
      </c>
      <c r="F5" s="12">
        <f t="shared" si="2"/>
        <v>4.7535211267605683E-3</v>
      </c>
      <c r="G5" s="12">
        <f t="shared" si="2"/>
        <v>4.7697368421052728E-3</v>
      </c>
      <c r="H5" s="12">
        <f t="shared" si="2"/>
        <v>5.5414012738853567E-3</v>
      </c>
      <c r="I5" s="12">
        <f t="shared" si="2"/>
        <v>5.3703703703703769E-3</v>
      </c>
      <c r="J5" s="12">
        <f t="shared" si="2"/>
        <v>5.2095808383233596E-3</v>
      </c>
      <c r="K5" s="12">
        <f t="shared" si="2"/>
        <v>5.0581395348837264E-3</v>
      </c>
      <c r="L5" s="12">
        <f t="shared" si="2"/>
        <v>4.9152542372881414E-3</v>
      </c>
      <c r="M5" s="12">
        <f t="shared" si="2"/>
        <v>4.780219780219786E-3</v>
      </c>
      <c r="N5" s="12">
        <f t="shared" si="2"/>
        <v>4.6524064171123052E-3</v>
      </c>
      <c r="O5" s="12">
        <f t="shared" si="2"/>
        <v>4.5312500000000049E-3</v>
      </c>
    </row>
    <row r="6" spans="2:15" outlineLevel="1" x14ac:dyDescent="0.55000000000000004"/>
    <row r="7" spans="2:15" outlineLevel="1" x14ac:dyDescent="0.55000000000000004">
      <c r="B7" t="s">
        <v>34</v>
      </c>
      <c r="D7" s="32">
        <v>0</v>
      </c>
      <c r="E7" s="32">
        <v>0</v>
      </c>
      <c r="F7" s="36">
        <f>E7</f>
        <v>0</v>
      </c>
      <c r="G7" s="36">
        <f t="shared" ref="G7:O7" si="3">F7</f>
        <v>0</v>
      </c>
      <c r="H7" s="36">
        <f t="shared" si="3"/>
        <v>0</v>
      </c>
      <c r="I7" s="36">
        <f t="shared" si="3"/>
        <v>0</v>
      </c>
      <c r="J7" s="36">
        <f t="shared" si="3"/>
        <v>0</v>
      </c>
      <c r="K7" s="36">
        <f t="shared" si="3"/>
        <v>0</v>
      </c>
      <c r="L7" s="36">
        <f t="shared" si="3"/>
        <v>0</v>
      </c>
      <c r="M7" s="36">
        <f t="shared" si="3"/>
        <v>0</v>
      </c>
      <c r="N7" s="36">
        <f t="shared" si="3"/>
        <v>0</v>
      </c>
      <c r="O7" s="36">
        <f t="shared" si="3"/>
        <v>0</v>
      </c>
    </row>
    <row r="8" spans="2:15" outlineLevel="1" x14ac:dyDescent="0.55000000000000004"/>
    <row r="9" spans="2:15" outlineLevel="1" x14ac:dyDescent="0.55000000000000004">
      <c r="B9" t="s">
        <v>183</v>
      </c>
      <c r="D9" s="13">
        <f>D10*D13</f>
        <v>5.89</v>
      </c>
      <c r="E9" s="13">
        <f>E10*E13</f>
        <v>9.9749999999999996</v>
      </c>
      <c r="F9" s="13">
        <f>F10*F13</f>
        <v>12.824999999999999</v>
      </c>
      <c r="G9" s="13">
        <f t="shared" ref="G9:O9" si="4">G10*G13</f>
        <v>13.774999999999999</v>
      </c>
      <c r="H9" s="13">
        <f t="shared" si="4"/>
        <v>13.629999999999999</v>
      </c>
      <c r="I9" s="13">
        <f t="shared" si="4"/>
        <v>13.629999999999999</v>
      </c>
      <c r="J9" s="13">
        <f t="shared" si="4"/>
        <v>13.629999999999999</v>
      </c>
      <c r="K9" s="13">
        <f t="shared" si="4"/>
        <v>13.629999999999999</v>
      </c>
      <c r="L9" s="13">
        <f t="shared" si="4"/>
        <v>13.629999999999999</v>
      </c>
      <c r="M9" s="13">
        <f t="shared" si="4"/>
        <v>13.629999999999999</v>
      </c>
      <c r="N9" s="13">
        <f t="shared" si="4"/>
        <v>13.629999999999999</v>
      </c>
      <c r="O9" s="13">
        <f t="shared" si="4"/>
        <v>13.629999999999999</v>
      </c>
    </row>
    <row r="10" spans="2:15" outlineLevel="1" x14ac:dyDescent="0.55000000000000004">
      <c r="B10" t="s">
        <v>193</v>
      </c>
      <c r="D10" s="3">
        <v>0.95</v>
      </c>
      <c r="E10" s="3">
        <v>0.95</v>
      </c>
      <c r="F10" s="35">
        <v>0.95</v>
      </c>
      <c r="G10" s="35">
        <v>0.95</v>
      </c>
      <c r="H10" s="35">
        <f>G10-1%</f>
        <v>0.94</v>
      </c>
      <c r="I10" s="35">
        <f>H10</f>
        <v>0.94</v>
      </c>
      <c r="J10" s="35">
        <f t="shared" ref="J10:O10" si="5">I10</f>
        <v>0.94</v>
      </c>
      <c r="K10" s="35">
        <f t="shared" si="5"/>
        <v>0.94</v>
      </c>
      <c r="L10" s="35">
        <f t="shared" si="5"/>
        <v>0.94</v>
      </c>
      <c r="M10" s="35">
        <f t="shared" si="5"/>
        <v>0.94</v>
      </c>
      <c r="N10" s="35">
        <f t="shared" si="5"/>
        <v>0.94</v>
      </c>
      <c r="O10" s="35">
        <f t="shared" si="5"/>
        <v>0.94</v>
      </c>
    </row>
    <row r="11" spans="2:15" outlineLevel="1" x14ac:dyDescent="0.55000000000000004">
      <c r="B11" t="s">
        <v>194</v>
      </c>
      <c r="D11" s="2">
        <f t="shared" ref="D11:O11" si="6">D9/D29</f>
        <v>1.1779999999999999</v>
      </c>
      <c r="E11" s="2">
        <f t="shared" si="6"/>
        <v>0.83124999999999993</v>
      </c>
      <c r="F11" s="2">
        <f t="shared" si="6"/>
        <v>0.58295454545454539</v>
      </c>
      <c r="G11" s="2">
        <f t="shared" si="6"/>
        <v>0.43046874999999996</v>
      </c>
      <c r="H11" s="2">
        <f t="shared" si="6"/>
        <v>0.36837837837837833</v>
      </c>
      <c r="I11" s="2">
        <f t="shared" si="6"/>
        <v>0.32452380952380949</v>
      </c>
      <c r="J11" s="2">
        <f t="shared" si="6"/>
        <v>0.28999999999999998</v>
      </c>
      <c r="K11" s="2">
        <f t="shared" si="6"/>
        <v>0.26211538461538458</v>
      </c>
      <c r="L11" s="2">
        <f t="shared" si="6"/>
        <v>0.23912280701754385</v>
      </c>
      <c r="M11" s="2">
        <f t="shared" si="6"/>
        <v>0.21983870967741934</v>
      </c>
      <c r="N11" s="2">
        <f t="shared" si="6"/>
        <v>0.2034328358208955</v>
      </c>
      <c r="O11" s="2">
        <f t="shared" si="6"/>
        <v>0.18930555555555553</v>
      </c>
    </row>
    <row r="12" spans="2:15" outlineLevel="1" x14ac:dyDescent="0.55000000000000004"/>
    <row r="13" spans="2:15" outlineLevel="1" x14ac:dyDescent="0.55000000000000004">
      <c r="B13" t="s">
        <v>181</v>
      </c>
      <c r="D13" s="31">
        <v>6.2</v>
      </c>
      <c r="E13" s="31">
        <v>10.5</v>
      </c>
      <c r="F13" s="13">
        <f>E13+F14</f>
        <v>13.5</v>
      </c>
      <c r="G13" s="13">
        <f t="shared" ref="G13:O13" si="7">F13+G14</f>
        <v>14.5</v>
      </c>
      <c r="H13" s="13">
        <f t="shared" si="7"/>
        <v>14.5</v>
      </c>
      <c r="I13" s="13">
        <f t="shared" si="7"/>
        <v>14.5</v>
      </c>
      <c r="J13" s="13">
        <f t="shared" si="7"/>
        <v>14.5</v>
      </c>
      <c r="K13" s="13">
        <f t="shared" si="7"/>
        <v>14.5</v>
      </c>
      <c r="L13" s="13">
        <f t="shared" si="7"/>
        <v>14.5</v>
      </c>
      <c r="M13" s="13">
        <f t="shared" si="7"/>
        <v>14.5</v>
      </c>
      <c r="N13" s="13">
        <f t="shared" si="7"/>
        <v>14.5</v>
      </c>
      <c r="O13" s="13">
        <f t="shared" si="7"/>
        <v>14.5</v>
      </c>
    </row>
    <row r="14" spans="2:15" outlineLevel="1" x14ac:dyDescent="0.55000000000000004">
      <c r="B14" t="s">
        <v>185</v>
      </c>
      <c r="D14">
        <f>D13-C13</f>
        <v>6.2</v>
      </c>
      <c r="E14">
        <f>E13-D13</f>
        <v>4.3</v>
      </c>
      <c r="F14" s="36">
        <v>3</v>
      </c>
      <c r="G14" s="36">
        <v>1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</row>
    <row r="15" spans="2:15" outlineLevel="1" x14ac:dyDescent="0.55000000000000004"/>
    <row r="16" spans="2:15" outlineLevel="1" x14ac:dyDescent="0.55000000000000004">
      <c r="B16" s="9" t="s">
        <v>280</v>
      </c>
    </row>
    <row r="17" spans="2:15" outlineLevel="1" x14ac:dyDescent="0.55000000000000004">
      <c r="B17" t="s">
        <v>281</v>
      </c>
      <c r="D17" s="2">
        <f>E17</f>
        <v>0.25</v>
      </c>
      <c r="E17" s="2">
        <v>0.25</v>
      </c>
      <c r="F17" s="35">
        <f>E17+1%</f>
        <v>0.26</v>
      </c>
      <c r="G17" s="35">
        <f t="shared" ref="G17:O17" si="8">F17+1%</f>
        <v>0.27</v>
      </c>
      <c r="H17" s="35">
        <f t="shared" si="8"/>
        <v>0.28000000000000003</v>
      </c>
      <c r="I17" s="35">
        <f t="shared" si="8"/>
        <v>0.29000000000000004</v>
      </c>
      <c r="J17" s="35">
        <f t="shared" si="8"/>
        <v>0.30000000000000004</v>
      </c>
      <c r="K17" s="35">
        <f t="shared" si="8"/>
        <v>0.31000000000000005</v>
      </c>
      <c r="L17" s="35">
        <f t="shared" si="8"/>
        <v>0.32000000000000006</v>
      </c>
      <c r="M17" s="35">
        <f t="shared" si="8"/>
        <v>0.33000000000000007</v>
      </c>
      <c r="N17" s="35">
        <f t="shared" si="8"/>
        <v>0.34000000000000008</v>
      </c>
      <c r="O17" s="35">
        <f t="shared" si="8"/>
        <v>0.35000000000000009</v>
      </c>
    </row>
    <row r="18" spans="2:15" outlineLevel="1" x14ac:dyDescent="0.55000000000000004">
      <c r="E18" s="2"/>
      <c r="F18" s="35"/>
      <c r="G18" s="35"/>
      <c r="H18" s="35"/>
      <c r="I18" s="35"/>
      <c r="J18" s="35"/>
      <c r="K18" s="35"/>
      <c r="L18" s="35"/>
      <c r="M18" s="35"/>
      <c r="N18" s="35"/>
      <c r="O18" s="35"/>
    </row>
    <row r="19" spans="2:15" outlineLevel="1" x14ac:dyDescent="0.55000000000000004">
      <c r="B19" t="s">
        <v>282</v>
      </c>
      <c r="D19" s="14">
        <f>D$17*D4</f>
        <v>7.7500000000000124E-2</v>
      </c>
      <c r="E19" s="14">
        <f>E$17*E4</f>
        <v>0.13125000000000009</v>
      </c>
      <c r="F19" s="14">
        <f t="shared" ref="F19:O19" si="9">F$17*F4</f>
        <v>0.17550000000000018</v>
      </c>
      <c r="G19" s="14">
        <f t="shared" si="9"/>
        <v>0.1957500000000004</v>
      </c>
      <c r="H19" s="14">
        <f t="shared" si="9"/>
        <v>0.24360000000000029</v>
      </c>
      <c r="I19" s="14">
        <f t="shared" si="9"/>
        <v>0.2523000000000003</v>
      </c>
      <c r="J19" s="14">
        <f t="shared" si="9"/>
        <v>0.26100000000000034</v>
      </c>
      <c r="K19" s="14">
        <f t="shared" si="9"/>
        <v>0.26970000000000033</v>
      </c>
      <c r="L19" s="14">
        <f t="shared" si="9"/>
        <v>0.27840000000000037</v>
      </c>
      <c r="M19" s="14">
        <f t="shared" si="9"/>
        <v>0.28710000000000041</v>
      </c>
      <c r="N19" s="14">
        <f t="shared" si="9"/>
        <v>0.2958000000000004</v>
      </c>
      <c r="O19" s="14">
        <f t="shared" si="9"/>
        <v>0.30450000000000044</v>
      </c>
    </row>
    <row r="20" spans="2:15" outlineLevel="1" x14ac:dyDescent="0.55000000000000004">
      <c r="B20" t="s">
        <v>283</v>
      </c>
      <c r="D20" s="14">
        <f>D$17*D7</f>
        <v>0</v>
      </c>
      <c r="E20" s="14">
        <f>E$17*E7</f>
        <v>0</v>
      </c>
      <c r="F20" s="14">
        <f t="shared" ref="F20:O20" si="10">F$17*F7</f>
        <v>0</v>
      </c>
      <c r="G20" s="14">
        <f t="shared" si="10"/>
        <v>0</v>
      </c>
      <c r="H20" s="14">
        <f t="shared" si="10"/>
        <v>0</v>
      </c>
      <c r="I20" s="14">
        <f t="shared" si="10"/>
        <v>0</v>
      </c>
      <c r="J20" s="14">
        <f t="shared" si="10"/>
        <v>0</v>
      </c>
      <c r="K20" s="14">
        <f t="shared" si="10"/>
        <v>0</v>
      </c>
      <c r="L20" s="14">
        <f t="shared" si="10"/>
        <v>0</v>
      </c>
      <c r="M20" s="14">
        <f t="shared" si="10"/>
        <v>0</v>
      </c>
      <c r="N20" s="14">
        <f t="shared" si="10"/>
        <v>0</v>
      </c>
      <c r="O20" s="14">
        <f t="shared" si="10"/>
        <v>0</v>
      </c>
    </row>
    <row r="21" spans="2:15" outlineLevel="1" x14ac:dyDescent="0.55000000000000004">
      <c r="B21" s="1" t="s">
        <v>284</v>
      </c>
      <c r="C21" s="1"/>
      <c r="D21" s="52">
        <f>D$17*D9</f>
        <v>1.4724999999999999</v>
      </c>
      <c r="E21" s="52">
        <f>E$17*E9</f>
        <v>2.4937499999999999</v>
      </c>
      <c r="F21" s="52">
        <f>F$17*F9</f>
        <v>3.3344999999999998</v>
      </c>
      <c r="G21" s="52">
        <f t="shared" ref="G21:O21" si="11">G$17*G9</f>
        <v>3.7192499999999997</v>
      </c>
      <c r="H21" s="52">
        <f t="shared" si="11"/>
        <v>3.8164000000000002</v>
      </c>
      <c r="I21" s="52">
        <f t="shared" si="11"/>
        <v>3.9527000000000001</v>
      </c>
      <c r="J21" s="52">
        <f t="shared" si="11"/>
        <v>4.0890000000000004</v>
      </c>
      <c r="K21" s="52">
        <f t="shared" si="11"/>
        <v>4.2253000000000007</v>
      </c>
      <c r="L21" s="52">
        <f t="shared" si="11"/>
        <v>4.3616000000000001</v>
      </c>
      <c r="M21" s="52">
        <f t="shared" si="11"/>
        <v>4.4979000000000005</v>
      </c>
      <c r="N21" s="52">
        <f t="shared" si="11"/>
        <v>4.6342000000000008</v>
      </c>
      <c r="O21" s="52">
        <f t="shared" si="11"/>
        <v>4.7705000000000011</v>
      </c>
    </row>
    <row r="22" spans="2:15" outlineLevel="1" x14ac:dyDescent="0.55000000000000004">
      <c r="B22" t="s">
        <v>287</v>
      </c>
      <c r="D22" s="14">
        <f>SUM(D19:D21)</f>
        <v>1.55</v>
      </c>
      <c r="E22" s="14">
        <f t="shared" ref="E22:O22" si="12">SUM(E19:E21)</f>
        <v>2.625</v>
      </c>
      <c r="F22" s="14">
        <f t="shared" si="12"/>
        <v>3.51</v>
      </c>
      <c r="G22" s="14">
        <f t="shared" si="12"/>
        <v>3.915</v>
      </c>
      <c r="H22" s="14">
        <f t="shared" si="12"/>
        <v>4.0600000000000005</v>
      </c>
      <c r="I22" s="14">
        <f t="shared" si="12"/>
        <v>4.2050000000000001</v>
      </c>
      <c r="J22" s="14">
        <f t="shared" si="12"/>
        <v>4.3500000000000005</v>
      </c>
      <c r="K22" s="14">
        <f t="shared" si="12"/>
        <v>4.495000000000001</v>
      </c>
      <c r="L22" s="14">
        <f t="shared" si="12"/>
        <v>4.6400000000000006</v>
      </c>
      <c r="M22" s="14">
        <f t="shared" si="12"/>
        <v>4.785000000000001</v>
      </c>
      <c r="N22" s="14">
        <f t="shared" si="12"/>
        <v>4.9300000000000015</v>
      </c>
      <c r="O22" s="14">
        <f t="shared" si="12"/>
        <v>5.0750000000000011</v>
      </c>
    </row>
    <row r="23" spans="2:15" outlineLevel="1" x14ac:dyDescent="0.55000000000000004"/>
    <row r="24" spans="2:15" outlineLevel="1" x14ac:dyDescent="0.55000000000000004">
      <c r="B24" s="9" t="s">
        <v>186</v>
      </c>
    </row>
    <row r="25" spans="2:15" outlineLevel="1" x14ac:dyDescent="0.55000000000000004">
      <c r="B25" t="s">
        <v>187</v>
      </c>
      <c r="C25" s="31">
        <v>103</v>
      </c>
      <c r="D25" s="31">
        <v>122</v>
      </c>
      <c r="E25">
        <f>D25+E26</f>
        <v>132</v>
      </c>
      <c r="F25">
        <f t="shared" ref="F25:O25" si="13">E25+F26</f>
        <v>142</v>
      </c>
      <c r="G25">
        <f t="shared" si="13"/>
        <v>152</v>
      </c>
      <c r="H25">
        <f t="shared" si="13"/>
        <v>157</v>
      </c>
      <c r="I25">
        <f t="shared" si="13"/>
        <v>162</v>
      </c>
      <c r="J25">
        <f t="shared" si="13"/>
        <v>167</v>
      </c>
      <c r="K25">
        <f t="shared" si="13"/>
        <v>172</v>
      </c>
      <c r="L25">
        <f t="shared" si="13"/>
        <v>177</v>
      </c>
      <c r="M25">
        <f t="shared" si="13"/>
        <v>182</v>
      </c>
      <c r="N25">
        <f t="shared" si="13"/>
        <v>187</v>
      </c>
      <c r="O25">
        <f t="shared" si="13"/>
        <v>192</v>
      </c>
    </row>
    <row r="26" spans="2:15" outlineLevel="1" x14ac:dyDescent="0.55000000000000004">
      <c r="B26" t="s">
        <v>189</v>
      </c>
      <c r="D26">
        <f>D25-C25</f>
        <v>19</v>
      </c>
      <c r="E26" s="33">
        <v>10</v>
      </c>
      <c r="F26" s="33">
        <v>10</v>
      </c>
      <c r="G26" s="33">
        <v>10</v>
      </c>
      <c r="H26" s="33">
        <v>5</v>
      </c>
      <c r="I26" s="33">
        <v>5</v>
      </c>
      <c r="J26" s="33">
        <v>5</v>
      </c>
      <c r="K26" s="33">
        <v>5</v>
      </c>
      <c r="L26" s="33">
        <v>5</v>
      </c>
      <c r="M26" s="33">
        <v>5</v>
      </c>
      <c r="N26" s="33">
        <v>5</v>
      </c>
      <c r="O26" s="33">
        <v>5</v>
      </c>
    </row>
    <row r="27" spans="2:15" outlineLevel="1" x14ac:dyDescent="0.55000000000000004">
      <c r="B27" t="s">
        <v>188</v>
      </c>
      <c r="C27" s="31">
        <v>116</v>
      </c>
      <c r="D27" s="31">
        <v>132</v>
      </c>
      <c r="E27">
        <f t="shared" ref="E27:O27" si="14">D27+E28</f>
        <v>137</v>
      </c>
      <c r="F27">
        <f t="shared" si="14"/>
        <v>137</v>
      </c>
      <c r="G27">
        <f t="shared" si="14"/>
        <v>132</v>
      </c>
      <c r="H27">
        <f t="shared" si="14"/>
        <v>127</v>
      </c>
      <c r="I27">
        <f t="shared" si="14"/>
        <v>122</v>
      </c>
      <c r="J27">
        <f t="shared" si="14"/>
        <v>117</v>
      </c>
      <c r="K27">
        <f t="shared" si="14"/>
        <v>112</v>
      </c>
      <c r="L27">
        <f t="shared" si="14"/>
        <v>107</v>
      </c>
      <c r="M27">
        <f t="shared" si="14"/>
        <v>102</v>
      </c>
      <c r="N27">
        <f t="shared" si="14"/>
        <v>97</v>
      </c>
      <c r="O27">
        <f t="shared" si="14"/>
        <v>92</v>
      </c>
    </row>
    <row r="28" spans="2:15" outlineLevel="1" x14ac:dyDescent="0.55000000000000004">
      <c r="B28" t="s">
        <v>189</v>
      </c>
      <c r="D28">
        <f>D27-C27</f>
        <v>16</v>
      </c>
      <c r="E28" s="33">
        <v>5</v>
      </c>
      <c r="F28" s="33">
        <v>0</v>
      </c>
      <c r="G28" s="33">
        <v>-5</v>
      </c>
      <c r="H28" s="33">
        <v>-5</v>
      </c>
      <c r="I28" s="33">
        <v>-5</v>
      </c>
      <c r="J28" s="33">
        <v>-5</v>
      </c>
      <c r="K28" s="33">
        <v>-5</v>
      </c>
      <c r="L28" s="33">
        <v>-5</v>
      </c>
      <c r="M28" s="33">
        <v>-5</v>
      </c>
      <c r="N28" s="33">
        <v>-5</v>
      </c>
      <c r="O28" s="33">
        <v>-5</v>
      </c>
    </row>
    <row r="29" spans="2:15" outlineLevel="1" x14ac:dyDescent="0.55000000000000004">
      <c r="B29" t="s">
        <v>190</v>
      </c>
      <c r="D29" s="31">
        <v>5</v>
      </c>
      <c r="E29" s="31">
        <v>12</v>
      </c>
      <c r="F29">
        <f t="shared" ref="F29:O29" si="15">E29+F30</f>
        <v>22</v>
      </c>
      <c r="G29">
        <f t="shared" si="15"/>
        <v>32</v>
      </c>
      <c r="H29">
        <f t="shared" si="15"/>
        <v>37</v>
      </c>
      <c r="I29">
        <f t="shared" si="15"/>
        <v>42</v>
      </c>
      <c r="J29">
        <f t="shared" si="15"/>
        <v>47</v>
      </c>
      <c r="K29">
        <f t="shared" si="15"/>
        <v>52</v>
      </c>
      <c r="L29">
        <f t="shared" si="15"/>
        <v>57</v>
      </c>
      <c r="M29">
        <f t="shared" si="15"/>
        <v>62</v>
      </c>
      <c r="N29">
        <f t="shared" si="15"/>
        <v>67</v>
      </c>
      <c r="O29">
        <f t="shared" si="15"/>
        <v>72</v>
      </c>
    </row>
    <row r="30" spans="2:15" outlineLevel="1" x14ac:dyDescent="0.55000000000000004">
      <c r="B30" s="1" t="s">
        <v>26</v>
      </c>
      <c r="C30" s="1"/>
      <c r="D30" s="34"/>
      <c r="E30" s="1">
        <f>E29-D29</f>
        <v>7</v>
      </c>
      <c r="F30" s="34">
        <v>10</v>
      </c>
      <c r="G30" s="34">
        <v>10</v>
      </c>
      <c r="H30" s="34">
        <v>5</v>
      </c>
      <c r="I30" s="34">
        <v>5</v>
      </c>
      <c r="J30" s="34">
        <v>5</v>
      </c>
      <c r="K30" s="34">
        <v>5</v>
      </c>
      <c r="L30" s="34">
        <v>5</v>
      </c>
      <c r="M30" s="34">
        <v>5</v>
      </c>
      <c r="N30" s="34">
        <v>5</v>
      </c>
      <c r="O30" s="34">
        <v>5</v>
      </c>
    </row>
    <row r="31" spans="2:15" outlineLevel="1" x14ac:dyDescent="0.55000000000000004">
      <c r="B31" t="s">
        <v>191</v>
      </c>
      <c r="C31">
        <f>C25+C27+C29</f>
        <v>219</v>
      </c>
      <c r="D31">
        <f t="shared" ref="D31:O31" si="16">D25+D27+D29</f>
        <v>259</v>
      </c>
      <c r="E31">
        <f t="shared" si="16"/>
        <v>281</v>
      </c>
      <c r="F31">
        <f t="shared" si="16"/>
        <v>301</v>
      </c>
      <c r="G31">
        <f t="shared" si="16"/>
        <v>316</v>
      </c>
      <c r="H31">
        <f t="shared" si="16"/>
        <v>321</v>
      </c>
      <c r="I31">
        <f t="shared" si="16"/>
        <v>326</v>
      </c>
      <c r="J31">
        <f t="shared" si="16"/>
        <v>331</v>
      </c>
      <c r="K31">
        <f t="shared" si="16"/>
        <v>336</v>
      </c>
      <c r="L31">
        <f t="shared" si="16"/>
        <v>341</v>
      </c>
      <c r="M31">
        <f t="shared" si="16"/>
        <v>346</v>
      </c>
      <c r="N31">
        <f t="shared" si="16"/>
        <v>351</v>
      </c>
      <c r="O31">
        <f t="shared" si="16"/>
        <v>356</v>
      </c>
    </row>
    <row r="32" spans="2:15" outlineLevel="1" x14ac:dyDescent="0.55000000000000004">
      <c r="B32" t="s">
        <v>192</v>
      </c>
      <c r="E32" s="12">
        <f>E29/E31</f>
        <v>4.2704626334519574E-2</v>
      </c>
      <c r="F32" s="12">
        <f t="shared" ref="F32:O32" si="17">F29/F31</f>
        <v>7.3089700996677748E-2</v>
      </c>
      <c r="G32" s="12">
        <f t="shared" si="17"/>
        <v>0.10126582278481013</v>
      </c>
      <c r="H32" s="12">
        <f t="shared" si="17"/>
        <v>0.11526479750778816</v>
      </c>
      <c r="I32" s="12">
        <f t="shared" si="17"/>
        <v>0.12883435582822086</v>
      </c>
      <c r="J32" s="12">
        <f t="shared" si="17"/>
        <v>0.1419939577039275</v>
      </c>
      <c r="K32" s="12">
        <f t="shared" si="17"/>
        <v>0.15476190476190477</v>
      </c>
      <c r="L32" s="12">
        <f t="shared" si="17"/>
        <v>0.16715542521994134</v>
      </c>
      <c r="M32" s="12">
        <f t="shared" si="17"/>
        <v>0.1791907514450867</v>
      </c>
      <c r="N32" s="12">
        <f t="shared" si="17"/>
        <v>0.19088319088319089</v>
      </c>
      <c r="O32" s="12">
        <f t="shared" si="17"/>
        <v>0.20224719101123595</v>
      </c>
    </row>
    <row r="33" spans="2:15" outlineLevel="1" x14ac:dyDescent="0.55000000000000004"/>
    <row r="34" spans="2:15" outlineLevel="1" x14ac:dyDescent="0.55000000000000004">
      <c r="B34" t="s">
        <v>602</v>
      </c>
      <c r="D34" s="28">
        <f>Analysis!D88</f>
        <v>1.5</v>
      </c>
      <c r="E34" s="14">
        <f>(1-E35)*D34</f>
        <v>1.47</v>
      </c>
      <c r="F34" s="14">
        <f t="shared" ref="F34:O34" si="18">(1-F35)*E34</f>
        <v>1.4405999999999999</v>
      </c>
      <c r="G34" s="14">
        <f t="shared" si="18"/>
        <v>1.4117879999999998</v>
      </c>
      <c r="H34" s="14">
        <f t="shared" si="18"/>
        <v>1.3835522399999998</v>
      </c>
      <c r="I34" s="14">
        <f t="shared" si="18"/>
        <v>1.3558811951999998</v>
      </c>
      <c r="J34" s="14">
        <f t="shared" si="18"/>
        <v>1.3287635712959998</v>
      </c>
      <c r="K34" s="14">
        <f t="shared" si="18"/>
        <v>1.3021882998700798</v>
      </c>
      <c r="L34" s="14">
        <f t="shared" si="18"/>
        <v>1.2761445338726782</v>
      </c>
      <c r="M34" s="14">
        <f t="shared" si="18"/>
        <v>1.2506216431952246</v>
      </c>
      <c r="N34" s="14">
        <f t="shared" si="18"/>
        <v>1.2256092103313201</v>
      </c>
      <c r="O34" s="14">
        <f t="shared" si="18"/>
        <v>1.2010970261246936</v>
      </c>
    </row>
    <row r="35" spans="2:15" outlineLevel="1" x14ac:dyDescent="0.55000000000000004">
      <c r="B35" t="s">
        <v>606</v>
      </c>
      <c r="E35" s="42">
        <v>0.02</v>
      </c>
      <c r="F35" s="42">
        <v>0.02</v>
      </c>
      <c r="G35" s="42">
        <v>0.02</v>
      </c>
      <c r="H35" s="42">
        <v>0.02</v>
      </c>
      <c r="I35" s="42">
        <v>0.02</v>
      </c>
      <c r="J35" s="42">
        <v>0.02</v>
      </c>
      <c r="K35" s="42">
        <v>0.02</v>
      </c>
      <c r="L35" s="42">
        <v>0.02</v>
      </c>
      <c r="M35" s="42">
        <v>0.02</v>
      </c>
      <c r="N35" s="42">
        <v>0.02</v>
      </c>
      <c r="O35" s="42">
        <v>0.02</v>
      </c>
    </row>
    <row r="36" spans="2:15" outlineLevel="1" x14ac:dyDescent="0.55000000000000004">
      <c r="B36" t="s">
        <v>603</v>
      </c>
      <c r="D36" s="4">
        <f>D25/D34</f>
        <v>81.333333333333329</v>
      </c>
      <c r="E36" s="4">
        <f t="shared" ref="E36:O36" si="19">E25/E34</f>
        <v>89.795918367346943</v>
      </c>
      <c r="F36" s="4">
        <f t="shared" si="19"/>
        <v>98.570040261002362</v>
      </c>
      <c r="G36" s="4">
        <f t="shared" si="19"/>
        <v>107.66489019597844</v>
      </c>
      <c r="H36" s="4">
        <f t="shared" si="19"/>
        <v>113.47601880215237</v>
      </c>
      <c r="I36" s="4">
        <f t="shared" si="19"/>
        <v>119.47949464414846</v>
      </c>
      <c r="J36" s="4">
        <f t="shared" si="19"/>
        <v>125.68074833442174</v>
      </c>
      <c r="K36" s="4">
        <f t="shared" si="19"/>
        <v>132.08535203177647</v>
      </c>
      <c r="L36" s="4">
        <f t="shared" si="19"/>
        <v>138.69902295695559</v>
      </c>
      <c r="M36" s="4">
        <f t="shared" si="19"/>
        <v>145.52762699277019</v>
      </c>
      <c r="N36" s="4">
        <f t="shared" si="19"/>
        <v>152.57718237075593</v>
      </c>
      <c r="O36" s="4">
        <f t="shared" si="19"/>
        <v>159.85386344638843</v>
      </c>
    </row>
    <row r="37" spans="2:15" outlineLevel="1" x14ac:dyDescent="0.55000000000000004">
      <c r="B37" t="s">
        <v>605</v>
      </c>
      <c r="D37" s="44">
        <v>212</v>
      </c>
      <c r="E37" s="51">
        <f>D37*1.015</f>
        <v>215.17999999999998</v>
      </c>
      <c r="F37" s="51">
        <f t="shared" ref="F37:O37" si="20">E37*1.015</f>
        <v>218.40769999999995</v>
      </c>
      <c r="G37" s="51">
        <f t="shared" si="20"/>
        <v>221.68381549999992</v>
      </c>
      <c r="H37" s="51">
        <f t="shared" si="20"/>
        <v>225.0090727324999</v>
      </c>
      <c r="I37" s="51">
        <f t="shared" si="20"/>
        <v>228.38420882348737</v>
      </c>
      <c r="J37" s="51">
        <f t="shared" si="20"/>
        <v>231.80997195583967</v>
      </c>
      <c r="K37" s="51">
        <f t="shared" si="20"/>
        <v>235.28712153517725</v>
      </c>
      <c r="L37" s="51">
        <f t="shared" si="20"/>
        <v>238.81642835820489</v>
      </c>
      <c r="M37" s="51">
        <f t="shared" si="20"/>
        <v>242.39867478357795</v>
      </c>
      <c r="N37" s="51">
        <f t="shared" si="20"/>
        <v>246.03465490533159</v>
      </c>
      <c r="O37" s="51">
        <f t="shared" si="20"/>
        <v>249.72517472891155</v>
      </c>
    </row>
    <row r="38" spans="2:15" outlineLevel="1" x14ac:dyDescent="0.55000000000000004">
      <c r="B38" t="s">
        <v>604</v>
      </c>
      <c r="D38" s="2">
        <f>D36/D37</f>
        <v>0.38364779874213834</v>
      </c>
      <c r="E38" s="2">
        <f t="shared" ref="E38:O38" si="21">E36/E37</f>
        <v>0.41730606174991614</v>
      </c>
      <c r="F38" s="2">
        <f t="shared" si="21"/>
        <v>0.45131211152813011</v>
      </c>
      <c r="G38" s="2">
        <f t="shared" si="21"/>
        <v>0.48566869869658336</v>
      </c>
      <c r="H38" s="2">
        <f t="shared" si="21"/>
        <v>0.50431752561843302</v>
      </c>
      <c r="I38" s="2">
        <f t="shared" si="21"/>
        <v>0.52315129517772951</v>
      </c>
      <c r="J38" s="2">
        <f t="shared" si="21"/>
        <v>0.54217144876909873</v>
      </c>
      <c r="K38" s="2">
        <f t="shared" si="21"/>
        <v>0.561379437896811</v>
      </c>
      <c r="L38" s="2">
        <f t="shared" si="21"/>
        <v>0.58077672424159421</v>
      </c>
      <c r="M38" s="2">
        <f t="shared" si="21"/>
        <v>0.60036477972786928</v>
      </c>
      <c r="N38" s="2">
        <f t="shared" si="21"/>
        <v>0.62014508659141565</v>
      </c>
      <c r="O38" s="2">
        <f t="shared" si="21"/>
        <v>0.64011913744746529</v>
      </c>
    </row>
    <row r="39" spans="2:15" outlineLevel="1" x14ac:dyDescent="0.55000000000000004"/>
    <row r="40" spans="2:15" outlineLevel="1" x14ac:dyDescent="0.55000000000000004">
      <c r="B40" s="37" t="s">
        <v>214</v>
      </c>
    </row>
    <row r="41" spans="2:15" outlineLevel="1" x14ac:dyDescent="0.55000000000000004">
      <c r="B41" s="10" t="s">
        <v>201</v>
      </c>
    </row>
    <row r="42" spans="2:15" outlineLevel="1" x14ac:dyDescent="0.55000000000000004">
      <c r="B42" s="10" t="s">
        <v>182</v>
      </c>
      <c r="D42" s="44">
        <f>Analysis!H148*1.1</f>
        <v>827.36680327868851</v>
      </c>
      <c r="E42" s="44">
        <f>Analysis!I148*1.1</f>
        <v>824.79166666666663</v>
      </c>
      <c r="F42" s="4">
        <f>(1+F43)*E42</f>
        <v>824.79166666666663</v>
      </c>
      <c r="G42" s="4">
        <f t="shared" ref="G42:O42" si="22">(1+G43)*F42</f>
        <v>824.79166666666663</v>
      </c>
      <c r="H42" s="4">
        <f t="shared" si="22"/>
        <v>824.79166666666663</v>
      </c>
      <c r="I42" s="4">
        <f t="shared" si="22"/>
        <v>824.79166666666663</v>
      </c>
      <c r="J42" s="4">
        <f t="shared" si="22"/>
        <v>824.79166666666663</v>
      </c>
      <c r="K42" s="4">
        <f t="shared" si="22"/>
        <v>824.79166666666663</v>
      </c>
      <c r="L42" s="4">
        <f t="shared" si="22"/>
        <v>824.79166666666663</v>
      </c>
      <c r="M42" s="4">
        <f t="shared" si="22"/>
        <v>824.79166666666663</v>
      </c>
      <c r="N42" s="4">
        <f t="shared" si="22"/>
        <v>824.79166666666663</v>
      </c>
      <c r="O42" s="4">
        <f t="shared" si="22"/>
        <v>824.79166666666663</v>
      </c>
    </row>
    <row r="43" spans="2:15" outlineLevel="1" x14ac:dyDescent="0.55000000000000004">
      <c r="B43" s="10" t="s">
        <v>7</v>
      </c>
      <c r="D43" s="4"/>
      <c r="E43" s="2">
        <f>E42/D42-1</f>
        <v>-3.1124485558486903E-3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</row>
    <row r="44" spans="2:15" outlineLevel="1" x14ac:dyDescent="0.55000000000000004">
      <c r="B44" s="10" t="s">
        <v>34</v>
      </c>
      <c r="D44" s="44">
        <f>Analysis!H149</f>
        <v>402.20959595959602</v>
      </c>
      <c r="E44" s="51">
        <f>Analysis!I149*1.5</f>
        <v>684.94525547445255</v>
      </c>
      <c r="F44" s="4">
        <f t="shared" ref="F44:O44" si="23">(1+F45)*E44</f>
        <v>753.43978102189783</v>
      </c>
      <c r="G44" s="4">
        <f t="shared" si="23"/>
        <v>753.43978102189783</v>
      </c>
      <c r="H44" s="4">
        <f t="shared" si="23"/>
        <v>753.43978102189783</v>
      </c>
      <c r="I44" s="4">
        <f t="shared" si="23"/>
        <v>753.43978102189783</v>
      </c>
      <c r="J44" s="4">
        <f t="shared" si="23"/>
        <v>753.43978102189783</v>
      </c>
      <c r="K44" s="4">
        <f t="shared" si="23"/>
        <v>753.43978102189783</v>
      </c>
      <c r="L44" s="4">
        <f t="shared" si="23"/>
        <v>753.43978102189783</v>
      </c>
      <c r="M44" s="4">
        <f t="shared" si="23"/>
        <v>753.43978102189783</v>
      </c>
      <c r="N44" s="4">
        <f t="shared" si="23"/>
        <v>753.43978102189783</v>
      </c>
      <c r="O44" s="4">
        <f t="shared" si="23"/>
        <v>753.43978102189783</v>
      </c>
    </row>
    <row r="45" spans="2:15" outlineLevel="1" x14ac:dyDescent="0.55000000000000004">
      <c r="B45" s="10" t="s">
        <v>7</v>
      </c>
      <c r="D45" s="4"/>
      <c r="E45" s="2">
        <f>E44/D44-1</f>
        <v>0.70295602679568781</v>
      </c>
      <c r="F45" s="35">
        <v>0.1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</row>
    <row r="46" spans="2:15" outlineLevel="1" x14ac:dyDescent="0.55000000000000004">
      <c r="B46" s="10" t="s">
        <v>183</v>
      </c>
      <c r="D46" s="51">
        <f>D44*1.75</f>
        <v>703.86679292929307</v>
      </c>
      <c r="E46" s="51">
        <f>E44*1.35</f>
        <v>924.67609489051097</v>
      </c>
      <c r="F46" s="4">
        <f t="shared" ref="F46:O46" si="24">(1+F47)*E46</f>
        <v>832.20848540145994</v>
      </c>
      <c r="G46" s="4">
        <f t="shared" si="24"/>
        <v>748.98763686131394</v>
      </c>
      <c r="H46" s="4">
        <f t="shared" si="24"/>
        <v>748.98763686131394</v>
      </c>
      <c r="I46" s="4">
        <f t="shared" si="24"/>
        <v>748.98763686131394</v>
      </c>
      <c r="J46" s="4">
        <f t="shared" si="24"/>
        <v>748.98763686131394</v>
      </c>
      <c r="K46" s="4">
        <f t="shared" si="24"/>
        <v>748.98763686131394</v>
      </c>
      <c r="L46" s="4">
        <f t="shared" si="24"/>
        <v>748.98763686131394</v>
      </c>
      <c r="M46" s="4">
        <f t="shared" si="24"/>
        <v>748.98763686131394</v>
      </c>
      <c r="N46" s="4">
        <f t="shared" si="24"/>
        <v>748.98763686131394</v>
      </c>
      <c r="O46" s="4">
        <f t="shared" si="24"/>
        <v>748.98763686131394</v>
      </c>
    </row>
    <row r="47" spans="2:15" outlineLevel="1" x14ac:dyDescent="0.55000000000000004">
      <c r="B47" s="10" t="s">
        <v>7</v>
      </c>
      <c r="E47" s="2">
        <f>E46/D46-1</f>
        <v>0.31370893495667329</v>
      </c>
      <c r="F47" s="35">
        <v>-0.1</v>
      </c>
      <c r="G47" s="35">
        <v>-0.1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</row>
    <row r="48" spans="2:15" outlineLevel="1" x14ac:dyDescent="0.55000000000000004">
      <c r="B48" s="10" t="s">
        <v>1082</v>
      </c>
      <c r="E48" s="2">
        <f>E46/E44</f>
        <v>1.35</v>
      </c>
      <c r="F48" s="2">
        <f t="shared" ref="F48:O48" si="25">F46/F44</f>
        <v>1.1045454545454547</v>
      </c>
      <c r="G48" s="2">
        <f t="shared" si="25"/>
        <v>0.99409090909090914</v>
      </c>
      <c r="H48" s="2">
        <f t="shared" si="25"/>
        <v>0.99409090909090914</v>
      </c>
      <c r="I48" s="2">
        <f t="shared" si="25"/>
        <v>0.99409090909090914</v>
      </c>
      <c r="J48" s="2">
        <f t="shared" si="25"/>
        <v>0.99409090909090914</v>
      </c>
      <c r="K48" s="2">
        <f t="shared" si="25"/>
        <v>0.99409090909090914</v>
      </c>
      <c r="L48" s="2">
        <f t="shared" si="25"/>
        <v>0.99409090909090914</v>
      </c>
      <c r="M48" s="2">
        <f t="shared" si="25"/>
        <v>0.99409090909090914</v>
      </c>
      <c r="N48" s="2">
        <f t="shared" si="25"/>
        <v>0.99409090909090914</v>
      </c>
      <c r="O48" s="2">
        <f t="shared" si="25"/>
        <v>0.99409090909090914</v>
      </c>
    </row>
    <row r="49" spans="2:15" outlineLevel="1" x14ac:dyDescent="0.55000000000000004"/>
    <row r="50" spans="2:15" outlineLevel="1" x14ac:dyDescent="0.55000000000000004">
      <c r="B50" s="37" t="s">
        <v>254</v>
      </c>
    </row>
    <row r="51" spans="2:15" outlineLevel="1" x14ac:dyDescent="0.55000000000000004">
      <c r="B51" t="str">
        <f t="shared" ref="B51:B56" si="26">B42</f>
        <v>Credit</v>
      </c>
      <c r="D51" s="7">
        <f>D42*12*AVERAGE(C19,D19)</f>
        <v>769.45112704918154</v>
      </c>
      <c r="E51" s="7">
        <f t="shared" ref="E51:O51" si="27">E42*12*AVERAGE(D19,E19)</f>
        <v>1033.051562500001</v>
      </c>
      <c r="F51" s="7">
        <f t="shared" si="27"/>
        <v>1518.0290625000014</v>
      </c>
      <c r="G51" s="7">
        <f>G42*12*AVERAGE(F19,G19)</f>
        <v>1837.2234375000028</v>
      </c>
      <c r="H51" s="7">
        <f t="shared" si="27"/>
        <v>2174.2333125000032</v>
      </c>
      <c r="I51" s="7">
        <f t="shared" si="27"/>
        <v>2454.0851250000028</v>
      </c>
      <c r="J51" s="7">
        <f t="shared" si="27"/>
        <v>2540.193375000003</v>
      </c>
      <c r="K51" s="7">
        <f t="shared" si="27"/>
        <v>2626.3016250000032</v>
      </c>
      <c r="L51" s="7">
        <f t="shared" si="27"/>
        <v>2712.4098750000035</v>
      </c>
      <c r="M51" s="7">
        <f t="shared" si="27"/>
        <v>2798.5181250000037</v>
      </c>
      <c r="N51" s="7">
        <f t="shared" si="27"/>
        <v>2884.6263750000044</v>
      </c>
      <c r="O51" s="7">
        <f t="shared" si="27"/>
        <v>2970.7346250000041</v>
      </c>
    </row>
    <row r="52" spans="2:15" outlineLevel="1" x14ac:dyDescent="0.55000000000000004">
      <c r="B52" t="str">
        <f t="shared" si="26"/>
        <v>% change</v>
      </c>
      <c r="F52" s="2">
        <f>F51/E51-1</f>
        <v>0.46946107784431135</v>
      </c>
      <c r="G52" s="2">
        <f t="shared" ref="G52:O52" si="28">G51/F51-1</f>
        <v>0.21026894865525736</v>
      </c>
      <c r="H52" s="2">
        <f t="shared" si="28"/>
        <v>0.18343434343434328</v>
      </c>
      <c r="I52" s="2">
        <f t="shared" si="28"/>
        <v>0.12871287128712838</v>
      </c>
      <c r="J52" s="2">
        <f t="shared" si="28"/>
        <v>3.5087719298245723E-2</v>
      </c>
      <c r="K52" s="2">
        <f t="shared" si="28"/>
        <v>3.3898305084745894E-2</v>
      </c>
      <c r="L52" s="2">
        <f t="shared" si="28"/>
        <v>3.2786885245901676E-2</v>
      </c>
      <c r="M52" s="2">
        <f t="shared" si="28"/>
        <v>3.1746031746031855E-2</v>
      </c>
      <c r="N52" s="2">
        <f t="shared" si="28"/>
        <v>3.0769230769230882E-2</v>
      </c>
      <c r="O52" s="2">
        <f t="shared" si="28"/>
        <v>2.9850746268656581E-2</v>
      </c>
    </row>
    <row r="53" spans="2:15" outlineLevel="1" x14ac:dyDescent="0.55000000000000004">
      <c r="B53" t="str">
        <f t="shared" si="26"/>
        <v>Debit</v>
      </c>
      <c r="D53" s="7">
        <f>D44*12*AVERAGE(C20,D20)</f>
        <v>0</v>
      </c>
      <c r="E53" s="7">
        <f t="shared" ref="E53:O53" si="29">E44*12*AVERAGE(D20,E20)</f>
        <v>0</v>
      </c>
      <c r="F53" s="7">
        <f t="shared" si="29"/>
        <v>0</v>
      </c>
      <c r="G53" s="7">
        <f t="shared" si="29"/>
        <v>0</v>
      </c>
      <c r="H53" s="7">
        <f t="shared" si="29"/>
        <v>0</v>
      </c>
      <c r="I53" s="7">
        <f t="shared" si="29"/>
        <v>0</v>
      </c>
      <c r="J53" s="7">
        <f t="shared" si="29"/>
        <v>0</v>
      </c>
      <c r="K53" s="7">
        <f t="shared" si="29"/>
        <v>0</v>
      </c>
      <c r="L53" s="7">
        <f t="shared" si="29"/>
        <v>0</v>
      </c>
      <c r="M53" s="7">
        <f t="shared" si="29"/>
        <v>0</v>
      </c>
      <c r="N53" s="7">
        <f t="shared" si="29"/>
        <v>0</v>
      </c>
      <c r="O53" s="7">
        <f t="shared" si="29"/>
        <v>0</v>
      </c>
    </row>
    <row r="54" spans="2:15" outlineLevel="1" x14ac:dyDescent="0.55000000000000004">
      <c r="B54" t="str">
        <f t="shared" si="26"/>
        <v>% change</v>
      </c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 outlineLevel="1" x14ac:dyDescent="0.55000000000000004">
      <c r="B55" t="str">
        <f t="shared" si="26"/>
        <v>Pre-paid</v>
      </c>
      <c r="D55" s="7">
        <f>D46*12*AVERAGE(C21,D21)</f>
        <v>12437.326231060606</v>
      </c>
      <c r="E55" s="7">
        <f>E46*12*AVERAGE(D21,E21)</f>
        <v>22004.979368156932</v>
      </c>
      <c r="F55" s="7">
        <f>F46*12*AVERAGE(E21,F21)</f>
        <v>29101.914630246349</v>
      </c>
      <c r="G55" s="7">
        <f>G46*12*AVERAGE(F21,G21)</f>
        <v>31699.029261062955</v>
      </c>
      <c r="H55" s="7">
        <f t="shared" ref="H55:O55" si="30">H46*12*AVERAGE(G21,H21)</f>
        <v>33864.652114283759</v>
      </c>
      <c r="I55" s="7">
        <f>I46*12*AVERAGE(H21,I21)</f>
        <v>34913.759097235401</v>
      </c>
      <c r="J55" s="7">
        <f t="shared" si="30"/>
        <v>36138.803276085768</v>
      </c>
      <c r="K55" s="7">
        <f t="shared" si="30"/>
        <v>37363.847454936142</v>
      </c>
      <c r="L55" s="7">
        <f t="shared" si="30"/>
        <v>38588.891633786501</v>
      </c>
      <c r="M55" s="7">
        <f t="shared" si="30"/>
        <v>39813.935812636868</v>
      </c>
      <c r="N55" s="7">
        <f t="shared" si="30"/>
        <v>41038.979991487235</v>
      </c>
      <c r="O55" s="7">
        <f t="shared" si="30"/>
        <v>42264.024170337601</v>
      </c>
    </row>
    <row r="56" spans="2:15" outlineLevel="1" x14ac:dyDescent="0.55000000000000004">
      <c r="B56" s="1" t="str">
        <f t="shared" si="26"/>
        <v>% change</v>
      </c>
      <c r="C56" s="1"/>
      <c r="D56" s="1"/>
      <c r="E56" s="1"/>
      <c r="F56" s="30">
        <f t="shared" ref="F56:O56" si="31">F55/E55-1</f>
        <v>0.32251497005988039</v>
      </c>
      <c r="G56" s="30">
        <f t="shared" si="31"/>
        <v>8.9242053789731157E-2</v>
      </c>
      <c r="H56" s="30">
        <f t="shared" si="31"/>
        <v>6.8318270423533667E-2</v>
      </c>
      <c r="I56" s="30">
        <f t="shared" si="31"/>
        <v>3.0979411198768458E-2</v>
      </c>
      <c r="J56" s="30">
        <f t="shared" si="31"/>
        <v>3.5087719298245723E-2</v>
      </c>
      <c r="K56" s="30">
        <f t="shared" si="31"/>
        <v>3.3898305084746116E-2</v>
      </c>
      <c r="L56" s="30">
        <f t="shared" si="31"/>
        <v>3.2786885245901454E-2</v>
      </c>
      <c r="M56" s="30">
        <f t="shared" si="31"/>
        <v>3.1746031746031855E-2</v>
      </c>
      <c r="N56" s="30">
        <f t="shared" si="31"/>
        <v>3.0769230769230882E-2</v>
      </c>
      <c r="O56" s="30">
        <f t="shared" si="31"/>
        <v>2.9850746268656803E-2</v>
      </c>
    </row>
    <row r="57" spans="2:15" outlineLevel="1" x14ac:dyDescent="0.55000000000000004">
      <c r="B57" t="s">
        <v>215</v>
      </c>
      <c r="D57" s="7">
        <f>D51+D53+D55</f>
        <v>13206.777358109788</v>
      </c>
      <c r="E57" s="7">
        <f t="shared" ref="E57:O57" si="32">E51+E53+E55</f>
        <v>23038.030930656932</v>
      </c>
      <c r="F57" s="7">
        <f t="shared" si="32"/>
        <v>30619.94369274635</v>
      </c>
      <c r="G57" s="7">
        <f t="shared" si="32"/>
        <v>33536.252698562959</v>
      </c>
      <c r="H57" s="7">
        <f t="shared" si="32"/>
        <v>36038.88542678376</v>
      </c>
      <c r="I57" s="7">
        <f t="shared" si="32"/>
        <v>37367.844222235406</v>
      </c>
      <c r="J57" s="7">
        <f t="shared" si="32"/>
        <v>38678.99665108577</v>
      </c>
      <c r="K57" s="7">
        <f t="shared" si="32"/>
        <v>39990.149079936142</v>
      </c>
      <c r="L57" s="7">
        <f t="shared" si="32"/>
        <v>41301.301508786506</v>
      </c>
      <c r="M57" s="7">
        <f t="shared" si="32"/>
        <v>42612.45393763687</v>
      </c>
      <c r="N57" s="7">
        <f t="shared" si="32"/>
        <v>43923.606366487242</v>
      </c>
      <c r="O57" s="7">
        <f t="shared" si="32"/>
        <v>45234.758795337606</v>
      </c>
    </row>
    <row r="58" spans="2:15" outlineLevel="1" x14ac:dyDescent="0.55000000000000004">
      <c r="B58" t="s">
        <v>7</v>
      </c>
      <c r="E58" s="2">
        <f t="shared" ref="E58:O58" si="33">E57/D57-1</f>
        <v>0.74440973039574554</v>
      </c>
      <c r="F58" s="2">
        <f t="shared" si="33"/>
        <v>0.32910420100183524</v>
      </c>
      <c r="G58" s="2">
        <f t="shared" si="33"/>
        <v>9.5242141366427946E-2</v>
      </c>
      <c r="H58" s="2">
        <f t="shared" si="33"/>
        <v>7.4624697956430897E-2</v>
      </c>
      <c r="I58" s="2">
        <f t="shared" si="33"/>
        <v>3.687569079103592E-2</v>
      </c>
      <c r="J58" s="2">
        <f t="shared" si="33"/>
        <v>3.5087719298245501E-2</v>
      </c>
      <c r="K58" s="2">
        <f t="shared" si="33"/>
        <v>3.3898305084745894E-2</v>
      </c>
      <c r="L58" s="2">
        <f t="shared" si="33"/>
        <v>3.2786885245901676E-2</v>
      </c>
      <c r="M58" s="2">
        <f t="shared" si="33"/>
        <v>3.1746031746031633E-2</v>
      </c>
      <c r="N58" s="2">
        <f t="shared" si="33"/>
        <v>3.0769230769230882E-2</v>
      </c>
      <c r="O58" s="2">
        <f t="shared" si="33"/>
        <v>2.9850746268656581E-2</v>
      </c>
    </row>
    <row r="59" spans="2:15" outlineLevel="1" x14ac:dyDescent="0.55000000000000004"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 outlineLevel="1" x14ac:dyDescent="0.55000000000000004">
      <c r="B60" t="s">
        <v>285</v>
      </c>
      <c r="D60" s="2">
        <f>D57/D62</f>
        <v>0.6451866592138521</v>
      </c>
      <c r="E60" s="2">
        <f>E57/E62</f>
        <v>0.3275751244956836</v>
      </c>
      <c r="F60" s="2">
        <f t="shared" ref="F60:O60" si="34">F57/F62</f>
        <v>0.15101197786968337</v>
      </c>
      <c r="G60" s="2">
        <f t="shared" si="34"/>
        <v>8.8943781192316565E-2</v>
      </c>
      <c r="H60" s="2">
        <f t="shared" si="34"/>
        <v>7.1971505447077713E-2</v>
      </c>
      <c r="I60" s="2">
        <f t="shared" si="34"/>
        <v>6.1868186490516799E-2</v>
      </c>
      <c r="J60" s="2">
        <f t="shared" si="34"/>
        <v>5.9407355430726311E-2</v>
      </c>
      <c r="K60" s="2">
        <f t="shared" si="34"/>
        <v>5.7020290846694834E-2</v>
      </c>
      <c r="L60" s="2">
        <f t="shared" si="34"/>
        <v>5.4707634707699307E-2</v>
      </c>
      <c r="M60" s="2">
        <f t="shared" si="34"/>
        <v>5.2469557561316341E-2</v>
      </c>
      <c r="N60" s="2">
        <f t="shared" si="34"/>
        <v>5.0305835338042913E-2</v>
      </c>
      <c r="O60" s="2">
        <f t="shared" si="34"/>
        <v>4.8215914462121021E-2</v>
      </c>
    </row>
    <row r="61" spans="2:15" outlineLevel="1" x14ac:dyDescent="0.55000000000000004"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 outlineLevel="1" x14ac:dyDescent="0.55000000000000004">
      <c r="B62" t="s">
        <v>216</v>
      </c>
      <c r="D62" s="55">
        <v>20469.7</v>
      </c>
      <c r="E62" s="55">
        <v>70329</v>
      </c>
      <c r="F62" s="55">
        <v>202765</v>
      </c>
      <c r="G62" s="55">
        <v>377050</v>
      </c>
      <c r="H62" s="7">
        <f t="shared" ref="H62:O62" si="35">H57+H65</f>
        <v>500738.2463784084</v>
      </c>
      <c r="I62" s="7">
        <f t="shared" si="35"/>
        <v>603991.26500924956</v>
      </c>
      <c r="J62" s="7">
        <f t="shared" si="35"/>
        <v>651080.93721136183</v>
      </c>
      <c r="K62" s="7">
        <f t="shared" si="35"/>
        <v>701331.90283883235</v>
      </c>
      <c r="L62" s="7">
        <f t="shared" si="35"/>
        <v>754945.84493476455</v>
      </c>
      <c r="M62" s="7">
        <f t="shared" si="35"/>
        <v>812136.71161300759</v>
      </c>
      <c r="N62" s="7">
        <f t="shared" si="35"/>
        <v>873131.43835762481</v>
      </c>
      <c r="O62" s="7">
        <f t="shared" si="35"/>
        <v>938170.71188963042</v>
      </c>
    </row>
    <row r="63" spans="2:15" outlineLevel="1" x14ac:dyDescent="0.55000000000000004">
      <c r="B63" t="s">
        <v>195</v>
      </c>
      <c r="E63" s="2">
        <f>E62/D62-1</f>
        <v>2.4357611494061953</v>
      </c>
      <c r="F63" s="2">
        <f>F62/E62-1</f>
        <v>1.8830923232237056</v>
      </c>
      <c r="G63" s="2">
        <f t="shared" ref="G63:O63" si="36">G62/F62-1</f>
        <v>0.85954183414297347</v>
      </c>
      <c r="H63" s="2">
        <f t="shared" si="36"/>
        <v>0.32804202726006726</v>
      </c>
      <c r="I63" s="2">
        <f t="shared" si="36"/>
        <v>0.20620158211923911</v>
      </c>
      <c r="J63" s="2">
        <f t="shared" si="36"/>
        <v>7.7964160957511686E-2</v>
      </c>
      <c r="K63" s="2">
        <f t="shared" si="36"/>
        <v>7.7180827690486398E-2</v>
      </c>
      <c r="L63" s="2">
        <f t="shared" si="36"/>
        <v>7.6445890852697707E-2</v>
      </c>
      <c r="M63" s="2">
        <f t="shared" si="36"/>
        <v>7.5754926081068596E-2</v>
      </c>
      <c r="N63" s="2">
        <f t="shared" si="36"/>
        <v>7.5104013736152719E-2</v>
      </c>
      <c r="O63" s="2">
        <f t="shared" si="36"/>
        <v>7.4489670941577435E-2</v>
      </c>
    </row>
    <row r="64" spans="2:15" outlineLevel="1" x14ac:dyDescent="0.55000000000000004"/>
    <row r="65" spans="2:15" outlineLevel="1" x14ac:dyDescent="0.55000000000000004">
      <c r="B65" t="s">
        <v>217</v>
      </c>
      <c r="D65" s="7">
        <f>D62-D57</f>
        <v>7262.9226418902126</v>
      </c>
      <c r="E65" s="7">
        <f>E62-E57</f>
        <v>47290.969069343068</v>
      </c>
      <c r="F65" s="7">
        <f>F62-F57</f>
        <v>172145.05630725366</v>
      </c>
      <c r="G65" s="7">
        <f>G62-G57</f>
        <v>343513.74730143702</v>
      </c>
      <c r="H65" s="7">
        <f t="shared" ref="H65:O65" si="37">H69*12*AVERAGE(G67,H67)</f>
        <v>464699.36095162464</v>
      </c>
      <c r="I65" s="7">
        <f t="shared" si="37"/>
        <v>566623.42078701418</v>
      </c>
      <c r="J65" s="7">
        <f t="shared" si="37"/>
        <v>612401.94056027604</v>
      </c>
      <c r="K65" s="7">
        <f t="shared" si="37"/>
        <v>661341.75375889626</v>
      </c>
      <c r="L65" s="7">
        <f t="shared" si="37"/>
        <v>713644.54342597804</v>
      </c>
      <c r="M65" s="7">
        <f t="shared" si="37"/>
        <v>769524.25767537067</v>
      </c>
      <c r="N65" s="7">
        <f t="shared" si="37"/>
        <v>829207.83199113759</v>
      </c>
      <c r="O65" s="7">
        <f t="shared" si="37"/>
        <v>892935.95309429278</v>
      </c>
    </row>
    <row r="66" spans="2:15" outlineLevel="1" x14ac:dyDescent="0.55000000000000004"/>
    <row r="67" spans="2:15" outlineLevel="1" x14ac:dyDescent="0.55000000000000004">
      <c r="B67" t="s">
        <v>196</v>
      </c>
      <c r="C67" s="32">
        <v>0</v>
      </c>
      <c r="D67" s="32">
        <v>2</v>
      </c>
      <c r="E67" s="32">
        <v>7.8650000000000002</v>
      </c>
      <c r="F67" s="32">
        <v>13.073</v>
      </c>
      <c r="G67" s="32">
        <v>16.2</v>
      </c>
      <c r="H67" s="32">
        <v>16.8</v>
      </c>
      <c r="I67" s="13">
        <f t="shared" ref="I67:O67" si="38">H67+I68</f>
        <v>17.3</v>
      </c>
      <c r="J67" s="13">
        <f t="shared" si="38"/>
        <v>17.8</v>
      </c>
      <c r="K67" s="13">
        <f t="shared" si="38"/>
        <v>18.3</v>
      </c>
      <c r="L67" s="13">
        <f t="shared" si="38"/>
        <v>18.8</v>
      </c>
      <c r="M67" s="13">
        <f t="shared" si="38"/>
        <v>19.3</v>
      </c>
      <c r="N67" s="13">
        <f t="shared" si="38"/>
        <v>19.8</v>
      </c>
      <c r="O67" s="13">
        <f t="shared" si="38"/>
        <v>20.3</v>
      </c>
    </row>
    <row r="68" spans="2:15" outlineLevel="1" x14ac:dyDescent="0.55000000000000004">
      <c r="B68" t="s">
        <v>26</v>
      </c>
      <c r="E68" s="13">
        <f>E67-D67</f>
        <v>5.8650000000000002</v>
      </c>
      <c r="F68" s="13">
        <f>F67-E67</f>
        <v>5.2080000000000002</v>
      </c>
      <c r="G68" s="13">
        <f>G67-F67</f>
        <v>3.1269999999999989</v>
      </c>
      <c r="H68" s="13">
        <f>H67-G67</f>
        <v>0.60000000000000142</v>
      </c>
      <c r="I68" s="36">
        <v>0.5</v>
      </c>
      <c r="J68" s="36">
        <v>0.5</v>
      </c>
      <c r="K68" s="36">
        <v>0.5</v>
      </c>
      <c r="L68" s="36">
        <v>0.5</v>
      </c>
      <c r="M68" s="36">
        <v>0.5</v>
      </c>
      <c r="N68" s="36">
        <v>0.5</v>
      </c>
      <c r="O68" s="36">
        <v>0.5</v>
      </c>
    </row>
    <row r="69" spans="2:15" outlineLevel="1" x14ac:dyDescent="0.55000000000000004">
      <c r="B69" t="s">
        <v>197</v>
      </c>
      <c r="D69" s="7">
        <f>D65/AVERAGE(C67,D67)/12</f>
        <v>605.24355349085101</v>
      </c>
      <c r="E69" s="7">
        <f>E65/AVERAGE(D67,E67)/12</f>
        <v>798.96889794463698</v>
      </c>
      <c r="F69" s="7">
        <f>F65/AVERAGE(E67,F67)/12</f>
        <v>1370.2761829150638</v>
      </c>
      <c r="G69" s="7">
        <f>G65/AVERAGE(F67,G67)/12</f>
        <v>1955.8053912105413</v>
      </c>
      <c r="H69" s="7">
        <f t="shared" ref="H69:O69" si="39">(1+H70)*G69</f>
        <v>2346.9664694526496</v>
      </c>
      <c r="I69" s="7">
        <f t="shared" si="39"/>
        <v>2769.4204339541261</v>
      </c>
      <c r="J69" s="7">
        <f t="shared" si="39"/>
        <v>2907.8914556518325</v>
      </c>
      <c r="K69" s="7">
        <f t="shared" si="39"/>
        <v>3053.2860284344242</v>
      </c>
      <c r="L69" s="7">
        <f t="shared" si="39"/>
        <v>3205.9503298561453</v>
      </c>
      <c r="M69" s="7">
        <f t="shared" si="39"/>
        <v>3366.2478463489529</v>
      </c>
      <c r="N69" s="7">
        <f t="shared" si="39"/>
        <v>3534.5602386664004</v>
      </c>
      <c r="O69" s="7">
        <f t="shared" si="39"/>
        <v>3711.2882505997204</v>
      </c>
    </row>
    <row r="70" spans="2:15" outlineLevel="1" x14ac:dyDescent="0.55000000000000004">
      <c r="B70" t="s">
        <v>195</v>
      </c>
      <c r="E70" s="2">
        <f>E69/D69-1</f>
        <v>0.32007832770203049</v>
      </c>
      <c r="F70" s="2">
        <f>F69/E69-1</f>
        <v>0.71505572549835916</v>
      </c>
      <c r="G70" s="2">
        <f>G69/F69-1</f>
        <v>0.42730744035107504</v>
      </c>
      <c r="H70" s="35">
        <v>0.2</v>
      </c>
      <c r="I70" s="35">
        <v>0.18</v>
      </c>
      <c r="J70" s="35">
        <v>0.05</v>
      </c>
      <c r="K70" s="35">
        <v>0.05</v>
      </c>
      <c r="L70" s="35">
        <v>0.05</v>
      </c>
      <c r="M70" s="35">
        <v>0.05</v>
      </c>
      <c r="N70" s="35">
        <v>0.05</v>
      </c>
      <c r="O70" s="35">
        <v>0.05</v>
      </c>
    </row>
    <row r="71" spans="2:15" outlineLevel="1" x14ac:dyDescent="0.55000000000000004">
      <c r="E71" s="7"/>
    </row>
    <row r="72" spans="2:15" outlineLevel="1" x14ac:dyDescent="0.55000000000000004">
      <c r="B72" s="9" t="s">
        <v>223</v>
      </c>
    </row>
    <row r="73" spans="2:15" outlineLevel="1" x14ac:dyDescent="0.55000000000000004">
      <c r="B73" t="s">
        <v>182</v>
      </c>
      <c r="D73" s="31">
        <v>130</v>
      </c>
      <c r="E73">
        <f>(1+E74)*D73</f>
        <v>130</v>
      </c>
      <c r="F73">
        <f t="shared" ref="F73:O73" si="40">(1+F74)*E73</f>
        <v>130</v>
      </c>
      <c r="G73">
        <f t="shared" si="40"/>
        <v>130</v>
      </c>
      <c r="H73">
        <f t="shared" si="40"/>
        <v>130</v>
      </c>
      <c r="I73">
        <f t="shared" si="40"/>
        <v>130</v>
      </c>
      <c r="J73">
        <f t="shared" si="40"/>
        <v>130</v>
      </c>
      <c r="K73">
        <f t="shared" si="40"/>
        <v>130</v>
      </c>
      <c r="L73">
        <f t="shared" si="40"/>
        <v>130</v>
      </c>
      <c r="M73">
        <f t="shared" si="40"/>
        <v>130</v>
      </c>
      <c r="N73">
        <f t="shared" si="40"/>
        <v>130</v>
      </c>
      <c r="O73">
        <f t="shared" si="40"/>
        <v>130</v>
      </c>
    </row>
    <row r="74" spans="2:15" outlineLevel="1" x14ac:dyDescent="0.55000000000000004">
      <c r="B74" t="s">
        <v>7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</row>
    <row r="75" spans="2:15" outlineLevel="1" x14ac:dyDescent="0.55000000000000004">
      <c r="B75" t="s">
        <v>34</v>
      </c>
      <c r="D75" s="31">
        <v>50</v>
      </c>
      <c r="E75">
        <f t="shared" ref="E75:O75" si="41">(1+E76)*D75</f>
        <v>50</v>
      </c>
      <c r="F75">
        <f t="shared" si="41"/>
        <v>50</v>
      </c>
      <c r="G75">
        <f t="shared" si="41"/>
        <v>50</v>
      </c>
      <c r="H75">
        <f t="shared" si="41"/>
        <v>50</v>
      </c>
      <c r="I75">
        <f t="shared" si="41"/>
        <v>50</v>
      </c>
      <c r="J75">
        <f t="shared" si="41"/>
        <v>50</v>
      </c>
      <c r="K75">
        <f t="shared" si="41"/>
        <v>50</v>
      </c>
      <c r="L75">
        <f t="shared" si="41"/>
        <v>50</v>
      </c>
      <c r="M75">
        <f t="shared" si="41"/>
        <v>50</v>
      </c>
      <c r="N75">
        <f t="shared" si="41"/>
        <v>50</v>
      </c>
      <c r="O75">
        <f t="shared" si="41"/>
        <v>50</v>
      </c>
    </row>
    <row r="76" spans="2:15" outlineLevel="1" x14ac:dyDescent="0.55000000000000004">
      <c r="B76" t="s">
        <v>7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</row>
    <row r="77" spans="2:15" outlineLevel="1" x14ac:dyDescent="0.55000000000000004">
      <c r="B77" t="s">
        <v>183</v>
      </c>
      <c r="D77" s="31">
        <v>130</v>
      </c>
      <c r="E77" s="31">
        <v>135</v>
      </c>
      <c r="F77" s="31">
        <v>110</v>
      </c>
      <c r="G77" s="4">
        <f t="shared" ref="G77:O77" si="42">(1+G78)*F77</f>
        <v>113.3</v>
      </c>
      <c r="H77" s="4">
        <f t="shared" si="42"/>
        <v>50.984999999999992</v>
      </c>
      <c r="I77" s="4">
        <f t="shared" si="42"/>
        <v>45.886499999999991</v>
      </c>
      <c r="J77" s="4">
        <f t="shared" si="42"/>
        <v>45.886499999999991</v>
      </c>
      <c r="K77" s="4">
        <f t="shared" si="42"/>
        <v>45.886499999999991</v>
      </c>
      <c r="L77" s="4">
        <f t="shared" si="42"/>
        <v>45.886499999999991</v>
      </c>
      <c r="M77" s="4">
        <f t="shared" si="42"/>
        <v>45.886499999999991</v>
      </c>
      <c r="N77" s="4">
        <f t="shared" si="42"/>
        <v>45.886499999999991</v>
      </c>
      <c r="O77" s="4">
        <f t="shared" si="42"/>
        <v>45.886499999999991</v>
      </c>
    </row>
    <row r="78" spans="2:15" outlineLevel="1" x14ac:dyDescent="0.55000000000000004">
      <c r="B78" t="s">
        <v>7</v>
      </c>
      <c r="E78" s="35">
        <v>0</v>
      </c>
      <c r="F78" s="35">
        <v>-0.4</v>
      </c>
      <c r="G78" s="35">
        <v>0.03</v>
      </c>
      <c r="H78" s="35">
        <v>-0.55000000000000004</v>
      </c>
      <c r="I78" s="35">
        <v>-0.1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</row>
    <row r="79" spans="2:15" outlineLevel="1" x14ac:dyDescent="0.55000000000000004">
      <c r="B79" t="s">
        <v>198</v>
      </c>
      <c r="D79" s="4">
        <f>D89*10000/D65</f>
        <v>0</v>
      </c>
      <c r="E79" s="4">
        <f>E89*10000/E65</f>
        <v>15.595093454151948</v>
      </c>
      <c r="F79" s="4">
        <f>F89*10000/F65</f>
        <v>7.1582602427367963</v>
      </c>
      <c r="G79" s="4">
        <f>G89*10000/G65</f>
        <v>7.9962089118070878</v>
      </c>
      <c r="H79" s="4">
        <f t="shared" ref="H79:O79" si="43">(1+H80)*G79</f>
        <v>1.1994313367710634</v>
      </c>
      <c r="I79" s="4">
        <f t="shared" si="43"/>
        <v>1.0195166362554038</v>
      </c>
      <c r="J79" s="4">
        <f t="shared" si="43"/>
        <v>1.0195166362554038</v>
      </c>
      <c r="K79" s="4">
        <f t="shared" si="43"/>
        <v>1.0195166362554038</v>
      </c>
      <c r="L79" s="4">
        <f t="shared" si="43"/>
        <v>1.0195166362554038</v>
      </c>
      <c r="M79" s="4">
        <f t="shared" si="43"/>
        <v>1.0195166362554038</v>
      </c>
      <c r="N79" s="4">
        <f t="shared" si="43"/>
        <v>1.0195166362554038</v>
      </c>
      <c r="O79" s="4">
        <f t="shared" si="43"/>
        <v>1.0195166362554038</v>
      </c>
    </row>
    <row r="80" spans="2:15" outlineLevel="1" x14ac:dyDescent="0.55000000000000004">
      <c r="B80" t="s">
        <v>7</v>
      </c>
      <c r="E80" s="35">
        <v>0</v>
      </c>
      <c r="F80" s="35">
        <v>-0.5</v>
      </c>
      <c r="G80" s="35">
        <v>-0.25</v>
      </c>
      <c r="H80" s="35">
        <v>-0.85</v>
      </c>
      <c r="I80" s="35">
        <v>-0.15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</row>
    <row r="81" spans="2:15" outlineLevel="1" x14ac:dyDescent="0.55000000000000004">
      <c r="B81" s="10"/>
    </row>
    <row r="82" spans="2:15" outlineLevel="1" x14ac:dyDescent="0.55000000000000004">
      <c r="B82" s="18" t="s">
        <v>213</v>
      </c>
    </row>
    <row r="83" spans="2:15" outlineLevel="1" x14ac:dyDescent="0.55000000000000004">
      <c r="B83" s="9" t="s">
        <v>200</v>
      </c>
    </row>
    <row r="84" spans="2:15" outlineLevel="1" x14ac:dyDescent="0.55000000000000004">
      <c r="B84" t="s">
        <v>182</v>
      </c>
      <c r="D84" s="4">
        <f>D51*D73/10000</f>
        <v>10.00286465163936</v>
      </c>
      <c r="E84" s="4">
        <f t="shared" ref="E84:O84" si="44">E51*E73/10000</f>
        <v>13.429670312500011</v>
      </c>
      <c r="F84" s="4">
        <f t="shared" si="44"/>
        <v>19.734377812500018</v>
      </c>
      <c r="G84" s="4">
        <f>G51*G73/10000</f>
        <v>23.883904687500035</v>
      </c>
      <c r="H84" s="4">
        <f t="shared" si="44"/>
        <v>28.265033062500041</v>
      </c>
      <c r="I84" s="4">
        <f t="shared" si="44"/>
        <v>31.903106625000039</v>
      </c>
      <c r="J84" s="4">
        <f t="shared" si="44"/>
        <v>33.022513875000037</v>
      </c>
      <c r="K84" s="4">
        <f t="shared" si="44"/>
        <v>34.141921125000039</v>
      </c>
      <c r="L84" s="4">
        <f t="shared" si="44"/>
        <v>35.261328375000048</v>
      </c>
      <c r="M84" s="4">
        <f t="shared" si="44"/>
        <v>36.38073562500005</v>
      </c>
      <c r="N84" s="4">
        <f t="shared" si="44"/>
        <v>37.500142875000051</v>
      </c>
      <c r="O84" s="4">
        <f t="shared" si="44"/>
        <v>38.619550125000053</v>
      </c>
    </row>
    <row r="85" spans="2:15" outlineLevel="1" x14ac:dyDescent="0.55000000000000004">
      <c r="B85" t="s">
        <v>34</v>
      </c>
      <c r="D85" s="4">
        <f>D53*D75/10000</f>
        <v>0</v>
      </c>
      <c r="E85" s="4">
        <f t="shared" ref="E85:O85" si="45">E53*E75/10000</f>
        <v>0</v>
      </c>
      <c r="F85" s="4">
        <f t="shared" si="45"/>
        <v>0</v>
      </c>
      <c r="G85" s="4">
        <f t="shared" si="45"/>
        <v>0</v>
      </c>
      <c r="H85" s="4">
        <f t="shared" si="45"/>
        <v>0</v>
      </c>
      <c r="I85" s="4">
        <f t="shared" si="45"/>
        <v>0</v>
      </c>
      <c r="J85" s="4">
        <f t="shared" si="45"/>
        <v>0</v>
      </c>
      <c r="K85" s="4">
        <f t="shared" si="45"/>
        <v>0</v>
      </c>
      <c r="L85" s="4">
        <f t="shared" si="45"/>
        <v>0</v>
      </c>
      <c r="M85" s="4">
        <f t="shared" si="45"/>
        <v>0</v>
      </c>
      <c r="N85" s="4">
        <f t="shared" si="45"/>
        <v>0</v>
      </c>
      <c r="O85" s="4">
        <f t="shared" si="45"/>
        <v>0</v>
      </c>
    </row>
    <row r="86" spans="2:15" outlineLevel="1" x14ac:dyDescent="0.55000000000000004">
      <c r="B86" s="1" t="s">
        <v>199</v>
      </c>
      <c r="C86" s="1"/>
      <c r="D86" s="6">
        <f>D55*D77/10000</f>
        <v>161.68524100378787</v>
      </c>
      <c r="E86" s="6">
        <f>E55*E77/10000</f>
        <v>297.06722147011857</v>
      </c>
      <c r="F86" s="6">
        <f>F55*F77/10000</f>
        <v>320.12106093270984</v>
      </c>
      <c r="G86" s="6">
        <f>G55*G77/10000</f>
        <v>359.15000152784324</v>
      </c>
      <c r="H86" s="6">
        <f t="shared" ref="H86:O86" si="46">H55*H77/10000</f>
        <v>172.65892880467572</v>
      </c>
      <c r="I86" s="6">
        <f>I55*I77/10000</f>
        <v>160.2070206815292</v>
      </c>
      <c r="J86" s="6">
        <f t="shared" si="46"/>
        <v>165.82831965281093</v>
      </c>
      <c r="K86" s="6">
        <f t="shared" si="46"/>
        <v>171.44961862409269</v>
      </c>
      <c r="L86" s="6">
        <f t="shared" si="46"/>
        <v>177.0709175953744</v>
      </c>
      <c r="M86" s="6">
        <f t="shared" si="46"/>
        <v>182.69221656665613</v>
      </c>
      <c r="N86" s="6">
        <f t="shared" si="46"/>
        <v>188.31351553793786</v>
      </c>
      <c r="O86" s="6">
        <f t="shared" si="46"/>
        <v>193.93481450921962</v>
      </c>
    </row>
    <row r="87" spans="2:15" outlineLevel="1" x14ac:dyDescent="0.55000000000000004">
      <c r="B87" t="s">
        <v>200</v>
      </c>
      <c r="D87" s="4">
        <f>D84+D85+D86</f>
        <v>171.68810565542722</v>
      </c>
      <c r="E87" s="4">
        <f>E84+E85+E86</f>
        <v>310.4968917826186</v>
      </c>
      <c r="F87" s="4">
        <f t="shared" ref="F87:O87" si="47">F84+F85+F86</f>
        <v>339.85543874520988</v>
      </c>
      <c r="G87" s="4">
        <f>G84+G85+G86</f>
        <v>383.03390621534328</v>
      </c>
      <c r="H87" s="4">
        <f t="shared" si="47"/>
        <v>200.92396186717576</v>
      </c>
      <c r="I87" s="4">
        <f t="shared" si="47"/>
        <v>192.11012730652925</v>
      </c>
      <c r="J87" s="4">
        <f t="shared" si="47"/>
        <v>198.85083352781098</v>
      </c>
      <c r="K87" s="4">
        <f t="shared" si="47"/>
        <v>205.59153974909273</v>
      </c>
      <c r="L87" s="4">
        <f t="shared" si="47"/>
        <v>212.33224597037446</v>
      </c>
      <c r="M87" s="4">
        <f t="shared" si="47"/>
        <v>219.07295219165619</v>
      </c>
      <c r="N87" s="4">
        <f t="shared" si="47"/>
        <v>225.81365841293791</v>
      </c>
      <c r="O87" s="4">
        <f t="shared" si="47"/>
        <v>232.55436463421967</v>
      </c>
    </row>
    <row r="88" spans="2:15" outlineLevel="1" x14ac:dyDescent="0.55000000000000004"/>
    <row r="89" spans="2:15" outlineLevel="1" x14ac:dyDescent="0.55000000000000004">
      <c r="B89" t="s">
        <v>286</v>
      </c>
      <c r="D89" s="4">
        <f>D94</f>
        <v>0</v>
      </c>
      <c r="E89" s="4">
        <f>E94</f>
        <v>73.75070821738143</v>
      </c>
      <c r="F89" s="4">
        <f>F94</f>
        <v>123.22591125479011</v>
      </c>
      <c r="G89" s="4">
        <f>G94</f>
        <v>274.68076874999986</v>
      </c>
      <c r="H89" s="4">
        <f>H65*H79/10000</f>
        <v>55.7374975702866</v>
      </c>
      <c r="I89" s="4">
        <f>I65*I79/10000</f>
        <v>57.768200398430693</v>
      </c>
      <c r="J89" s="4">
        <f t="shared" ref="J89:O89" si="48">J65*J79/10000</f>
        <v>62.435396647629432</v>
      </c>
      <c r="K89" s="4">
        <f t="shared" si="48"/>
        <v>67.42489202075194</v>
      </c>
      <c r="L89" s="4">
        <f t="shared" si="48"/>
        <v>72.757248439567647</v>
      </c>
      <c r="M89" s="4">
        <f t="shared" si="48"/>
        <v>78.454278270213052</v>
      </c>
      <c r="N89" s="4">
        <f t="shared" si="48"/>
        <v>84.539117962824065</v>
      </c>
      <c r="O89" s="4">
        <f t="shared" si="48"/>
        <v>91.036305929020642</v>
      </c>
    </row>
    <row r="91" spans="2:15" collapsed="1" x14ac:dyDescent="0.55000000000000004">
      <c r="B91" s="20" t="s">
        <v>250</v>
      </c>
      <c r="C91" s="20"/>
      <c r="D91" s="20">
        <f t="shared" ref="D91:O91" si="49">D104</f>
        <v>2019</v>
      </c>
      <c r="E91" s="20">
        <f t="shared" si="49"/>
        <v>2020</v>
      </c>
      <c r="F91" s="20">
        <f t="shared" si="49"/>
        <v>2021</v>
      </c>
      <c r="G91" s="20">
        <f t="shared" si="49"/>
        <v>2022</v>
      </c>
      <c r="H91" s="20">
        <f t="shared" si="49"/>
        <v>2023</v>
      </c>
      <c r="I91" s="20">
        <f t="shared" si="49"/>
        <v>2024</v>
      </c>
      <c r="J91" s="20">
        <f t="shared" si="49"/>
        <v>2025</v>
      </c>
      <c r="K91" s="20">
        <f t="shared" si="49"/>
        <v>2026</v>
      </c>
      <c r="L91" s="20">
        <f t="shared" si="49"/>
        <v>2027</v>
      </c>
      <c r="M91" s="20">
        <f t="shared" si="49"/>
        <v>2028</v>
      </c>
      <c r="N91" s="20">
        <f t="shared" si="49"/>
        <v>2029</v>
      </c>
      <c r="O91" s="20">
        <f t="shared" si="49"/>
        <v>2030</v>
      </c>
    </row>
    <row r="92" spans="2:15" x14ac:dyDescent="0.55000000000000004">
      <c r="B92" t="s">
        <v>28</v>
      </c>
      <c r="D92" s="598">
        <f>D87</f>
        <v>171.68810565542722</v>
      </c>
      <c r="E92" s="598">
        <f>E87</f>
        <v>310.4968917826186</v>
      </c>
      <c r="F92" s="598">
        <f>F87</f>
        <v>339.85543874520988</v>
      </c>
      <c r="G92" s="4">
        <f>G95-G93-G94</f>
        <v>503.06992742037039</v>
      </c>
      <c r="H92" s="4">
        <f t="shared" ref="H92:O92" si="50">H147</f>
        <v>321.96475354903708</v>
      </c>
      <c r="I92" s="4">
        <f t="shared" si="50"/>
        <v>313.91563471031117</v>
      </c>
      <c r="J92" s="4">
        <f t="shared" si="50"/>
        <v>329.61141644582676</v>
      </c>
      <c r="K92" s="4">
        <f t="shared" si="50"/>
        <v>338.87016409879942</v>
      </c>
      <c r="L92" s="4">
        <f t="shared" si="50"/>
        <v>348.12891175177208</v>
      </c>
      <c r="M92" s="4">
        <f t="shared" si="50"/>
        <v>357.38765940474474</v>
      </c>
      <c r="N92" s="4">
        <f t="shared" si="50"/>
        <v>366.64640705771745</v>
      </c>
      <c r="O92" s="4">
        <f t="shared" si="50"/>
        <v>375.90515471069011</v>
      </c>
    </row>
    <row r="93" spans="2:15" x14ac:dyDescent="0.55000000000000004">
      <c r="B93" t="s">
        <v>3212</v>
      </c>
      <c r="D93" s="598">
        <f>D132</f>
        <v>75</v>
      </c>
      <c r="E93" s="598">
        <f>E132</f>
        <v>179.95240000000001</v>
      </c>
      <c r="F93" s="598">
        <f>F132</f>
        <v>453.81864999999999</v>
      </c>
      <c r="G93" s="44">
        <f>SUM(Quarts!W284:Z284)</f>
        <v>636.24930382962975</v>
      </c>
      <c r="H93" s="4">
        <f>H145</f>
        <v>417.90600000000001</v>
      </c>
      <c r="I93" s="4">
        <f t="shared" ref="I93:O93" si="51">I145</f>
        <v>478.88249999999999</v>
      </c>
      <c r="J93" s="4">
        <f t="shared" si="51"/>
        <v>895.05150000000003</v>
      </c>
      <c r="K93" s="4">
        <f t="shared" si="51"/>
        <v>1160.6458499999999</v>
      </c>
      <c r="L93" s="4">
        <f t="shared" si="51"/>
        <v>1388.0827274999999</v>
      </c>
      <c r="M93" s="4">
        <f t="shared" si="51"/>
        <v>1712.1671366249998</v>
      </c>
      <c r="N93" s="4">
        <f t="shared" si="51"/>
        <v>2048.8642071187496</v>
      </c>
      <c r="O93" s="4">
        <f t="shared" si="51"/>
        <v>2400.0658381865619</v>
      </c>
    </row>
    <row r="94" spans="2:15" x14ac:dyDescent="0.55000000000000004">
      <c r="B94" s="1" t="s">
        <v>3213</v>
      </c>
      <c r="C94" s="1"/>
      <c r="D94" s="599"/>
      <c r="E94" s="599">
        <f>E95-E92-E93</f>
        <v>73.75070821738143</v>
      </c>
      <c r="F94" s="599">
        <f>F95-F92-F93</f>
        <v>123.22591125479011</v>
      </c>
      <c r="G94" s="45">
        <f>SUM(Quarts!W289:Z289)</f>
        <v>274.68076874999986</v>
      </c>
      <c r="H94" s="6">
        <f>H161</f>
        <v>319.81977213541666</v>
      </c>
      <c r="I94" s="6">
        <f t="shared" ref="I94:O94" si="52">I161</f>
        <v>280.48262138671873</v>
      </c>
      <c r="J94" s="6">
        <f t="shared" si="52"/>
        <v>254.06662230468754</v>
      </c>
      <c r="K94" s="6">
        <f t="shared" si="52"/>
        <v>258.03031275000001</v>
      </c>
      <c r="L94" s="6">
        <f t="shared" si="52"/>
        <v>278.23217339531254</v>
      </c>
      <c r="M94" s="6">
        <f t="shared" si="52"/>
        <v>299.80914432328132</v>
      </c>
      <c r="N94" s="6">
        <f t="shared" si="52"/>
        <v>322.8482319105587</v>
      </c>
      <c r="O94" s="6">
        <f t="shared" si="52"/>
        <v>347.44170539575555</v>
      </c>
    </row>
    <row r="95" spans="2:15" x14ac:dyDescent="0.55000000000000004">
      <c r="B95" t="s">
        <v>294</v>
      </c>
      <c r="E95" s="44">
        <v>564.20000000000005</v>
      </c>
      <c r="F95" s="44">
        <v>916.9</v>
      </c>
      <c r="G95" s="44">
        <v>1414</v>
      </c>
      <c r="H95" s="4">
        <f>SUM(H92:H94)</f>
        <v>1059.6905256844539</v>
      </c>
      <c r="I95" s="4">
        <f t="shared" ref="I95:O95" si="53">SUM(I92:I94)</f>
        <v>1073.28075609703</v>
      </c>
      <c r="J95" s="4">
        <f t="shared" si="53"/>
        <v>1478.7295387505144</v>
      </c>
      <c r="K95" s="4">
        <f t="shared" si="53"/>
        <v>1757.5463268487993</v>
      </c>
      <c r="L95" s="4">
        <f t="shared" si="53"/>
        <v>2014.4438126470845</v>
      </c>
      <c r="M95" s="4">
        <f t="shared" si="53"/>
        <v>2369.363940353026</v>
      </c>
      <c r="N95" s="4">
        <f t="shared" si="53"/>
        <v>2738.358846087026</v>
      </c>
      <c r="O95" s="4">
        <f t="shared" si="53"/>
        <v>3123.4126982930075</v>
      </c>
    </row>
    <row r="96" spans="2:15" x14ac:dyDescent="0.55000000000000004">
      <c r="B96" s="10" t="s">
        <v>2564</v>
      </c>
      <c r="E96" s="4">
        <f>E95-E92</f>
        <v>253.70310821738144</v>
      </c>
      <c r="F96" s="4">
        <f t="shared" ref="F96:O96" si="54">F95-F92</f>
        <v>577.0445612547901</v>
      </c>
      <c r="G96" s="4">
        <f t="shared" si="54"/>
        <v>910.93007257962961</v>
      </c>
      <c r="H96" s="4">
        <f t="shared" si="54"/>
        <v>737.72577213541672</v>
      </c>
      <c r="I96" s="4">
        <f t="shared" si="54"/>
        <v>759.36512138671878</v>
      </c>
      <c r="J96" s="4">
        <f t="shared" si="54"/>
        <v>1149.1181223046876</v>
      </c>
      <c r="K96" s="4">
        <f t="shared" si="54"/>
        <v>1418.6761627499998</v>
      </c>
      <c r="L96" s="4">
        <f t="shared" si="54"/>
        <v>1666.3149008953123</v>
      </c>
      <c r="M96" s="4">
        <f t="shared" si="54"/>
        <v>2011.9762809482813</v>
      </c>
      <c r="N96" s="4">
        <f t="shared" si="54"/>
        <v>2371.7124390293084</v>
      </c>
      <c r="O96" s="4">
        <f t="shared" si="54"/>
        <v>2747.5075435823173</v>
      </c>
    </row>
    <row r="97" spans="2:15" x14ac:dyDescent="0.55000000000000004"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2:15" x14ac:dyDescent="0.55000000000000004">
      <c r="B98" s="23" t="s">
        <v>577</v>
      </c>
      <c r="G98" s="2"/>
      <c r="H98" s="2"/>
    </row>
    <row r="99" spans="2:15" x14ac:dyDescent="0.55000000000000004">
      <c r="B99" t="s">
        <v>28</v>
      </c>
      <c r="D99" s="2"/>
      <c r="E99" s="2">
        <f t="shared" ref="E99:O99" si="55">E92/E$95</f>
        <v>0.55033125094402446</v>
      </c>
      <c r="F99" s="2">
        <f t="shared" si="55"/>
        <v>0.37065703865766159</v>
      </c>
      <c r="G99" s="2">
        <f t="shared" si="55"/>
        <v>0.3557778836070512</v>
      </c>
      <c r="H99" s="2">
        <f t="shared" si="55"/>
        <v>0.30382903852148735</v>
      </c>
      <c r="I99" s="2">
        <f t="shared" si="55"/>
        <v>0.29248230989611779</v>
      </c>
      <c r="J99" s="2">
        <f t="shared" si="55"/>
        <v>0.22290175979330157</v>
      </c>
      <c r="K99" s="2">
        <f t="shared" si="55"/>
        <v>0.19280866678853253</v>
      </c>
      <c r="L99" s="2">
        <f t="shared" si="55"/>
        <v>0.17281639208110375</v>
      </c>
      <c r="M99" s="2">
        <f t="shared" si="55"/>
        <v>0.15083696232478974</v>
      </c>
      <c r="N99" s="2">
        <f t="shared" si="55"/>
        <v>0.13389275389587318</v>
      </c>
      <c r="O99" s="2">
        <f t="shared" si="55"/>
        <v>0.12035078006698506</v>
      </c>
    </row>
    <row r="100" spans="2:15" x14ac:dyDescent="0.55000000000000004">
      <c r="B100" t="s">
        <v>218</v>
      </c>
      <c r="D100" s="2"/>
      <c r="E100" s="2">
        <f t="shared" ref="E100:O100" si="56">E93/E$95</f>
        <v>0.31895143566111306</v>
      </c>
      <c r="F100" s="2">
        <f t="shared" si="56"/>
        <v>0.494948903915367</v>
      </c>
      <c r="G100" s="2">
        <f t="shared" si="56"/>
        <v>0.4499641469799362</v>
      </c>
      <c r="H100" s="2">
        <f t="shared" si="56"/>
        <v>0.39436608129536177</v>
      </c>
      <c r="I100" s="2">
        <f t="shared" si="56"/>
        <v>0.44618567628236372</v>
      </c>
      <c r="J100" s="2">
        <f t="shared" si="56"/>
        <v>0.60528411487356493</v>
      </c>
      <c r="K100" s="2">
        <f t="shared" si="56"/>
        <v>0.66037852446312761</v>
      </c>
      <c r="L100" s="2">
        <f t="shared" si="56"/>
        <v>0.68906500086293621</v>
      </c>
      <c r="M100" s="2">
        <f t="shared" si="56"/>
        <v>0.72262732941309704</v>
      </c>
      <c r="N100" s="2">
        <f t="shared" si="56"/>
        <v>0.74820880763909781</v>
      </c>
      <c r="O100" s="2">
        <f t="shared" si="56"/>
        <v>0.76841137243830582</v>
      </c>
    </row>
    <row r="101" spans="2:15" x14ac:dyDescent="0.55000000000000004">
      <c r="B101" s="1" t="s">
        <v>286</v>
      </c>
      <c r="C101" s="1"/>
      <c r="D101" s="30"/>
      <c r="E101" s="30">
        <f t="shared" ref="E101:O101" si="57">E94/E$95</f>
        <v>0.13071731339486251</v>
      </c>
      <c r="F101" s="30">
        <f t="shared" si="57"/>
        <v>0.13439405742697144</v>
      </c>
      <c r="G101" s="30">
        <f t="shared" si="57"/>
        <v>0.19425796941301263</v>
      </c>
      <c r="H101" s="30">
        <f t="shared" si="57"/>
        <v>0.30180488018315077</v>
      </c>
      <c r="I101" s="30">
        <f t="shared" si="57"/>
        <v>0.26133201382151838</v>
      </c>
      <c r="J101" s="30">
        <f t="shared" si="57"/>
        <v>0.17181412533313348</v>
      </c>
      <c r="K101" s="30">
        <f t="shared" si="57"/>
        <v>0.14681280874833988</v>
      </c>
      <c r="L101" s="30">
        <f t="shared" si="57"/>
        <v>0.13811860705595999</v>
      </c>
      <c r="M101" s="30">
        <f t="shared" si="57"/>
        <v>0.12653570826211313</v>
      </c>
      <c r="N101" s="30">
        <f t="shared" si="57"/>
        <v>0.11789843846502887</v>
      </c>
      <c r="O101" s="30">
        <f t="shared" si="57"/>
        <v>0.11123784749470915</v>
      </c>
    </row>
    <row r="102" spans="2:15" x14ac:dyDescent="0.55000000000000004">
      <c r="B102" t="s">
        <v>243</v>
      </c>
      <c r="D102" s="2"/>
      <c r="E102" s="2">
        <f t="shared" ref="E102:O102" si="58">E95/E$95</f>
        <v>1</v>
      </c>
      <c r="F102" s="2">
        <f t="shared" si="58"/>
        <v>1</v>
      </c>
      <c r="G102" s="2">
        <f t="shared" si="58"/>
        <v>1</v>
      </c>
      <c r="H102" s="2">
        <f t="shared" si="58"/>
        <v>1</v>
      </c>
      <c r="I102" s="2">
        <f t="shared" si="58"/>
        <v>1</v>
      </c>
      <c r="J102" s="2">
        <f t="shared" si="58"/>
        <v>1</v>
      </c>
      <c r="K102" s="2">
        <f t="shared" si="58"/>
        <v>1</v>
      </c>
      <c r="L102" s="2">
        <f t="shared" si="58"/>
        <v>1</v>
      </c>
      <c r="M102" s="2">
        <f t="shared" si="58"/>
        <v>1</v>
      </c>
      <c r="N102" s="2">
        <f t="shared" si="58"/>
        <v>1</v>
      </c>
      <c r="O102" s="2">
        <f t="shared" si="58"/>
        <v>1</v>
      </c>
    </row>
    <row r="103" spans="2:15" x14ac:dyDescent="0.55000000000000004"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 x14ac:dyDescent="0.55000000000000004">
      <c r="B104" s="20" t="s">
        <v>3225</v>
      </c>
      <c r="C104" s="20"/>
      <c r="D104" s="20">
        <f t="shared" ref="D104:O104" si="59">D2</f>
        <v>2019</v>
      </c>
      <c r="E104" s="20">
        <f t="shared" si="59"/>
        <v>2020</v>
      </c>
      <c r="F104" s="20">
        <f t="shared" si="59"/>
        <v>2021</v>
      </c>
      <c r="G104" s="20">
        <f t="shared" si="59"/>
        <v>2022</v>
      </c>
      <c r="H104" s="20">
        <f t="shared" si="59"/>
        <v>2023</v>
      </c>
      <c r="I104" s="20">
        <f t="shared" si="59"/>
        <v>2024</v>
      </c>
      <c r="J104" s="20">
        <f t="shared" si="59"/>
        <v>2025</v>
      </c>
      <c r="K104" s="20">
        <f t="shared" si="59"/>
        <v>2026</v>
      </c>
      <c r="L104" s="20">
        <f t="shared" si="59"/>
        <v>2027</v>
      </c>
      <c r="M104" s="20">
        <f t="shared" si="59"/>
        <v>2028</v>
      </c>
      <c r="N104" s="20">
        <f t="shared" si="59"/>
        <v>2029</v>
      </c>
      <c r="O104" s="20">
        <f t="shared" si="59"/>
        <v>2030</v>
      </c>
    </row>
    <row r="105" spans="2:15" x14ac:dyDescent="0.55000000000000004">
      <c r="B105" t="s">
        <v>3220</v>
      </c>
      <c r="D105" s="31">
        <v>375</v>
      </c>
      <c r="E105" s="31">
        <v>612</v>
      </c>
      <c r="F105" s="31">
        <v>1907</v>
      </c>
      <c r="G105" s="31">
        <v>2721</v>
      </c>
      <c r="H105" s="31">
        <v>2529</v>
      </c>
      <c r="I105" s="4">
        <f t="shared" ref="I105:O105" si="60">I134+I140</f>
        <v>2723.25</v>
      </c>
      <c r="J105" s="4">
        <f t="shared" si="60"/>
        <v>3493.1</v>
      </c>
      <c r="K105" s="4">
        <f t="shared" si="60"/>
        <v>4370.9650000000001</v>
      </c>
      <c r="L105" s="4">
        <f t="shared" si="60"/>
        <v>5305.5097499999993</v>
      </c>
      <c r="M105" s="4">
        <f t="shared" si="60"/>
        <v>6305.2362124999991</v>
      </c>
      <c r="N105" s="4">
        <f t="shared" si="60"/>
        <v>7379.9216443749983</v>
      </c>
      <c r="O105" s="4">
        <f t="shared" si="60"/>
        <v>8540.8098910312474</v>
      </c>
    </row>
    <row r="106" spans="2:15" x14ac:dyDescent="0.55000000000000004">
      <c r="B106" t="s">
        <v>7</v>
      </c>
      <c r="E106" s="2">
        <f t="shared" ref="E106:O106" si="61">E105/D105-1</f>
        <v>0.6319999999999999</v>
      </c>
      <c r="F106" s="2">
        <f t="shared" si="61"/>
        <v>2.1160130718954249</v>
      </c>
      <c r="G106" s="2">
        <f t="shared" si="61"/>
        <v>0.42684845306764552</v>
      </c>
      <c r="H106" s="2">
        <f t="shared" si="61"/>
        <v>-7.0562293274531451E-2</v>
      </c>
      <c r="I106" s="2">
        <f t="shared" si="61"/>
        <v>7.6809015421114957E-2</v>
      </c>
      <c r="J106" s="2">
        <f t="shared" si="61"/>
        <v>0.28269530891398142</v>
      </c>
      <c r="K106" s="2">
        <f t="shared" si="61"/>
        <v>0.25131401906615913</v>
      </c>
      <c r="L106" s="2">
        <f t="shared" si="61"/>
        <v>0.2138074201005955</v>
      </c>
      <c r="M106" s="2">
        <f t="shared" si="61"/>
        <v>0.18843174541334129</v>
      </c>
      <c r="N106" s="2">
        <f t="shared" si="61"/>
        <v>0.17044332609529489</v>
      </c>
      <c r="O106" s="2">
        <f t="shared" si="61"/>
        <v>0.15730360057970016</v>
      </c>
    </row>
    <row r="107" spans="2:15" x14ac:dyDescent="0.55000000000000004"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 x14ac:dyDescent="0.55000000000000004">
      <c r="B108" s="10" t="s">
        <v>2543</v>
      </c>
      <c r="E108" s="44">
        <f>330.8</f>
        <v>330.8</v>
      </c>
      <c r="F108" s="44">
        <f>1069.7</f>
        <v>1069.7</v>
      </c>
      <c r="G108" s="44">
        <v>743</v>
      </c>
      <c r="H108" s="44">
        <v>410</v>
      </c>
      <c r="I108" s="51"/>
      <c r="J108" s="51"/>
      <c r="K108" s="51"/>
      <c r="L108" s="51"/>
      <c r="M108" s="51"/>
      <c r="N108" s="51"/>
      <c r="O108" s="51"/>
    </row>
    <row r="109" spans="2:15" x14ac:dyDescent="0.55000000000000004">
      <c r="B109" s="10" t="s">
        <v>1097</v>
      </c>
      <c r="E109" s="12">
        <f>E108/(Acquirer!I7*1000)</f>
        <v>2.0477414576046214E-3</v>
      </c>
      <c r="F109" s="12">
        <f>F108/(Acquirer!J7*1000)</f>
        <v>4.2280632411067194E-3</v>
      </c>
      <c r="G109" s="12">
        <f>G108/(Acquirer!K7*1000)</f>
        <v>2.0988700564971751E-3</v>
      </c>
      <c r="H109" s="12">
        <f>H108/(Acquirer!L7*1000)</f>
        <v>1.0390268626457172E-3</v>
      </c>
      <c r="I109" s="12"/>
      <c r="J109" s="12"/>
      <c r="K109" s="12"/>
      <c r="L109" s="12"/>
      <c r="M109" s="12"/>
      <c r="N109" s="12"/>
      <c r="O109" s="12"/>
    </row>
    <row r="110" spans="2:15" x14ac:dyDescent="0.55000000000000004">
      <c r="B110" s="10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 x14ac:dyDescent="0.55000000000000004">
      <c r="B111" s="10" t="s">
        <v>2544</v>
      </c>
      <c r="E111" s="44">
        <v>23.5</v>
      </c>
      <c r="F111" s="44">
        <f>111.2</f>
        <v>111.2</v>
      </c>
      <c r="G111" s="44">
        <v>865</v>
      </c>
      <c r="H111" s="44">
        <v>1356</v>
      </c>
      <c r="I111" s="51"/>
      <c r="J111" s="51"/>
      <c r="K111" s="51"/>
      <c r="L111" s="51"/>
      <c r="M111" s="51"/>
      <c r="N111" s="51"/>
      <c r="O111" s="51"/>
    </row>
    <row r="112" spans="2:15" x14ac:dyDescent="0.55000000000000004">
      <c r="B112" s="10" t="s">
        <v>1097</v>
      </c>
      <c r="E112" s="12">
        <f>E111/(Acquirer!I7*1000)</f>
        <v>1.454713550595786E-4</v>
      </c>
      <c r="F112" s="12">
        <f>F111/(Acquirer!J7*1000)</f>
        <v>4.3952569169960473E-4</v>
      </c>
      <c r="G112" s="12">
        <f>G111/(Acquirer!K7*1000)</f>
        <v>2.443502824858757E-3</v>
      </c>
      <c r="H112" s="12"/>
      <c r="I112" s="12"/>
      <c r="J112" s="12"/>
      <c r="K112" s="12"/>
      <c r="L112" s="12"/>
      <c r="M112" s="12"/>
      <c r="N112" s="12"/>
      <c r="O112" s="12"/>
    </row>
    <row r="113" spans="2:15" x14ac:dyDescent="0.55000000000000004">
      <c r="B113" s="10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</row>
    <row r="114" spans="2:15" x14ac:dyDescent="0.55000000000000004">
      <c r="B114" s="10" t="s">
        <v>738</v>
      </c>
      <c r="E114" s="4">
        <f>E105-E111-E108</f>
        <v>257.7</v>
      </c>
      <c r="F114" s="4">
        <f>F105-F111-F108</f>
        <v>726.09999999999991</v>
      </c>
      <c r="G114" s="4">
        <f>G105-G111-G108</f>
        <v>1113</v>
      </c>
      <c r="H114" s="4">
        <f>H105-H111-H108</f>
        <v>763</v>
      </c>
      <c r="I114" s="51"/>
      <c r="J114" s="51"/>
      <c r="K114" s="51"/>
      <c r="L114" s="51"/>
      <c r="M114" s="51"/>
      <c r="N114" s="51"/>
      <c r="O114" s="51"/>
    </row>
    <row r="115" spans="2:15" x14ac:dyDescent="0.55000000000000004">
      <c r="B115" s="10" t="s">
        <v>227</v>
      </c>
      <c r="E115" s="2">
        <f>E114/E105</f>
        <v>0.42107843137254902</v>
      </c>
      <c r="F115" s="2">
        <f>F114/F105</f>
        <v>0.38075511274252749</v>
      </c>
      <c r="G115" s="2">
        <f>G114/G105</f>
        <v>0.40904079382579933</v>
      </c>
      <c r="H115" s="2">
        <f>H114/H105</f>
        <v>0.30170027678924477</v>
      </c>
      <c r="I115" s="2"/>
      <c r="J115" s="2"/>
      <c r="K115" s="2"/>
      <c r="L115" s="2"/>
      <c r="M115" s="2"/>
      <c r="N115" s="2"/>
      <c r="O115" s="2"/>
    </row>
    <row r="117" spans="2:15" x14ac:dyDescent="0.55000000000000004">
      <c r="B117" t="s">
        <v>2492</v>
      </c>
      <c r="F117" s="31">
        <f>Quarts!V254</f>
        <v>437</v>
      </c>
      <c r="G117" s="31">
        <f>Quarts!Z254</f>
        <v>985</v>
      </c>
      <c r="H117" s="31">
        <v>585</v>
      </c>
      <c r="I117" s="51">
        <v>250</v>
      </c>
    </row>
    <row r="118" spans="2:15" x14ac:dyDescent="0.55000000000000004">
      <c r="B118" t="s">
        <v>1106</v>
      </c>
      <c r="F118" s="2">
        <f>F117/F105</f>
        <v>0.22915574200314631</v>
      </c>
      <c r="G118" s="2">
        <f>G117/G105</f>
        <v>0.36199926497611173</v>
      </c>
      <c r="H118" s="2">
        <f>H117/H105</f>
        <v>0.23131672597864769</v>
      </c>
      <c r="I118" s="2">
        <f>I117/I105</f>
        <v>9.1802074726888824E-2</v>
      </c>
    </row>
    <row r="120" spans="2:15" x14ac:dyDescent="0.55000000000000004">
      <c r="B120" s="546" t="s">
        <v>3221</v>
      </c>
      <c r="C120" s="546"/>
      <c r="D120" s="546"/>
      <c r="E120" s="546"/>
      <c r="F120" s="546"/>
      <c r="G120" s="546">
        <f>G105-G117</f>
        <v>1736</v>
      </c>
      <c r="H120" s="546">
        <f>H105-H117</f>
        <v>1944</v>
      </c>
      <c r="I120" s="603">
        <f>I105-I117</f>
        <v>2473.25</v>
      </c>
      <c r="J120" s="546"/>
      <c r="K120" s="546"/>
      <c r="L120" s="546"/>
      <c r="M120" s="546"/>
      <c r="N120" s="546"/>
      <c r="O120" s="546"/>
    </row>
    <row r="122" spans="2:15" hidden="1" outlineLevel="1" x14ac:dyDescent="0.55000000000000004">
      <c r="B122" t="s">
        <v>288</v>
      </c>
      <c r="E122" s="28">
        <v>0.13200000000000001</v>
      </c>
      <c r="F122" s="14">
        <f t="shared" ref="F122:O122" si="62">F123*F67</f>
        <v>0.26146000000000003</v>
      </c>
      <c r="G122" s="14">
        <f t="shared" si="62"/>
        <v>0.40500000000000003</v>
      </c>
      <c r="H122" s="14">
        <f t="shared" si="62"/>
        <v>0.52080000000000004</v>
      </c>
      <c r="I122" s="14">
        <f t="shared" si="62"/>
        <v>0.60550000000000004</v>
      </c>
      <c r="J122" s="14">
        <f t="shared" si="62"/>
        <v>0.71200000000000008</v>
      </c>
      <c r="K122" s="14">
        <f t="shared" si="62"/>
        <v>0.82350000000000001</v>
      </c>
      <c r="L122" s="14">
        <f t="shared" si="62"/>
        <v>0.94</v>
      </c>
      <c r="M122" s="14">
        <f t="shared" si="62"/>
        <v>1.01325</v>
      </c>
      <c r="N122" s="14">
        <f t="shared" si="62"/>
        <v>1.089</v>
      </c>
      <c r="O122" s="14">
        <f t="shared" si="62"/>
        <v>1.1672500000000001</v>
      </c>
    </row>
    <row r="123" spans="2:15" hidden="1" outlineLevel="1" x14ac:dyDescent="0.55000000000000004">
      <c r="B123" t="s">
        <v>746</v>
      </c>
      <c r="E123" s="12">
        <f>E122/E67</f>
        <v>1.6783216783216783E-2</v>
      </c>
      <c r="F123" s="40">
        <v>0.02</v>
      </c>
      <c r="G123" s="40">
        <v>2.5000000000000001E-2</v>
      </c>
      <c r="H123" s="40">
        <v>3.1E-2</v>
      </c>
      <c r="I123" s="40">
        <v>3.5000000000000003E-2</v>
      </c>
      <c r="J123" s="40">
        <f>I123+0.5%</f>
        <v>0.04</v>
      </c>
      <c r="K123" s="40">
        <f>J123+0.5%</f>
        <v>4.4999999999999998E-2</v>
      </c>
      <c r="L123" s="40">
        <f>K123+0.5%</f>
        <v>4.9999999999999996E-2</v>
      </c>
      <c r="M123" s="40">
        <f>L123+0.25%</f>
        <v>5.2499999999999998E-2</v>
      </c>
      <c r="N123" s="40">
        <f>M123+0.25%</f>
        <v>5.5E-2</v>
      </c>
      <c r="O123" s="40">
        <f>N123+0.25%</f>
        <v>5.7500000000000002E-2</v>
      </c>
    </row>
    <row r="124" spans="2:15" hidden="1" outlineLevel="1" x14ac:dyDescent="0.55000000000000004">
      <c r="B124" t="s">
        <v>747</v>
      </c>
      <c r="E124" s="12">
        <f>E122/(Acquirer!H90/1000)</f>
        <v>2.5052192066805846E-2</v>
      </c>
      <c r="F124" s="12">
        <f>F122/(Acquirer!I90/1000)</f>
        <v>3.7171164354806767E-2</v>
      </c>
      <c r="G124" s="12">
        <f>G122/(Acquirer!J90/1000)</f>
        <v>5.2645261926426629E-2</v>
      </c>
      <c r="H124" s="12">
        <f>H122/(Acquirer!K90/1000)</f>
        <v>7.3352112676056347E-2</v>
      </c>
      <c r="I124" s="12">
        <f>I122/(Acquirer!L90/1000)</f>
        <v>9.3153846153846157E-2</v>
      </c>
      <c r="J124" s="12">
        <f>J122/(Acquirer!M90/1000)</f>
        <v>0.10787878787878789</v>
      </c>
      <c r="K124" s="12">
        <f>K122/(Acquirer!N90/1000)</f>
        <v>0.12110294117647059</v>
      </c>
      <c r="L124" s="12">
        <f>L122/(Acquirer!O90/1000)</f>
        <v>0.13428571428571429</v>
      </c>
      <c r="M124" s="12">
        <f>M122/(Acquirer!P90/1000)</f>
        <v>0.14072916666666666</v>
      </c>
      <c r="N124" s="12">
        <f>N122/(Acquirer!Q90/1000)</f>
        <v>0.14716216216216216</v>
      </c>
      <c r="O124" s="12">
        <f>O122/(Acquirer!R90/1000)</f>
        <v>0.15358552631578951</v>
      </c>
    </row>
    <row r="125" spans="2:15" hidden="1" outlineLevel="1" x14ac:dyDescent="0.55000000000000004"/>
    <row r="126" spans="2:15" hidden="1" outlineLevel="1" x14ac:dyDescent="0.55000000000000004">
      <c r="B126" t="s">
        <v>289</v>
      </c>
      <c r="E126" s="4">
        <f>E111/E122</f>
        <v>178.03030303030303</v>
      </c>
      <c r="F126" s="4">
        <f>F111/F122</f>
        <v>425.30406180677727</v>
      </c>
      <c r="G126" s="4">
        <f>(1+G127)*F126</f>
        <v>467.83446798745501</v>
      </c>
      <c r="H126" s="4">
        <f t="shared" ref="H126:O126" si="63">(1+H127)*G126</f>
        <v>421.05102118870951</v>
      </c>
      <c r="I126" s="4">
        <f t="shared" si="63"/>
        <v>421.05102118870951</v>
      </c>
      <c r="J126" s="4">
        <f t="shared" si="63"/>
        <v>421.05102118870951</v>
      </c>
      <c r="K126" s="4">
        <f t="shared" si="63"/>
        <v>421.05102118870951</v>
      </c>
      <c r="L126" s="4">
        <f t="shared" si="63"/>
        <v>421.05102118870951</v>
      </c>
      <c r="M126" s="4">
        <f t="shared" si="63"/>
        <v>421.05102118870951</v>
      </c>
      <c r="N126" s="4">
        <f t="shared" si="63"/>
        <v>421.05102118870951</v>
      </c>
      <c r="O126" s="4">
        <f t="shared" si="63"/>
        <v>421.05102118870951</v>
      </c>
    </row>
    <row r="127" spans="2:15" hidden="1" outlineLevel="1" x14ac:dyDescent="0.55000000000000004">
      <c r="B127" t="s">
        <v>7</v>
      </c>
      <c r="F127" s="2">
        <f>F126/E126-1</f>
        <v>1.3889419641912597</v>
      </c>
      <c r="G127" s="40">
        <v>0.1</v>
      </c>
      <c r="H127" s="40">
        <v>-0.1</v>
      </c>
      <c r="I127" s="40">
        <v>0</v>
      </c>
      <c r="J127" s="40">
        <v>0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</row>
    <row r="128" spans="2:15" hidden="1" outlineLevel="1" x14ac:dyDescent="0.55000000000000004">
      <c r="B128" t="s">
        <v>114</v>
      </c>
      <c r="E128" s="32">
        <v>5.7</v>
      </c>
      <c r="F128" s="32">
        <f>Valuation!C27</f>
        <v>5</v>
      </c>
      <c r="G128" s="32">
        <f>Valuation!C27</f>
        <v>5</v>
      </c>
      <c r="H128" s="36">
        <f t="shared" ref="H128:O128" si="64">G128*1.02</f>
        <v>5.0999999999999996</v>
      </c>
      <c r="I128" s="36">
        <f t="shared" si="64"/>
        <v>5.202</v>
      </c>
      <c r="J128" s="36">
        <f t="shared" si="64"/>
        <v>5.3060400000000003</v>
      </c>
      <c r="K128" s="36">
        <f t="shared" si="64"/>
        <v>5.4121608000000005</v>
      </c>
      <c r="L128" s="36">
        <f t="shared" si="64"/>
        <v>5.5204040160000005</v>
      </c>
      <c r="M128" s="36">
        <f t="shared" si="64"/>
        <v>5.6308120963200006</v>
      </c>
      <c r="N128" s="36">
        <f t="shared" si="64"/>
        <v>5.7434283382464004</v>
      </c>
      <c r="O128" s="36">
        <f t="shared" si="64"/>
        <v>5.8582969050113283</v>
      </c>
    </row>
    <row r="129" spans="2:15" hidden="1" outlineLevel="1" x14ac:dyDescent="0.55000000000000004">
      <c r="B129" t="s">
        <v>219</v>
      </c>
      <c r="E129" s="4">
        <f>E126/E128</f>
        <v>31.233386496544391</v>
      </c>
      <c r="F129" s="4">
        <f t="shared" ref="F129:O129" si="65">F126/F128</f>
        <v>85.06081236135546</v>
      </c>
      <c r="G129" s="4">
        <f t="shared" si="65"/>
        <v>93.566893597491003</v>
      </c>
      <c r="H129" s="4">
        <f t="shared" si="65"/>
        <v>82.55902376249206</v>
      </c>
      <c r="I129" s="4">
        <f t="shared" si="65"/>
        <v>80.940219374992211</v>
      </c>
      <c r="J129" s="4">
        <f t="shared" si="65"/>
        <v>79.353156249992367</v>
      </c>
      <c r="K129" s="4">
        <f t="shared" si="65"/>
        <v>77.797212009796439</v>
      </c>
      <c r="L129" s="4">
        <f t="shared" si="65"/>
        <v>76.271776480192585</v>
      </c>
      <c r="M129" s="4">
        <f t="shared" si="65"/>
        <v>74.776251451169202</v>
      </c>
      <c r="N129" s="4">
        <f t="shared" si="65"/>
        <v>73.310050442322748</v>
      </c>
      <c r="O129" s="4">
        <f t="shared" si="65"/>
        <v>71.872598472865434</v>
      </c>
    </row>
    <row r="130" spans="2:15" hidden="1" outlineLevel="1" x14ac:dyDescent="0.55000000000000004"/>
    <row r="131" spans="2:15" hidden="1" outlineLevel="1" x14ac:dyDescent="0.55000000000000004">
      <c r="B131" t="s">
        <v>1793</v>
      </c>
      <c r="D131" s="3">
        <v>0.4</v>
      </c>
      <c r="E131" s="12">
        <f>E132/AVERAGE(D105,E105)</f>
        <v>0.36464518743667684</v>
      </c>
      <c r="F131" s="12">
        <f>F132/AVERAGE(E105,F105)</f>
        <v>0.36031651448987695</v>
      </c>
      <c r="G131" s="12">
        <f>G132/AVERAGE(F105,G105)</f>
        <v>0.36653751214007663</v>
      </c>
      <c r="H131" s="40">
        <v>0.34499999999999997</v>
      </c>
      <c r="I131" s="40">
        <v>0.28000000000000003</v>
      </c>
      <c r="J131" s="40">
        <v>0.27500000000000002</v>
      </c>
      <c r="K131" s="40">
        <v>0.24</v>
      </c>
      <c r="L131" s="40">
        <v>0.24</v>
      </c>
      <c r="M131" s="40">
        <v>0.24</v>
      </c>
      <c r="N131" s="40">
        <v>0.24</v>
      </c>
      <c r="O131" s="40">
        <v>0.24</v>
      </c>
    </row>
    <row r="132" spans="2:15" hidden="1" outlineLevel="1" x14ac:dyDescent="0.55000000000000004">
      <c r="B132" t="s">
        <v>220</v>
      </c>
      <c r="D132" s="4">
        <f>D131*AVERAGE(C105,D105)*0.5</f>
        <v>75</v>
      </c>
      <c r="E132" s="4">
        <f>E171+E169</f>
        <v>179.95240000000001</v>
      </c>
      <c r="F132" s="4">
        <f>F171+F169</f>
        <v>453.81864999999999</v>
      </c>
      <c r="G132" s="4">
        <f>G171+G169</f>
        <v>848.16780309213732</v>
      </c>
      <c r="H132" s="4">
        <f t="shared" ref="H132:O132" si="66">H131*AVERAGE(G105,H105)</f>
        <v>905.62499999999989</v>
      </c>
      <c r="I132" s="4">
        <f t="shared" si="66"/>
        <v>735.31500000000005</v>
      </c>
      <c r="J132" s="4">
        <f t="shared" si="66"/>
        <v>854.74812500000007</v>
      </c>
      <c r="K132" s="4">
        <f t="shared" si="66"/>
        <v>943.68780000000004</v>
      </c>
      <c r="L132" s="4">
        <f t="shared" si="66"/>
        <v>1161.17697</v>
      </c>
      <c r="M132" s="4">
        <f t="shared" si="66"/>
        <v>1393.2895154999997</v>
      </c>
      <c r="N132" s="4">
        <f t="shared" si="66"/>
        <v>1642.2189428249997</v>
      </c>
      <c r="O132" s="4">
        <f t="shared" si="66"/>
        <v>1910.4877842487492</v>
      </c>
    </row>
    <row r="133" spans="2:15" hidden="1" outlineLevel="1" x14ac:dyDescent="0.55000000000000004"/>
    <row r="134" spans="2:15" collapsed="1" x14ac:dyDescent="0.55000000000000004">
      <c r="B134" t="s">
        <v>3222</v>
      </c>
      <c r="E134" s="4"/>
      <c r="F134" s="4"/>
      <c r="G134" s="4">
        <f>G135*G105</f>
        <v>1088.4000000000001</v>
      </c>
      <c r="H134" s="589">
        <v>1555</v>
      </c>
      <c r="I134" s="4">
        <f t="shared" ref="I134:O134" si="67">(1+I136)*H134</f>
        <v>2099.25</v>
      </c>
      <c r="J134" s="4">
        <f t="shared" si="67"/>
        <v>2519.1</v>
      </c>
      <c r="K134" s="4">
        <f t="shared" si="67"/>
        <v>2896.9649999999997</v>
      </c>
      <c r="L134" s="4">
        <f t="shared" si="67"/>
        <v>3331.5097499999993</v>
      </c>
      <c r="M134" s="4">
        <f t="shared" si="67"/>
        <v>3831.2362124999991</v>
      </c>
      <c r="N134" s="4">
        <f t="shared" si="67"/>
        <v>4405.9216443749983</v>
      </c>
      <c r="O134" s="4">
        <f t="shared" si="67"/>
        <v>5066.8098910312474</v>
      </c>
    </row>
    <row r="135" spans="2:15" x14ac:dyDescent="0.55000000000000004">
      <c r="B135" t="s">
        <v>227</v>
      </c>
      <c r="E135" s="4"/>
      <c r="F135" s="4"/>
      <c r="G135" s="35">
        <v>0.4</v>
      </c>
      <c r="H135" s="35">
        <v>0.65</v>
      </c>
      <c r="I135" s="600">
        <f t="shared" ref="I135:O135" si="68">I134/I105</f>
        <v>0.77086202148168548</v>
      </c>
      <c r="J135" s="600">
        <f t="shared" si="68"/>
        <v>0.72116458160373309</v>
      </c>
      <c r="K135" s="600">
        <f t="shared" si="68"/>
        <v>0.66277469620552887</v>
      </c>
      <c r="L135" s="600">
        <f t="shared" si="68"/>
        <v>0.62793396053979544</v>
      </c>
      <c r="M135" s="600">
        <f t="shared" si="68"/>
        <v>0.60762770551000977</v>
      </c>
      <c r="N135" s="600">
        <f t="shared" si="68"/>
        <v>0.59701469157646236</v>
      </c>
      <c r="O135" s="600">
        <f t="shared" si="68"/>
        <v>0.59324700533984875</v>
      </c>
    </row>
    <row r="136" spans="2:15" x14ac:dyDescent="0.55000000000000004">
      <c r="B136" t="s">
        <v>195</v>
      </c>
      <c r="E136" s="4"/>
      <c r="F136" s="4"/>
      <c r="G136" s="4"/>
      <c r="H136" s="589"/>
      <c r="I136" s="35">
        <v>0.35</v>
      </c>
      <c r="J136" s="35">
        <v>0.2</v>
      </c>
      <c r="K136" s="35">
        <v>0.15</v>
      </c>
      <c r="L136" s="35">
        <v>0.15</v>
      </c>
      <c r="M136" s="35">
        <v>0.15</v>
      </c>
      <c r="N136" s="35">
        <v>0.15</v>
      </c>
      <c r="O136" s="35">
        <v>0.15</v>
      </c>
    </row>
    <row r="137" spans="2:15" x14ac:dyDescent="0.55000000000000004">
      <c r="B137" t="s">
        <v>3217</v>
      </c>
      <c r="E137" s="4"/>
      <c r="F137" s="4"/>
      <c r="G137" s="35">
        <v>0.18</v>
      </c>
      <c r="H137" s="35">
        <v>0.18</v>
      </c>
      <c r="I137" s="35">
        <v>0.18</v>
      </c>
      <c r="J137" s="35">
        <v>0.18</v>
      </c>
      <c r="K137" s="35">
        <v>0.18</v>
      </c>
      <c r="L137" s="35">
        <v>0.18</v>
      </c>
      <c r="M137" s="35">
        <v>0.18</v>
      </c>
      <c r="N137" s="35">
        <v>0.18</v>
      </c>
      <c r="O137" s="35">
        <v>0.18</v>
      </c>
    </row>
    <row r="138" spans="2:15" x14ac:dyDescent="0.55000000000000004">
      <c r="B138" t="s">
        <v>3216</v>
      </c>
      <c r="E138" s="4"/>
      <c r="F138" s="4"/>
      <c r="G138" s="35"/>
      <c r="H138" s="4">
        <f t="shared" ref="H138:O138" si="69">H137*AVERAGE(G134,H134)</f>
        <v>237.90600000000001</v>
      </c>
      <c r="I138" s="4">
        <f t="shared" si="69"/>
        <v>328.88249999999999</v>
      </c>
      <c r="J138" s="4">
        <f t="shared" si="69"/>
        <v>415.6515</v>
      </c>
      <c r="K138" s="4">
        <f t="shared" si="69"/>
        <v>487.44584999999995</v>
      </c>
      <c r="L138" s="4">
        <f t="shared" si="69"/>
        <v>560.56272749999994</v>
      </c>
      <c r="M138" s="4">
        <f t="shared" si="69"/>
        <v>644.6471366249998</v>
      </c>
      <c r="N138" s="4">
        <f t="shared" si="69"/>
        <v>741.34420711874975</v>
      </c>
      <c r="O138" s="4">
        <f t="shared" si="69"/>
        <v>852.54583818656204</v>
      </c>
    </row>
    <row r="139" spans="2:15" x14ac:dyDescent="0.55000000000000004">
      <c r="E139" s="4"/>
      <c r="F139" s="4"/>
      <c r="G139" s="35"/>
    </row>
    <row r="140" spans="2:15" x14ac:dyDescent="0.55000000000000004">
      <c r="B140" t="s">
        <v>3223</v>
      </c>
      <c r="E140" s="4"/>
      <c r="F140" s="4"/>
      <c r="G140" s="4">
        <f>G105-G134</f>
        <v>1632.6</v>
      </c>
      <c r="H140" s="4">
        <f>H105-H134</f>
        <v>974</v>
      </c>
      <c r="I140" s="4">
        <f t="shared" ref="I140:O140" si="70">H140+I141</f>
        <v>624</v>
      </c>
      <c r="J140" s="4">
        <f t="shared" si="70"/>
        <v>974</v>
      </c>
      <c r="K140" s="4">
        <f t="shared" si="70"/>
        <v>1474</v>
      </c>
      <c r="L140" s="4">
        <f t="shared" si="70"/>
        <v>1974</v>
      </c>
      <c r="M140" s="4">
        <f t="shared" si="70"/>
        <v>2474</v>
      </c>
      <c r="N140" s="4">
        <f t="shared" si="70"/>
        <v>2974</v>
      </c>
      <c r="O140" s="4">
        <f t="shared" si="70"/>
        <v>3474</v>
      </c>
    </row>
    <row r="141" spans="2:15" x14ac:dyDescent="0.55000000000000004">
      <c r="B141" t="s">
        <v>3224</v>
      </c>
      <c r="E141" s="4"/>
      <c r="F141" s="4"/>
      <c r="G141" s="4"/>
      <c r="H141" s="589"/>
      <c r="I141" s="589">
        <v>-350</v>
      </c>
      <c r="J141" s="589">
        <v>350</v>
      </c>
      <c r="K141" s="589">
        <v>500</v>
      </c>
      <c r="L141" s="589">
        <v>500</v>
      </c>
      <c r="M141" s="589">
        <v>500</v>
      </c>
      <c r="N141" s="589">
        <v>500</v>
      </c>
      <c r="O141" s="589">
        <v>500</v>
      </c>
    </row>
    <row r="142" spans="2:15" x14ac:dyDescent="0.55000000000000004">
      <c r="B142" t="s">
        <v>3218</v>
      </c>
      <c r="E142" s="4"/>
      <c r="F142" s="4"/>
      <c r="G142" s="4"/>
      <c r="H142" s="35">
        <v>0.48</v>
      </c>
      <c r="I142" s="35">
        <v>0.48</v>
      </c>
      <c r="J142" s="35">
        <v>0.6</v>
      </c>
      <c r="K142" s="35">
        <v>0.55000000000000004</v>
      </c>
      <c r="L142" s="35">
        <v>0.48</v>
      </c>
      <c r="M142" s="35">
        <v>0.48</v>
      </c>
      <c r="N142" s="35">
        <v>0.48</v>
      </c>
      <c r="O142" s="35">
        <v>0.48</v>
      </c>
    </row>
    <row r="143" spans="2:15" x14ac:dyDescent="0.55000000000000004">
      <c r="B143" t="s">
        <v>3219</v>
      </c>
      <c r="E143" s="4"/>
      <c r="F143" s="4"/>
      <c r="G143" s="4"/>
      <c r="H143" s="589">
        <v>180</v>
      </c>
      <c r="I143" s="589">
        <v>150</v>
      </c>
      <c r="J143" s="4">
        <f t="shared" ref="J143:O143" si="71">J142*AVERAGE(I140,J140)</f>
        <v>479.4</v>
      </c>
      <c r="K143" s="4">
        <f t="shared" si="71"/>
        <v>673.2</v>
      </c>
      <c r="L143" s="4">
        <f t="shared" si="71"/>
        <v>827.52</v>
      </c>
      <c r="M143" s="4">
        <f t="shared" si="71"/>
        <v>1067.52</v>
      </c>
      <c r="N143" s="4">
        <f t="shared" si="71"/>
        <v>1307.52</v>
      </c>
      <c r="O143" s="4">
        <f t="shared" si="71"/>
        <v>1547.52</v>
      </c>
    </row>
    <row r="144" spans="2:15" x14ac:dyDescent="0.55000000000000004"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2:15" x14ac:dyDescent="0.55000000000000004">
      <c r="B145" s="546" t="s">
        <v>3230</v>
      </c>
      <c r="C145" s="546"/>
      <c r="D145" s="546"/>
      <c r="E145" s="603"/>
      <c r="F145" s="603"/>
      <c r="G145" s="603"/>
      <c r="H145" s="603">
        <f>H138+H143</f>
        <v>417.90600000000001</v>
      </c>
      <c r="I145" s="603">
        <f t="shared" ref="I145:O145" si="72">I138+I143</f>
        <v>478.88249999999999</v>
      </c>
      <c r="J145" s="603">
        <f t="shared" si="72"/>
        <v>895.05150000000003</v>
      </c>
      <c r="K145" s="603">
        <f t="shared" si="72"/>
        <v>1160.6458499999999</v>
      </c>
      <c r="L145" s="603">
        <f t="shared" si="72"/>
        <v>1388.0827274999999</v>
      </c>
      <c r="M145" s="603">
        <f t="shared" si="72"/>
        <v>1712.1671366249998</v>
      </c>
      <c r="N145" s="603">
        <f t="shared" si="72"/>
        <v>2048.8642071187496</v>
      </c>
      <c r="O145" s="603">
        <f t="shared" si="72"/>
        <v>2400.0658381865619</v>
      </c>
    </row>
    <row r="146" spans="2:15" x14ac:dyDescent="0.55000000000000004"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2:15" x14ac:dyDescent="0.55000000000000004">
      <c r="B147" s="546" t="s">
        <v>3229</v>
      </c>
      <c r="C147" s="546"/>
      <c r="D147" s="546"/>
      <c r="E147" s="603"/>
      <c r="F147" s="603"/>
      <c r="G147" s="603">
        <f>G92</f>
        <v>503.06992742037039</v>
      </c>
      <c r="H147" s="603">
        <f>(1+H148)*G147</f>
        <v>321.96475354903708</v>
      </c>
      <c r="I147" s="603">
        <f t="shared" ref="I147:O147" si="73">(1+I148)*H147</f>
        <v>313.91563471031117</v>
      </c>
      <c r="J147" s="603">
        <f t="shared" si="73"/>
        <v>329.61141644582676</v>
      </c>
      <c r="K147" s="603">
        <f t="shared" si="73"/>
        <v>338.87016409879942</v>
      </c>
      <c r="L147" s="603">
        <f t="shared" si="73"/>
        <v>348.12891175177208</v>
      </c>
      <c r="M147" s="603">
        <f t="shared" si="73"/>
        <v>357.38765940474474</v>
      </c>
      <c r="N147" s="603">
        <f t="shared" si="73"/>
        <v>366.64640705771745</v>
      </c>
      <c r="O147" s="603">
        <f t="shared" si="73"/>
        <v>375.90515471069011</v>
      </c>
    </row>
    <row r="148" spans="2:15" x14ac:dyDescent="0.55000000000000004">
      <c r="B148" t="s">
        <v>763</v>
      </c>
      <c r="E148" s="4"/>
      <c r="F148" s="4"/>
      <c r="G148" s="4"/>
      <c r="H148" s="35">
        <v>-0.36</v>
      </c>
      <c r="I148" s="35">
        <v>-2.5000000000000001E-2</v>
      </c>
      <c r="J148" s="35">
        <v>0.05</v>
      </c>
      <c r="K148" s="2">
        <f>K67/J67-1</f>
        <v>2.8089887640449396E-2</v>
      </c>
      <c r="L148" s="2">
        <f>L67/K67-1</f>
        <v>2.732240437158473E-2</v>
      </c>
      <c r="M148" s="2">
        <f>M67/L67-1</f>
        <v>2.659574468085113E-2</v>
      </c>
      <c r="N148" s="2">
        <f>N67/M67-1</f>
        <v>2.5906735751295429E-2</v>
      </c>
      <c r="O148" s="2">
        <f>O67/N67-1</f>
        <v>2.5252525252525304E-2</v>
      </c>
    </row>
    <row r="149" spans="2:15" x14ac:dyDescent="0.55000000000000004"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2:15" x14ac:dyDescent="0.55000000000000004">
      <c r="B150" t="s">
        <v>3242</v>
      </c>
      <c r="E150" s="4">
        <f>Quarts!R203</f>
        <v>7864.6540000000005</v>
      </c>
      <c r="F150" s="4">
        <f>Quarts!V203</f>
        <v>13100</v>
      </c>
      <c r="G150" s="4">
        <f>Quarts!Z203</f>
        <v>16200</v>
      </c>
      <c r="H150" s="4">
        <f>G150+H151</f>
        <v>17000</v>
      </c>
      <c r="I150" s="4">
        <f>H150+I151</f>
        <v>17800</v>
      </c>
      <c r="J150" s="4">
        <f t="shared" ref="J150:O150" si="74">I150+J151</f>
        <v>18300</v>
      </c>
      <c r="K150" s="4">
        <f t="shared" si="74"/>
        <v>18800</v>
      </c>
      <c r="L150" s="4">
        <f t="shared" si="74"/>
        <v>19300</v>
      </c>
      <c r="M150" s="4">
        <f t="shared" si="74"/>
        <v>19800</v>
      </c>
      <c r="N150" s="4">
        <f t="shared" si="74"/>
        <v>20300</v>
      </c>
      <c r="O150" s="4">
        <f t="shared" si="74"/>
        <v>20800</v>
      </c>
    </row>
    <row r="151" spans="2:15" x14ac:dyDescent="0.55000000000000004">
      <c r="B151" t="s">
        <v>26</v>
      </c>
      <c r="E151" s="4"/>
      <c r="F151" s="4"/>
      <c r="G151" s="4">
        <f>G150-F150</f>
        <v>3100</v>
      </c>
      <c r="H151" s="51">
        <v>800</v>
      </c>
      <c r="I151" s="51">
        <v>800</v>
      </c>
      <c r="J151" s="51">
        <v>500</v>
      </c>
      <c r="K151" s="51">
        <v>500</v>
      </c>
      <c r="L151" s="51">
        <v>500</v>
      </c>
      <c r="M151" s="51">
        <v>500</v>
      </c>
      <c r="N151" s="51">
        <v>500</v>
      </c>
      <c r="O151" s="51">
        <v>500</v>
      </c>
    </row>
    <row r="152" spans="2:15" x14ac:dyDescent="0.55000000000000004"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2:15" x14ac:dyDescent="0.55000000000000004">
      <c r="B153" t="s">
        <v>343</v>
      </c>
      <c r="E153" s="4"/>
      <c r="F153" s="4">
        <f>Quarts!V298</f>
        <v>8800</v>
      </c>
      <c r="G153" s="4">
        <f>Quarts!Z298</f>
        <v>20700</v>
      </c>
      <c r="H153" s="4">
        <f>H150*H154/1000</f>
        <v>23242.777777777781</v>
      </c>
      <c r="I153" s="4">
        <f t="shared" ref="I153:O153" si="75">I150*I154/1000</f>
        <v>25553.383333333335</v>
      </c>
      <c r="J153" s="4">
        <f t="shared" si="75"/>
        <v>27584.733750000003</v>
      </c>
      <c r="K153" s="4">
        <f t="shared" si="75"/>
        <v>29755.335750000002</v>
      </c>
      <c r="L153" s="4">
        <f t="shared" si="75"/>
        <v>32074.036115625004</v>
      </c>
      <c r="M153" s="4">
        <f t="shared" si="75"/>
        <v>34550.218178437506</v>
      </c>
      <c r="N153" s="4">
        <f t="shared" si="75"/>
        <v>37193.833357242198</v>
      </c>
      <c r="O153" s="4">
        <f t="shared" si="75"/>
        <v>40015.434508481267</v>
      </c>
    </row>
    <row r="154" spans="2:15" x14ac:dyDescent="0.55000000000000004">
      <c r="B154" t="s">
        <v>3243</v>
      </c>
      <c r="E154" s="4"/>
      <c r="F154" s="4">
        <f>F153*1000/F150</f>
        <v>671.75572519083971</v>
      </c>
      <c r="G154" s="4">
        <f>G153*1000/G150</f>
        <v>1277.7777777777778</v>
      </c>
      <c r="H154" s="4">
        <f>(1+H155)*G154</f>
        <v>1367.2222222222224</v>
      </c>
      <c r="I154" s="4">
        <f>(1+I155)*H154</f>
        <v>1435.5833333333335</v>
      </c>
      <c r="J154" s="4">
        <f t="shared" ref="J154:O154" si="76">(1+J155)*I154</f>
        <v>1507.3625000000002</v>
      </c>
      <c r="K154" s="4">
        <f t="shared" si="76"/>
        <v>1582.7306250000001</v>
      </c>
      <c r="L154" s="4">
        <f t="shared" si="76"/>
        <v>1661.8671562500003</v>
      </c>
      <c r="M154" s="4">
        <f t="shared" si="76"/>
        <v>1744.9605140625004</v>
      </c>
      <c r="N154" s="4">
        <f t="shared" si="76"/>
        <v>1832.2085397656253</v>
      </c>
      <c r="O154" s="4">
        <f t="shared" si="76"/>
        <v>1923.8189667539068</v>
      </c>
    </row>
    <row r="155" spans="2:15" x14ac:dyDescent="0.55000000000000004">
      <c r="B155" t="s">
        <v>195</v>
      </c>
      <c r="E155" s="4"/>
      <c r="F155" s="4"/>
      <c r="G155" s="2">
        <f>G154/F154-1</f>
        <v>0.90214646464646475</v>
      </c>
      <c r="H155" s="5">
        <v>7.0000000000000007E-2</v>
      </c>
      <c r="I155" s="5">
        <v>0.05</v>
      </c>
      <c r="J155" s="5">
        <v>0.05</v>
      </c>
      <c r="K155" s="5">
        <v>0.05</v>
      </c>
      <c r="L155" s="5">
        <v>0.05</v>
      </c>
      <c r="M155" s="5">
        <v>0.05</v>
      </c>
      <c r="N155" s="5">
        <v>0.05</v>
      </c>
      <c r="O155" s="5">
        <v>0.05</v>
      </c>
    </row>
    <row r="156" spans="2:15" x14ac:dyDescent="0.55000000000000004"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2:15" x14ac:dyDescent="0.55000000000000004">
      <c r="B157" s="10" t="s">
        <v>3240</v>
      </c>
      <c r="E157" s="4"/>
      <c r="F157" s="4">
        <f>Quarts!V309</f>
        <v>5000</v>
      </c>
      <c r="G157" s="4">
        <f>Quarts!Z309</f>
        <v>8700</v>
      </c>
      <c r="H157" s="4">
        <f>H158*H153</f>
        <v>10459.250000000002</v>
      </c>
      <c r="I157" s="4">
        <f t="shared" ref="I157:O157" si="77">I158*I153</f>
        <v>11499.022500000001</v>
      </c>
      <c r="J157" s="4">
        <f t="shared" si="77"/>
        <v>12413.130187500001</v>
      </c>
      <c r="K157" s="4">
        <f t="shared" si="77"/>
        <v>13389.9010875</v>
      </c>
      <c r="L157" s="4">
        <f t="shared" si="77"/>
        <v>14433.316252031253</v>
      </c>
      <c r="M157" s="4">
        <f t="shared" si="77"/>
        <v>15547.598180296878</v>
      </c>
      <c r="N157" s="4">
        <f t="shared" si="77"/>
        <v>16737.22501075899</v>
      </c>
      <c r="O157" s="4">
        <f t="shared" si="77"/>
        <v>18006.94552881657</v>
      </c>
    </row>
    <row r="158" spans="2:15" x14ac:dyDescent="0.55000000000000004">
      <c r="B158" t="s">
        <v>520</v>
      </c>
      <c r="E158" s="4"/>
      <c r="F158" s="2">
        <f>F157/F153</f>
        <v>0.56818181818181823</v>
      </c>
      <c r="G158" s="2">
        <f>G157/G153</f>
        <v>0.42028985507246375</v>
      </c>
      <c r="H158" s="5">
        <v>0.45</v>
      </c>
      <c r="I158" s="5">
        <f>H158</f>
        <v>0.45</v>
      </c>
      <c r="J158" s="5">
        <f t="shared" ref="J158:O158" si="78">I158</f>
        <v>0.45</v>
      </c>
      <c r="K158" s="5">
        <f t="shared" si="78"/>
        <v>0.45</v>
      </c>
      <c r="L158" s="5">
        <f t="shared" si="78"/>
        <v>0.45</v>
      </c>
      <c r="M158" s="5">
        <f t="shared" si="78"/>
        <v>0.45</v>
      </c>
      <c r="N158" s="5">
        <f t="shared" si="78"/>
        <v>0.45</v>
      </c>
      <c r="O158" s="5">
        <f t="shared" si="78"/>
        <v>0.45</v>
      </c>
    </row>
    <row r="159" spans="2:15" x14ac:dyDescent="0.55000000000000004">
      <c r="B159" s="10" t="s">
        <v>3241</v>
      </c>
      <c r="E159" s="4"/>
      <c r="F159" s="4">
        <f>Quarts!Y315</f>
        <v>12668</v>
      </c>
      <c r="G159" s="4">
        <f>Quarts!Z315</f>
        <v>12000</v>
      </c>
      <c r="H159" s="4">
        <f>H153-H157</f>
        <v>12783.527777777779</v>
      </c>
      <c r="I159" s="4">
        <f t="shared" ref="I159:O159" si="79">I153-I157</f>
        <v>14054.360833333334</v>
      </c>
      <c r="J159" s="4">
        <f t="shared" si="79"/>
        <v>15171.603562500002</v>
      </c>
      <c r="K159" s="4">
        <f t="shared" si="79"/>
        <v>16365.434662500002</v>
      </c>
      <c r="L159" s="4">
        <f t="shared" si="79"/>
        <v>17640.719863593753</v>
      </c>
      <c r="M159" s="4">
        <f t="shared" si="79"/>
        <v>19002.619998140628</v>
      </c>
      <c r="N159" s="4">
        <f t="shared" si="79"/>
        <v>20456.608346483208</v>
      </c>
      <c r="O159" s="4">
        <f t="shared" si="79"/>
        <v>22008.488979664697</v>
      </c>
    </row>
    <row r="160" spans="2:15" x14ac:dyDescent="0.55000000000000004"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2:15" x14ac:dyDescent="0.55000000000000004">
      <c r="B161" s="546" t="s">
        <v>3249</v>
      </c>
      <c r="C161" s="546"/>
      <c r="D161" s="546"/>
      <c r="E161" s="603"/>
      <c r="F161" s="603"/>
      <c r="G161" s="603">
        <f>G94</f>
        <v>274.68076874999986</v>
      </c>
      <c r="H161" s="603">
        <f>H162*AVERAGE(G157,H157)</f>
        <v>319.81977213541666</v>
      </c>
      <c r="I161" s="603">
        <f t="shared" ref="I161:O161" si="80">I162*AVERAGE(H157,I157)</f>
        <v>280.48262138671873</v>
      </c>
      <c r="J161" s="603">
        <f t="shared" si="80"/>
        <v>254.06662230468754</v>
      </c>
      <c r="K161" s="603">
        <f t="shared" si="80"/>
        <v>258.03031275000001</v>
      </c>
      <c r="L161" s="603">
        <f t="shared" si="80"/>
        <v>278.23217339531254</v>
      </c>
      <c r="M161" s="603">
        <f t="shared" si="80"/>
        <v>299.80914432328132</v>
      </c>
      <c r="N161" s="603">
        <f t="shared" si="80"/>
        <v>322.8482319105587</v>
      </c>
      <c r="O161" s="603">
        <f t="shared" si="80"/>
        <v>347.44170539575555</v>
      </c>
    </row>
    <row r="162" spans="2:15" x14ac:dyDescent="0.55000000000000004">
      <c r="B162" t="s">
        <v>3248</v>
      </c>
      <c r="E162" s="4"/>
      <c r="F162" s="4"/>
      <c r="G162" s="12">
        <f>G161/AVERAGE(F157:G157)</f>
        <v>4.0099382299270049E-2</v>
      </c>
      <c r="H162" s="12">
        <f>(1-H164)*H163</f>
        <v>3.3385416666666667E-2</v>
      </c>
      <c r="I162" s="12">
        <f t="shared" ref="I162:O162" si="81">(1-I164)*I163</f>
        <v>2.5546874999999997E-2</v>
      </c>
      <c r="J162" s="12">
        <f t="shared" si="81"/>
        <v>2.1250000000000002E-2</v>
      </c>
      <c r="K162" s="12">
        <f t="shared" si="81"/>
        <v>0.02</v>
      </c>
      <c r="L162" s="12">
        <f t="shared" si="81"/>
        <v>0.02</v>
      </c>
      <c r="M162" s="12">
        <f t="shared" si="81"/>
        <v>0.02</v>
      </c>
      <c r="N162" s="12">
        <f t="shared" si="81"/>
        <v>0.02</v>
      </c>
      <c r="O162" s="12">
        <f t="shared" si="81"/>
        <v>0.02</v>
      </c>
    </row>
    <row r="163" spans="2:15" x14ac:dyDescent="0.55000000000000004">
      <c r="B163" t="s">
        <v>1440</v>
      </c>
      <c r="E163" s="4"/>
      <c r="F163" s="2">
        <f>F168</f>
        <v>4.6699999999999998E-2</v>
      </c>
      <c r="G163" s="2">
        <f t="shared" ref="G163:O163" si="82">G168</f>
        <v>0.1271252390199383</v>
      </c>
      <c r="H163" s="2">
        <f t="shared" si="82"/>
        <v>0.13354166666666667</v>
      </c>
      <c r="I163" s="2">
        <f t="shared" si="82"/>
        <v>0.10218749999999999</v>
      </c>
      <c r="J163" s="2">
        <f t="shared" si="82"/>
        <v>8.5000000000000006E-2</v>
      </c>
      <c r="K163" s="2">
        <f t="shared" si="82"/>
        <v>0.08</v>
      </c>
      <c r="L163" s="2">
        <f t="shared" si="82"/>
        <v>0.08</v>
      </c>
      <c r="M163" s="2">
        <f t="shared" si="82"/>
        <v>0.08</v>
      </c>
      <c r="N163" s="2">
        <f t="shared" si="82"/>
        <v>0.08</v>
      </c>
      <c r="O163" s="2">
        <f t="shared" si="82"/>
        <v>0.08</v>
      </c>
    </row>
    <row r="164" spans="2:15" x14ac:dyDescent="0.55000000000000004">
      <c r="B164" t="s">
        <v>3247</v>
      </c>
      <c r="E164" s="4"/>
      <c r="F164" s="2"/>
      <c r="G164" s="2">
        <f>(G163-G162)/G163</f>
        <v>0.68456789062177603</v>
      </c>
      <c r="H164" s="5">
        <v>0.75</v>
      </c>
      <c r="I164" s="5">
        <v>0.75</v>
      </c>
      <c r="J164" s="5">
        <v>0.75</v>
      </c>
      <c r="K164" s="5">
        <v>0.75</v>
      </c>
      <c r="L164" s="5">
        <v>0.75</v>
      </c>
      <c r="M164" s="5">
        <v>0.75</v>
      </c>
      <c r="N164" s="5">
        <v>0.75</v>
      </c>
      <c r="O164" s="5">
        <v>0.75</v>
      </c>
    </row>
    <row r="165" spans="2:15" x14ac:dyDescent="0.55000000000000004">
      <c r="B165" t="s">
        <v>3214</v>
      </c>
      <c r="E165" s="4"/>
      <c r="F165" s="2"/>
      <c r="G165" s="12">
        <f>G164-G163</f>
        <v>0.5574426516018377</v>
      </c>
      <c r="H165" s="40">
        <v>-3.5000000000000003E-2</v>
      </c>
      <c r="I165" s="40">
        <v>-0.03</v>
      </c>
      <c r="J165" s="40">
        <v>-0.03</v>
      </c>
      <c r="K165" s="40">
        <v>-0.03</v>
      </c>
      <c r="L165" s="40">
        <v>-0.03</v>
      </c>
      <c r="M165" s="40">
        <v>-0.03</v>
      </c>
      <c r="N165" s="40">
        <v>-0.03</v>
      </c>
      <c r="O165" s="40">
        <v>-0.03</v>
      </c>
    </row>
    <row r="166" spans="2:15" x14ac:dyDescent="0.55000000000000004"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8" spans="2:15" x14ac:dyDescent="0.55000000000000004">
      <c r="B168" t="s">
        <v>78</v>
      </c>
      <c r="D168" s="2">
        <f>E168</f>
        <v>2.7699999999999999E-2</v>
      </c>
      <c r="E168" s="3">
        <v>2.7699999999999999E-2</v>
      </c>
      <c r="F168" s="432">
        <v>4.6699999999999998E-2</v>
      </c>
      <c r="G168" s="54">
        <f>G169/AVERAGE(F105,G105)</f>
        <v>0.1271252390199383</v>
      </c>
      <c r="H168" s="54">
        <f>Quarts!AD97</f>
        <v>0.13354166666666667</v>
      </c>
      <c r="I168" s="54">
        <f>Quarts!AH97</f>
        <v>0.10218749999999999</v>
      </c>
      <c r="J168" s="432">
        <v>8.5000000000000006E-2</v>
      </c>
      <c r="K168" s="432">
        <v>0.08</v>
      </c>
      <c r="L168" s="432">
        <v>0.08</v>
      </c>
      <c r="M168" s="432">
        <v>0.08</v>
      </c>
      <c r="N168" s="432">
        <v>0.08</v>
      </c>
      <c r="O168" s="432">
        <v>0.08</v>
      </c>
    </row>
    <row r="169" spans="2:15" x14ac:dyDescent="0.55000000000000004">
      <c r="B169" t="s">
        <v>222</v>
      </c>
      <c r="D169" s="4">
        <f>D168*D105</f>
        <v>10.387499999999999</v>
      </c>
      <c r="E169" s="4">
        <f>E168*E105</f>
        <v>16.952400000000001</v>
      </c>
      <c r="F169" s="4">
        <f>F168*AVERAGE(E105,F105)</f>
        <v>58.818649999999998</v>
      </c>
      <c r="G169" s="44">
        <f>Quarts!W321+Quarts!X321+Quarts!Y321+Quarts!Z321</f>
        <v>294.16780309213726</v>
      </c>
      <c r="H169" s="4">
        <f t="shared" ref="H169:O169" si="83">H168*AVERAGE(G105,H105)</f>
        <v>350.546875</v>
      </c>
      <c r="I169" s="4">
        <f t="shared" si="83"/>
        <v>268.35714843749997</v>
      </c>
      <c r="J169" s="4">
        <f t="shared" si="83"/>
        <v>264.19487500000002</v>
      </c>
      <c r="K169" s="4">
        <f t="shared" si="83"/>
        <v>314.56260000000003</v>
      </c>
      <c r="L169" s="4">
        <f t="shared" si="83"/>
        <v>387.05898999999999</v>
      </c>
      <c r="M169" s="4">
        <f t="shared" si="83"/>
        <v>464.4298384999999</v>
      </c>
      <c r="N169" s="4">
        <f t="shared" si="83"/>
        <v>547.40631427499989</v>
      </c>
      <c r="O169" s="4">
        <f t="shared" si="83"/>
        <v>636.82926141624978</v>
      </c>
    </row>
    <row r="170" spans="2:15" x14ac:dyDescent="0.55000000000000004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2:15" x14ac:dyDescent="0.55000000000000004">
      <c r="B171" s="18" t="s">
        <v>1786</v>
      </c>
      <c r="C171" s="18"/>
      <c r="D171" s="18"/>
      <c r="E171" s="479">
        <v>163</v>
      </c>
      <c r="F171" s="479">
        <v>395</v>
      </c>
      <c r="G171" s="479">
        <v>554</v>
      </c>
      <c r="H171" s="95">
        <f t="shared" ref="H171:O171" si="84">H93+H94-H169</f>
        <v>387.17889713541672</v>
      </c>
      <c r="I171" s="95">
        <f t="shared" si="84"/>
        <v>491.00797294921881</v>
      </c>
      <c r="J171" s="95">
        <f t="shared" si="84"/>
        <v>884.92324730468761</v>
      </c>
      <c r="K171" s="95">
        <f t="shared" si="84"/>
        <v>1104.11356275</v>
      </c>
      <c r="L171" s="95">
        <f t="shared" si="84"/>
        <v>1279.2559108953124</v>
      </c>
      <c r="M171" s="95">
        <f t="shared" si="84"/>
        <v>1547.5464424482811</v>
      </c>
      <c r="N171" s="95">
        <f t="shared" si="84"/>
        <v>1824.3061247543085</v>
      </c>
      <c r="O171" s="95">
        <f t="shared" si="84"/>
        <v>2110.6782821660677</v>
      </c>
    </row>
    <row r="172" spans="2:15" x14ac:dyDescent="0.55000000000000004">
      <c r="B172" t="s">
        <v>2558</v>
      </c>
      <c r="E172" s="2">
        <f t="shared" ref="E172:O172" si="85">E171/AVERAGE(D105,E105)</f>
        <v>0.33029381965552179</v>
      </c>
      <c r="F172" s="2">
        <f t="shared" si="85"/>
        <v>0.31361651448987693</v>
      </c>
      <c r="G172" s="2">
        <f t="shared" si="85"/>
        <v>0.2394122731201383</v>
      </c>
      <c r="H172" s="2">
        <f t="shared" si="85"/>
        <v>0.14749672271825398</v>
      </c>
      <c r="I172" s="2">
        <f t="shared" si="85"/>
        <v>0.18697052613612025</v>
      </c>
      <c r="J172" s="2">
        <f t="shared" si="85"/>
        <v>0.28470830867138675</v>
      </c>
      <c r="K172" s="2">
        <f t="shared" si="85"/>
        <v>0.28079970416063449</v>
      </c>
      <c r="L172" s="2">
        <f t="shared" si="85"/>
        <v>0.26440536330553904</v>
      </c>
      <c r="M172" s="2">
        <f t="shared" si="85"/>
        <v>0.26657140677205332</v>
      </c>
      <c r="N172" s="2">
        <f t="shared" si="85"/>
        <v>0.26661089975485142</v>
      </c>
      <c r="O172" s="2">
        <f t="shared" si="85"/>
        <v>0.26514840445266136</v>
      </c>
    </row>
    <row r="173" spans="2:15" x14ac:dyDescent="0.55000000000000004"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 x14ac:dyDescent="0.55000000000000004">
      <c r="B174" t="s">
        <v>2568</v>
      </c>
      <c r="E174" s="4">
        <f>E92+E94</f>
        <v>384.24760000000003</v>
      </c>
      <c r="F174" s="4">
        <f>F92+F94</f>
        <v>463.08134999999999</v>
      </c>
      <c r="G174" s="4">
        <f>G92+G94</f>
        <v>777.75069617037025</v>
      </c>
      <c r="H174" s="4"/>
      <c r="I174" s="4"/>
      <c r="J174" s="4"/>
      <c r="K174" s="4"/>
      <c r="L174" s="4"/>
      <c r="M174" s="4"/>
      <c r="N174" s="4"/>
      <c r="O174" s="4"/>
    </row>
    <row r="175" spans="2:15" x14ac:dyDescent="0.55000000000000004"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 x14ac:dyDescent="0.55000000000000004">
      <c r="B176" t="s">
        <v>2552</v>
      </c>
      <c r="E176" s="4"/>
      <c r="F176" s="72">
        <f>F180-(F171-F182)-F174</f>
        <v>-378.08134999999999</v>
      </c>
      <c r="G176" s="72">
        <f>G180-(G171-G182)-G174</f>
        <v>-515.75069617037025</v>
      </c>
      <c r="H176" s="589">
        <v>63</v>
      </c>
      <c r="I176" s="589">
        <v>0</v>
      </c>
      <c r="J176" s="589">
        <v>0</v>
      </c>
      <c r="K176" s="589">
        <v>0</v>
      </c>
      <c r="L176" s="589">
        <v>0</v>
      </c>
      <c r="M176" s="589">
        <v>0</v>
      </c>
      <c r="N176" s="589">
        <v>0</v>
      </c>
      <c r="O176" s="589">
        <v>0</v>
      </c>
    </row>
    <row r="177" spans="2:15" x14ac:dyDescent="0.55000000000000004">
      <c r="B177" t="s">
        <v>2563</v>
      </c>
      <c r="E177" s="2"/>
      <c r="F177" s="2">
        <f>F176/F96</f>
        <v>-0.65520303870095875</v>
      </c>
      <c r="G177" s="2">
        <f>G176/G96</f>
        <v>-0.56618033776164034</v>
      </c>
      <c r="H177" s="40"/>
      <c r="I177" s="40"/>
      <c r="J177" s="40"/>
      <c r="K177" s="40"/>
      <c r="L177" s="40"/>
      <c r="M177" s="40"/>
      <c r="N177" s="40"/>
      <c r="O177" s="40"/>
    </row>
    <row r="178" spans="2:15" x14ac:dyDescent="0.55000000000000004"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 x14ac:dyDescent="0.55000000000000004">
      <c r="B179" t="s">
        <v>2554</v>
      </c>
      <c r="D179" s="2">
        <f>E179</f>
        <v>0.19</v>
      </c>
      <c r="E179" s="3">
        <v>0.19</v>
      </c>
      <c r="F179" s="2">
        <f>F180/F93</f>
        <v>0.62139358970813563</v>
      </c>
      <c r="G179" s="2">
        <f>G180/G93</f>
        <v>0.8612976025302489</v>
      </c>
      <c r="H179" s="40">
        <v>0.11</v>
      </c>
      <c r="I179" s="40">
        <v>0.1</v>
      </c>
      <c r="J179" s="40">
        <v>0.12</v>
      </c>
      <c r="K179" s="40">
        <v>0.14000000000000001</v>
      </c>
      <c r="L179" s="40">
        <v>0.12</v>
      </c>
      <c r="M179" s="40">
        <v>0.12</v>
      </c>
      <c r="N179" s="40">
        <v>0.12</v>
      </c>
      <c r="O179" s="40">
        <v>0.12</v>
      </c>
    </row>
    <row r="180" spans="2:15" x14ac:dyDescent="0.55000000000000004">
      <c r="B180" t="s">
        <v>221</v>
      </c>
      <c r="D180">
        <f>D179*D105</f>
        <v>71.25</v>
      </c>
      <c r="E180" s="4">
        <f>E179*E105</f>
        <v>116.28</v>
      </c>
      <c r="F180" s="44">
        <f>Quarts!V254-Quarts!R254</f>
        <v>282</v>
      </c>
      <c r="G180" s="44">
        <f>Analysis!H1263+Analysis!I1263+Analysis!J1263+Analysis!K1263</f>
        <v>548</v>
      </c>
      <c r="H180" s="44">
        <v>76</v>
      </c>
      <c r="I180" s="4">
        <f t="shared" ref="I180:O180" si="86">I179*I93</f>
        <v>47.888249999999999</v>
      </c>
      <c r="J180" s="4">
        <f t="shared" si="86"/>
        <v>107.40618000000001</v>
      </c>
      <c r="K180" s="4">
        <f t="shared" si="86"/>
        <v>162.490419</v>
      </c>
      <c r="L180" s="4">
        <f t="shared" si="86"/>
        <v>166.56992729999999</v>
      </c>
      <c r="M180" s="4">
        <f t="shared" si="86"/>
        <v>205.46005639499995</v>
      </c>
      <c r="N180" s="4">
        <f t="shared" si="86"/>
        <v>245.86370485424993</v>
      </c>
      <c r="O180" s="4">
        <f t="shared" si="86"/>
        <v>288.00790058238744</v>
      </c>
    </row>
    <row r="182" spans="2:15" x14ac:dyDescent="0.55000000000000004">
      <c r="B182" s="18" t="s">
        <v>1774</v>
      </c>
      <c r="F182" s="479">
        <v>198</v>
      </c>
      <c r="G182" s="479">
        <v>268</v>
      </c>
      <c r="H182" s="95">
        <f>H171+H174+H176-H180</f>
        <v>374.17889713541672</v>
      </c>
      <c r="I182" s="95">
        <f t="shared" ref="I182:O182" si="87">I171+I174+I176-I180</f>
        <v>443.11972294921884</v>
      </c>
      <c r="J182" s="95">
        <f t="shared" si="87"/>
        <v>777.51706730468754</v>
      </c>
      <c r="K182" s="95">
        <f t="shared" si="87"/>
        <v>941.62314375000005</v>
      </c>
      <c r="L182" s="95">
        <f t="shared" si="87"/>
        <v>1112.6859835953123</v>
      </c>
      <c r="M182" s="95">
        <f t="shared" si="87"/>
        <v>1342.0863860532811</v>
      </c>
      <c r="N182" s="95">
        <f t="shared" si="87"/>
        <v>1578.4424199000587</v>
      </c>
      <c r="O182" s="95">
        <f t="shared" si="87"/>
        <v>1822.6703815836802</v>
      </c>
    </row>
    <row r="183" spans="2:15" x14ac:dyDescent="0.55000000000000004">
      <c r="B183" t="s">
        <v>477</v>
      </c>
      <c r="F183" s="2">
        <f t="shared" ref="F183:O183" si="88">F182/F95</f>
        <v>0.21594503217362854</v>
      </c>
      <c r="G183" s="2">
        <f t="shared" si="88"/>
        <v>0.18953323903818953</v>
      </c>
      <c r="H183" s="2">
        <f t="shared" si="88"/>
        <v>0.35310205014217211</v>
      </c>
      <c r="I183" s="2">
        <f t="shared" si="88"/>
        <v>0.41286468655286185</v>
      </c>
      <c r="J183" s="2">
        <f t="shared" si="88"/>
        <v>0.52580072753646889</v>
      </c>
      <c r="K183" s="2">
        <f t="shared" si="88"/>
        <v>0.53576007036940387</v>
      </c>
      <c r="L183" s="2">
        <f t="shared" si="88"/>
        <v>0.55235394336126198</v>
      </c>
      <c r="M183" s="2">
        <f t="shared" si="88"/>
        <v>0.56643319466291675</v>
      </c>
      <c r="N183" s="2">
        <f t="shared" si="88"/>
        <v>0.57641912861624101</v>
      </c>
      <c r="O183" s="2">
        <f t="shared" si="88"/>
        <v>0.58355092895018235</v>
      </c>
    </row>
    <row r="185" spans="2:15" x14ac:dyDescent="0.55000000000000004">
      <c r="B185" t="s">
        <v>1794</v>
      </c>
      <c r="E185" s="4"/>
      <c r="F185" s="4">
        <f>F182-F187</f>
        <v>523</v>
      </c>
      <c r="G185" s="4">
        <f>G182-G187</f>
        <v>588</v>
      </c>
      <c r="H185" s="4">
        <f t="shared" ref="H185:O185" si="89">H186*H96</f>
        <v>346.73111290364585</v>
      </c>
      <c r="I185" s="4">
        <f t="shared" si="89"/>
        <v>265.77779248535154</v>
      </c>
      <c r="J185" s="4">
        <f t="shared" si="89"/>
        <v>287.27953057617191</v>
      </c>
      <c r="K185" s="4">
        <f t="shared" si="89"/>
        <v>354.66904068749994</v>
      </c>
      <c r="L185" s="4">
        <f t="shared" si="89"/>
        <v>416.57872522382809</v>
      </c>
      <c r="M185" s="4">
        <f t="shared" si="89"/>
        <v>502.99407023707033</v>
      </c>
      <c r="N185" s="4">
        <f t="shared" si="89"/>
        <v>592.92810975732709</v>
      </c>
      <c r="O185" s="4">
        <f t="shared" si="89"/>
        <v>686.87688589557933</v>
      </c>
    </row>
    <row r="186" spans="2:15" x14ac:dyDescent="0.55000000000000004">
      <c r="B186" t="s">
        <v>2563</v>
      </c>
      <c r="E186" s="2"/>
      <c r="F186" s="2">
        <f>F185/F96</f>
        <v>0.90634248222135638</v>
      </c>
      <c r="G186" s="2">
        <f>G185/G96</f>
        <v>0.64549411387293898</v>
      </c>
      <c r="H186" s="5">
        <v>0.47</v>
      </c>
      <c r="I186" s="5">
        <v>0.35</v>
      </c>
      <c r="J186" s="5">
        <v>0.25</v>
      </c>
      <c r="K186" s="5">
        <v>0.25</v>
      </c>
      <c r="L186" s="5">
        <v>0.25</v>
      </c>
      <c r="M186" s="5">
        <v>0.25</v>
      </c>
      <c r="N186" s="5">
        <v>0.25</v>
      </c>
      <c r="O186" s="5">
        <v>0.25</v>
      </c>
    </row>
    <row r="187" spans="2:15" x14ac:dyDescent="0.55000000000000004">
      <c r="B187" s="287" t="s">
        <v>2565</v>
      </c>
      <c r="C187" s="287"/>
      <c r="D187" s="549">
        <v>-127</v>
      </c>
      <c r="E187" s="549">
        <v>-151.72451435960377</v>
      </c>
      <c r="F187" s="549">
        <v>-325</v>
      </c>
      <c r="G187" s="549">
        <v>-320</v>
      </c>
      <c r="H187" s="540">
        <f t="shared" ref="H187:O187" si="90">H171-H185</f>
        <v>40.447784231770868</v>
      </c>
      <c r="I187" s="540">
        <f t="shared" si="90"/>
        <v>225.23018046386727</v>
      </c>
      <c r="J187" s="540">
        <f t="shared" si="90"/>
        <v>597.64371672851576</v>
      </c>
      <c r="K187" s="540">
        <f t="shared" si="90"/>
        <v>749.44452206250003</v>
      </c>
      <c r="L187" s="540">
        <f t="shared" si="90"/>
        <v>862.67718567148427</v>
      </c>
      <c r="M187" s="540">
        <f t="shared" si="90"/>
        <v>1044.5523722112107</v>
      </c>
      <c r="N187" s="540">
        <f t="shared" si="90"/>
        <v>1231.3780149969814</v>
      </c>
      <c r="O187" s="540">
        <f t="shared" si="90"/>
        <v>1423.8013962704883</v>
      </c>
    </row>
    <row r="188" spans="2:15" x14ac:dyDescent="0.55000000000000004">
      <c r="B188" t="s">
        <v>477</v>
      </c>
      <c r="F188" s="2">
        <f t="shared" ref="F188:O188" si="91">F187/F95</f>
        <v>-0.35445522957792563</v>
      </c>
      <c r="G188" s="2">
        <f t="shared" si="91"/>
        <v>-0.2263083451202263</v>
      </c>
      <c r="H188" s="2">
        <f t="shared" si="91"/>
        <v>3.8169430839863037E-2</v>
      </c>
      <c r="I188" s="2">
        <f t="shared" si="91"/>
        <v>0.20985206264473946</v>
      </c>
      <c r="J188" s="2">
        <f t="shared" si="91"/>
        <v>0.40416026126962218</v>
      </c>
      <c r="K188" s="2">
        <f t="shared" si="91"/>
        <v>0.42641523049137486</v>
      </c>
      <c r="L188" s="2">
        <f t="shared" si="91"/>
        <v>0.42824584148509026</v>
      </c>
      <c r="M188" s="2">
        <f t="shared" si="91"/>
        <v>0.44085771477368585</v>
      </c>
      <c r="N188" s="2">
        <f t="shared" si="91"/>
        <v>0.449677374006901</v>
      </c>
      <c r="O188" s="2">
        <f t="shared" si="91"/>
        <v>0.45584798865952536</v>
      </c>
    </row>
    <row r="190" spans="2:15" x14ac:dyDescent="0.55000000000000004">
      <c r="B190" t="s">
        <v>396</v>
      </c>
      <c r="E190" s="4">
        <f t="shared" ref="E190:O190" si="92">E191*E95</f>
        <v>11.284000000000001</v>
      </c>
      <c r="F190" s="4">
        <f t="shared" si="92"/>
        <v>18.338000000000001</v>
      </c>
      <c r="G190" s="4">
        <f t="shared" si="92"/>
        <v>28.28</v>
      </c>
      <c r="H190" s="4">
        <f t="shared" si="92"/>
        <v>21.193810513689076</v>
      </c>
      <c r="I190" s="4">
        <f t="shared" si="92"/>
        <v>21.465615121940601</v>
      </c>
      <c r="J190" s="4">
        <f t="shared" si="92"/>
        <v>29.574590775010289</v>
      </c>
      <c r="K190" s="4">
        <f t="shared" si="92"/>
        <v>35.150926536975987</v>
      </c>
      <c r="L190" s="4">
        <f t="shared" si="92"/>
        <v>40.288876252941691</v>
      </c>
      <c r="M190" s="4">
        <f t="shared" si="92"/>
        <v>47.387278807060518</v>
      </c>
      <c r="N190" s="4">
        <f t="shared" si="92"/>
        <v>54.767176921740521</v>
      </c>
      <c r="O190" s="4">
        <f t="shared" si="92"/>
        <v>62.46825396586015</v>
      </c>
    </row>
    <row r="191" spans="2:15" x14ac:dyDescent="0.55000000000000004">
      <c r="B191" t="s">
        <v>317</v>
      </c>
      <c r="E191" s="3">
        <v>0.02</v>
      </c>
      <c r="F191" s="3">
        <v>0.02</v>
      </c>
      <c r="G191" s="5">
        <f>F191</f>
        <v>0.02</v>
      </c>
      <c r="H191" s="5">
        <f t="shared" ref="H191:O191" si="93">G191</f>
        <v>0.02</v>
      </c>
      <c r="I191" s="5">
        <f t="shared" si="93"/>
        <v>0.02</v>
      </c>
      <c r="J191" s="5">
        <f t="shared" si="93"/>
        <v>0.02</v>
      </c>
      <c r="K191" s="5">
        <f t="shared" si="93"/>
        <v>0.02</v>
      </c>
      <c r="L191" s="5">
        <f t="shared" si="93"/>
        <v>0.02</v>
      </c>
      <c r="M191" s="5">
        <f t="shared" si="93"/>
        <v>0.02</v>
      </c>
      <c r="N191" s="5">
        <f t="shared" si="93"/>
        <v>0.02</v>
      </c>
      <c r="O191" s="5">
        <f t="shared" si="93"/>
        <v>0.02</v>
      </c>
    </row>
    <row r="192" spans="2:15" x14ac:dyDescent="0.55000000000000004">
      <c r="F192" s="4"/>
    </row>
    <row r="193" spans="2:15" x14ac:dyDescent="0.55000000000000004">
      <c r="B193" t="s">
        <v>476</v>
      </c>
      <c r="E193" s="4">
        <f>E187-E190</f>
        <v>-163.00851435960377</v>
      </c>
      <c r="F193" s="4">
        <f t="shared" ref="F193:O193" si="94">F187-F190</f>
        <v>-343.33800000000002</v>
      </c>
      <c r="G193" s="4">
        <f t="shared" si="94"/>
        <v>-348.28</v>
      </c>
      <c r="H193" s="4">
        <f t="shared" si="94"/>
        <v>19.253973718081792</v>
      </c>
      <c r="I193" s="4">
        <f t="shared" si="94"/>
        <v>203.76456534192667</v>
      </c>
      <c r="J193" s="4">
        <f t="shared" si="94"/>
        <v>568.06912595350548</v>
      </c>
      <c r="K193" s="4">
        <f t="shared" si="94"/>
        <v>714.2935955255241</v>
      </c>
      <c r="L193" s="4">
        <f t="shared" si="94"/>
        <v>822.38830941854258</v>
      </c>
      <c r="M193" s="4">
        <f t="shared" si="94"/>
        <v>997.16509340415018</v>
      </c>
      <c r="N193" s="4">
        <f t="shared" si="94"/>
        <v>1176.610838075241</v>
      </c>
      <c r="O193" s="4">
        <f t="shared" si="94"/>
        <v>1361.3331423046282</v>
      </c>
    </row>
    <row r="194" spans="2:15" x14ac:dyDescent="0.55000000000000004"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2:15" x14ac:dyDescent="0.55000000000000004">
      <c r="B195" t="s">
        <v>548</v>
      </c>
      <c r="E195" s="5">
        <v>0.34</v>
      </c>
      <c r="F195" s="5">
        <v>0.34</v>
      </c>
      <c r="G195" s="5">
        <v>0.34</v>
      </c>
      <c r="H195" s="5">
        <v>0.34</v>
      </c>
      <c r="I195" s="5">
        <v>0.34</v>
      </c>
      <c r="J195" s="5">
        <v>0.34</v>
      </c>
      <c r="K195" s="5">
        <v>0.34</v>
      </c>
      <c r="L195" s="5">
        <v>0.34</v>
      </c>
      <c r="M195" s="5">
        <v>0.34</v>
      </c>
      <c r="N195" s="5">
        <v>0.34</v>
      </c>
      <c r="O195" s="5">
        <v>0.34</v>
      </c>
    </row>
    <row r="197" spans="2:15" x14ac:dyDescent="0.55000000000000004">
      <c r="B197" t="s">
        <v>321</v>
      </c>
      <c r="E197" s="4">
        <f>E193-E199</f>
        <v>23.991485640396235</v>
      </c>
      <c r="F197" s="4">
        <f t="shared" ref="F197:O197" si="95">IF(F193&lt;0,0,(F195*F193))</f>
        <v>0</v>
      </c>
      <c r="G197" s="4">
        <f t="shared" si="95"/>
        <v>0</v>
      </c>
      <c r="H197" s="4">
        <f t="shared" si="95"/>
        <v>6.5463510641478093</v>
      </c>
      <c r="I197" s="4">
        <f t="shared" si="95"/>
        <v>69.279952216255069</v>
      </c>
      <c r="J197" s="4">
        <f t="shared" si="95"/>
        <v>193.14350282419187</v>
      </c>
      <c r="K197" s="4">
        <f t="shared" si="95"/>
        <v>242.85982247867821</v>
      </c>
      <c r="L197" s="4">
        <f t="shared" si="95"/>
        <v>279.61202520230449</v>
      </c>
      <c r="M197" s="4">
        <f t="shared" si="95"/>
        <v>339.03613175741111</v>
      </c>
      <c r="N197" s="4">
        <f t="shared" si="95"/>
        <v>400.04768494558198</v>
      </c>
      <c r="O197" s="4">
        <f t="shared" si="95"/>
        <v>462.85326838357361</v>
      </c>
    </row>
    <row r="199" spans="2:15" x14ac:dyDescent="0.55000000000000004">
      <c r="B199" t="s">
        <v>323</v>
      </c>
      <c r="E199" s="31">
        <v>-187</v>
      </c>
      <c r="F199" s="4">
        <f>F193-F197</f>
        <v>-343.33800000000002</v>
      </c>
      <c r="G199" s="4">
        <f t="shared" ref="G199:O199" si="96">G193-G197</f>
        <v>-348.28</v>
      </c>
      <c r="H199" s="4">
        <f t="shared" si="96"/>
        <v>12.707622653933981</v>
      </c>
      <c r="I199" s="4">
        <f t="shared" si="96"/>
        <v>134.48461312567161</v>
      </c>
      <c r="J199" s="4">
        <f t="shared" si="96"/>
        <v>374.92562312931364</v>
      </c>
      <c r="K199" s="4">
        <f t="shared" si="96"/>
        <v>471.43377304684589</v>
      </c>
      <c r="L199" s="4">
        <f t="shared" si="96"/>
        <v>542.77628421623808</v>
      </c>
      <c r="M199" s="4">
        <f t="shared" si="96"/>
        <v>658.12896164673907</v>
      </c>
      <c r="N199" s="4">
        <f t="shared" si="96"/>
        <v>776.56315312965899</v>
      </c>
      <c r="O199" s="4">
        <f t="shared" si="96"/>
        <v>898.4798739210546</v>
      </c>
    </row>
    <row r="200" spans="2:15" x14ac:dyDescent="0.55000000000000004">
      <c r="B200" t="s">
        <v>600</v>
      </c>
      <c r="E200" s="2" t="e">
        <f>E199/#REF!</f>
        <v>#REF!</v>
      </c>
      <c r="F200" s="2" t="e">
        <f>F199/#REF!</f>
        <v>#REF!</v>
      </c>
      <c r="G200" s="2" t="e">
        <f>G199/#REF!</f>
        <v>#REF!</v>
      </c>
      <c r="H200" s="2" t="e">
        <f>H199/#REF!</f>
        <v>#REF!</v>
      </c>
      <c r="I200" s="2" t="e">
        <f>I199/#REF!</f>
        <v>#REF!</v>
      </c>
      <c r="J200" s="2" t="e">
        <f>J199/#REF!</f>
        <v>#REF!</v>
      </c>
      <c r="K200" s="2" t="e">
        <f>K199/#REF!</f>
        <v>#REF!</v>
      </c>
      <c r="L200" s="2" t="e">
        <f>L199/#REF!</f>
        <v>#REF!</v>
      </c>
      <c r="M200" s="2" t="e">
        <f>M199/#REF!</f>
        <v>#REF!</v>
      </c>
      <c r="N200" s="2" t="e">
        <f>N199/#REF!</f>
        <v>#REF!</v>
      </c>
      <c r="O200" s="2" t="e">
        <f>O199/#REF!</f>
        <v>#REF!</v>
      </c>
    </row>
    <row r="201" spans="2:15" x14ac:dyDescent="0.55000000000000004">
      <c r="B201" t="s">
        <v>737</v>
      </c>
      <c r="E201" s="2">
        <f>E199/Master!H94</f>
        <v>-0.14468085106382983</v>
      </c>
      <c r="F201" s="2">
        <f>F199/Master!I94</f>
        <v>-0.29503995875225586</v>
      </c>
      <c r="G201" s="2">
        <f>G199/Master!J94</f>
        <v>-0.23113883727103807</v>
      </c>
      <c r="H201" s="2">
        <f>H199/Master!K94</f>
        <v>7.7584850442236914E-3</v>
      </c>
      <c r="I201" s="2">
        <f>I199/Master!L94</f>
        <v>6.5298028900934557E-2</v>
      </c>
      <c r="J201" s="2">
        <f>J199/Master!M94</f>
        <v>0.14395089965338242</v>
      </c>
      <c r="K201" s="2">
        <f>K199/Master!N94</f>
        <v>0.17169764659181372</v>
      </c>
      <c r="L201" s="2">
        <f>L199/Master!O94</f>
        <v>0.1880892770615715</v>
      </c>
      <c r="M201" s="2">
        <f>M199/Master!P94</f>
        <v>0.2056573229325358</v>
      </c>
      <c r="N201" s="2">
        <f>N199/Master!Q94</f>
        <v>0.23361875444143912</v>
      </c>
      <c r="O201" s="2">
        <f>O199/Master!R94</f>
        <v>0.26245451922809876</v>
      </c>
    </row>
    <row r="203" spans="2:15" x14ac:dyDescent="0.55000000000000004">
      <c r="B203" t="s">
        <v>759</v>
      </c>
      <c r="E203" s="4">
        <f>E199</f>
        <v>-187</v>
      </c>
      <c r="F203" s="4">
        <f t="shared" ref="F203:O203" si="97">F199</f>
        <v>-343.33800000000002</v>
      </c>
      <c r="G203" s="4">
        <f t="shared" si="97"/>
        <v>-348.28</v>
      </c>
      <c r="H203" s="4">
        <f t="shared" si="97"/>
        <v>12.707622653933981</v>
      </c>
      <c r="I203" s="4">
        <f t="shared" si="97"/>
        <v>134.48461312567161</v>
      </c>
      <c r="J203" s="4">
        <f t="shared" si="97"/>
        <v>374.92562312931364</v>
      </c>
      <c r="K203" s="4">
        <f t="shared" si="97"/>
        <v>471.43377304684589</v>
      </c>
      <c r="L203" s="4">
        <f t="shared" si="97"/>
        <v>542.77628421623808</v>
      </c>
      <c r="M203" s="4">
        <f t="shared" si="97"/>
        <v>658.12896164673907</v>
      </c>
      <c r="N203" s="4">
        <f t="shared" si="97"/>
        <v>776.56315312965899</v>
      </c>
      <c r="O203" s="4">
        <f t="shared" si="97"/>
        <v>898.4798739210546</v>
      </c>
    </row>
  </sheetData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3B73F-7E6A-4CA8-9A1A-C515F897EF9F}">
  <dimension ref="A2:K2320"/>
  <sheetViews>
    <sheetView topLeftCell="A2256" zoomScale="75" workbookViewId="0">
      <selection activeCell="D2279" sqref="D2279"/>
    </sheetView>
  </sheetViews>
  <sheetFormatPr defaultRowHeight="14.4" x14ac:dyDescent="0.55000000000000004"/>
  <cols>
    <col min="2" max="2" width="24.89453125" customWidth="1"/>
    <col min="3" max="4" width="12" customWidth="1"/>
    <col min="5" max="5" width="19" customWidth="1"/>
    <col min="6" max="6" width="52.41796875" customWidth="1"/>
    <col min="7" max="7" width="15.1015625" customWidth="1"/>
    <col min="8" max="8" width="11" customWidth="1"/>
    <col min="9" max="10" width="9.89453125" customWidth="1"/>
    <col min="11" max="11" width="10.3125" customWidth="1"/>
  </cols>
  <sheetData>
    <row r="2" spans="2:11" x14ac:dyDescent="0.55000000000000004">
      <c r="B2" s="129"/>
      <c r="C2" s="129"/>
      <c r="D2" s="129"/>
      <c r="E2" s="130" t="s">
        <v>28</v>
      </c>
      <c r="F2" s="130" t="s">
        <v>28</v>
      </c>
      <c r="G2" s="130" t="s">
        <v>166</v>
      </c>
      <c r="H2" s="130" t="s">
        <v>168</v>
      </c>
      <c r="I2" s="130" t="s">
        <v>39</v>
      </c>
      <c r="J2" s="129"/>
      <c r="K2" s="129"/>
    </row>
    <row r="3" spans="2:11" ht="14.7" thickBot="1" x14ac:dyDescent="0.6">
      <c r="B3" s="129" t="s">
        <v>170</v>
      </c>
      <c r="C3" s="129"/>
      <c r="D3" s="130" t="s">
        <v>27</v>
      </c>
      <c r="E3" s="130" t="s">
        <v>43</v>
      </c>
      <c r="F3" s="130" t="s">
        <v>45</v>
      </c>
      <c r="G3" s="130" t="s">
        <v>167</v>
      </c>
      <c r="H3" s="130" t="s">
        <v>169</v>
      </c>
      <c r="I3" s="130" t="s">
        <v>40</v>
      </c>
      <c r="J3" s="130" t="s">
        <v>29</v>
      </c>
      <c r="K3" s="130" t="s">
        <v>41</v>
      </c>
    </row>
    <row r="4" spans="2:11" ht="15.3" x14ac:dyDescent="0.55000000000000004">
      <c r="B4" s="156" t="s">
        <v>585</v>
      </c>
      <c r="C4" s="131"/>
      <c r="D4" s="132"/>
      <c r="E4" s="132"/>
      <c r="F4" s="133"/>
      <c r="G4" s="133"/>
      <c r="H4" s="131"/>
      <c r="I4" s="131"/>
      <c r="J4" s="131"/>
      <c r="K4" s="134"/>
    </row>
    <row r="5" spans="2:11" x14ac:dyDescent="0.55000000000000004">
      <c r="B5" s="142" t="s">
        <v>30</v>
      </c>
      <c r="C5" s="136"/>
      <c r="D5" s="154"/>
      <c r="E5" s="154"/>
      <c r="F5" s="155"/>
      <c r="G5" s="155"/>
      <c r="H5" s="136"/>
      <c r="I5" s="136"/>
      <c r="J5" s="136"/>
      <c r="K5" s="140"/>
    </row>
    <row r="6" spans="2:11" x14ac:dyDescent="0.55000000000000004">
      <c r="B6" s="135" t="s">
        <v>31</v>
      </c>
      <c r="C6" s="136"/>
      <c r="D6" s="137">
        <v>99.000000000000014</v>
      </c>
      <c r="E6" s="137">
        <f>D6</f>
        <v>99.000000000000014</v>
      </c>
      <c r="F6" s="137">
        <v>0</v>
      </c>
      <c r="G6" s="137">
        <v>0</v>
      </c>
      <c r="H6" s="138">
        <v>5</v>
      </c>
      <c r="I6" s="138">
        <f>E6-F6-H6-G6</f>
        <v>94.000000000000014</v>
      </c>
      <c r="J6" s="139">
        <f>I6/D6</f>
        <v>0.9494949494949495</v>
      </c>
      <c r="K6" s="140"/>
    </row>
    <row r="7" spans="2:11" x14ac:dyDescent="0.55000000000000004">
      <c r="B7" s="135" t="s">
        <v>32</v>
      </c>
      <c r="C7" s="136"/>
      <c r="D7" s="137">
        <v>189</v>
      </c>
      <c r="E7" s="137">
        <f>D7</f>
        <v>189</v>
      </c>
      <c r="F7" s="137">
        <v>0</v>
      </c>
      <c r="G7" s="137">
        <v>0</v>
      </c>
      <c r="H7" s="138">
        <v>5</v>
      </c>
      <c r="I7" s="138">
        <f>E7-F7-H7-G7</f>
        <v>184</v>
      </c>
      <c r="J7" s="139">
        <f>I7/D7</f>
        <v>0.97354497354497349</v>
      </c>
      <c r="K7" s="141" t="s">
        <v>580</v>
      </c>
    </row>
    <row r="8" spans="2:11" x14ac:dyDescent="0.55000000000000004">
      <c r="B8" s="142" t="s">
        <v>671</v>
      </c>
      <c r="C8" s="136"/>
      <c r="D8" s="137"/>
      <c r="E8" s="137"/>
      <c r="F8" s="143"/>
      <c r="G8" s="143"/>
      <c r="H8" s="138"/>
      <c r="I8" s="137"/>
      <c r="J8" s="136"/>
      <c r="K8" s="140"/>
    </row>
    <row r="9" spans="2:11" x14ac:dyDescent="0.55000000000000004">
      <c r="B9" s="135" t="s">
        <v>672</v>
      </c>
      <c r="C9" s="136"/>
      <c r="D9" s="137" t="s">
        <v>44</v>
      </c>
      <c r="E9" s="137">
        <v>150</v>
      </c>
      <c r="F9" s="138">
        <v>0</v>
      </c>
      <c r="G9" s="138">
        <v>30</v>
      </c>
      <c r="H9" s="138">
        <v>5</v>
      </c>
      <c r="I9" s="138">
        <f>E9-F9-H9-G9</f>
        <v>115</v>
      </c>
      <c r="J9" s="139">
        <f>I9/E9</f>
        <v>0.76666666666666672</v>
      </c>
      <c r="K9" s="141" t="s">
        <v>42</v>
      </c>
    </row>
    <row r="10" spans="2:11" x14ac:dyDescent="0.55000000000000004">
      <c r="B10" s="135" t="s">
        <v>673</v>
      </c>
      <c r="C10" s="136"/>
      <c r="D10" s="137" t="s">
        <v>44</v>
      </c>
      <c r="E10" s="137">
        <v>150</v>
      </c>
      <c r="F10" s="138">
        <v>0</v>
      </c>
      <c r="G10" s="138">
        <v>30</v>
      </c>
      <c r="H10" s="138">
        <v>5</v>
      </c>
      <c r="I10" s="138">
        <f>E10-F10-H10-G10</f>
        <v>115</v>
      </c>
      <c r="J10" s="139">
        <f>I10/E10</f>
        <v>0.76666666666666672</v>
      </c>
      <c r="K10" s="141" t="s">
        <v>579</v>
      </c>
    </row>
    <row r="11" spans="2:11" x14ac:dyDescent="0.55000000000000004">
      <c r="B11" s="135" t="s">
        <v>33</v>
      </c>
      <c r="C11" s="136"/>
      <c r="D11" s="137" t="s">
        <v>44</v>
      </c>
      <c r="E11" s="137">
        <v>150</v>
      </c>
      <c r="F11" s="138">
        <v>0</v>
      </c>
      <c r="G11" s="138">
        <v>30</v>
      </c>
      <c r="H11" s="138">
        <v>5</v>
      </c>
      <c r="I11" s="138">
        <f>E11-F11-H11-G11</f>
        <v>115</v>
      </c>
      <c r="J11" s="139">
        <f>I11/E11</f>
        <v>0.76666666666666672</v>
      </c>
      <c r="K11" s="141" t="s">
        <v>674</v>
      </c>
    </row>
    <row r="12" spans="2:11" ht="14.7" thickBot="1" x14ac:dyDescent="0.6">
      <c r="B12" s="135"/>
      <c r="C12" s="136"/>
      <c r="D12" s="137"/>
      <c r="E12" s="137"/>
      <c r="F12" s="138"/>
      <c r="G12" s="138"/>
      <c r="H12" s="138"/>
      <c r="I12" s="138"/>
      <c r="J12" s="139"/>
      <c r="K12" s="141"/>
    </row>
    <row r="13" spans="2:11" ht="15.3" x14ac:dyDescent="0.55000000000000004">
      <c r="B13" s="156" t="s">
        <v>586</v>
      </c>
      <c r="C13" s="131"/>
      <c r="D13" s="149"/>
      <c r="E13" s="149"/>
      <c r="F13" s="150"/>
      <c r="G13" s="150"/>
      <c r="H13" s="150"/>
      <c r="I13" s="150"/>
      <c r="J13" s="157"/>
      <c r="K13" s="158"/>
    </row>
    <row r="14" spans="2:11" x14ac:dyDescent="0.55000000000000004">
      <c r="B14" s="142" t="s">
        <v>578</v>
      </c>
      <c r="C14" s="136"/>
      <c r="D14" s="137"/>
      <c r="E14" s="137"/>
      <c r="F14" s="143"/>
      <c r="G14" s="143"/>
      <c r="H14" s="138"/>
      <c r="I14" s="137"/>
      <c r="J14" s="136"/>
      <c r="K14" s="140"/>
    </row>
    <row r="15" spans="2:11" x14ac:dyDescent="0.55000000000000004">
      <c r="B15" s="135" t="s">
        <v>34</v>
      </c>
      <c r="C15" s="136"/>
      <c r="D15" s="137">
        <v>199</v>
      </c>
      <c r="E15" s="137">
        <f>D15</f>
        <v>199</v>
      </c>
      <c r="F15" s="137">
        <v>50</v>
      </c>
      <c r="G15" s="137">
        <v>40</v>
      </c>
      <c r="H15" s="138">
        <v>5</v>
      </c>
      <c r="I15" s="138">
        <f>E15-F15-H15-G15</f>
        <v>104</v>
      </c>
      <c r="J15" s="139">
        <f>I15/D15</f>
        <v>0.52261306532663321</v>
      </c>
      <c r="K15" s="141" t="s">
        <v>587</v>
      </c>
    </row>
    <row r="16" spans="2:11" x14ac:dyDescent="0.55000000000000004">
      <c r="B16" s="135" t="s">
        <v>35</v>
      </c>
      <c r="C16" s="136"/>
      <c r="D16" s="137"/>
      <c r="E16" s="137"/>
      <c r="F16" s="143"/>
      <c r="G16" s="143"/>
      <c r="H16" s="138"/>
      <c r="I16" s="137"/>
      <c r="J16" s="136"/>
      <c r="K16" s="140"/>
    </row>
    <row r="17" spans="2:11" x14ac:dyDescent="0.55000000000000004">
      <c r="B17" s="151" t="s">
        <v>36</v>
      </c>
      <c r="C17" s="136"/>
      <c r="D17" s="137">
        <v>498.99999999999949</v>
      </c>
      <c r="E17" s="137">
        <f>D17</f>
        <v>498.99999999999949</v>
      </c>
      <c r="F17" s="137">
        <v>125</v>
      </c>
      <c r="G17" s="137">
        <v>40</v>
      </c>
      <c r="H17" s="138">
        <v>5</v>
      </c>
      <c r="I17" s="138">
        <f>E17-F17-H17-G17</f>
        <v>328.99999999999949</v>
      </c>
      <c r="J17" s="139">
        <f>I17/D17</f>
        <v>0.65931863727454876</v>
      </c>
      <c r="K17" s="140"/>
    </row>
    <row r="18" spans="2:11" x14ac:dyDescent="0.55000000000000004">
      <c r="B18" s="151" t="s">
        <v>37</v>
      </c>
      <c r="C18" s="136"/>
      <c r="D18" s="137">
        <v>398.99999999999949</v>
      </c>
      <c r="E18" s="137">
        <f>D18</f>
        <v>398.99999999999949</v>
      </c>
      <c r="F18" s="137">
        <v>125</v>
      </c>
      <c r="G18" s="137">
        <v>40</v>
      </c>
      <c r="H18" s="138">
        <v>5</v>
      </c>
      <c r="I18" s="138">
        <f>E18-F18-H18-G18</f>
        <v>228.99999999999949</v>
      </c>
      <c r="J18" s="139">
        <f>I18/D18</f>
        <v>0.5739348370927313</v>
      </c>
      <c r="K18" s="140"/>
    </row>
    <row r="19" spans="2:11" ht="14.7" thickBot="1" x14ac:dyDescent="0.6">
      <c r="B19" s="152" t="s">
        <v>38</v>
      </c>
      <c r="C19" s="144"/>
      <c r="D19" s="145">
        <v>318.99999999999977</v>
      </c>
      <c r="E19" s="145">
        <f>D19</f>
        <v>318.99999999999977</v>
      </c>
      <c r="F19" s="145">
        <v>125</v>
      </c>
      <c r="G19" s="145">
        <v>40</v>
      </c>
      <c r="H19" s="146">
        <v>5</v>
      </c>
      <c r="I19" s="146">
        <f>E19-F19-H19-G19</f>
        <v>148.99999999999977</v>
      </c>
      <c r="J19" s="147">
        <f>I19/D19</f>
        <v>0.46708463949843221</v>
      </c>
      <c r="K19" s="153"/>
    </row>
    <row r="20" spans="2:11" x14ac:dyDescent="0.55000000000000004">
      <c r="B20" s="148" t="s">
        <v>41</v>
      </c>
      <c r="C20" s="136"/>
      <c r="D20" s="136"/>
      <c r="E20" s="136"/>
      <c r="F20" s="136"/>
      <c r="G20" s="136"/>
      <c r="H20" s="136"/>
      <c r="I20" s="136"/>
      <c r="J20" s="136"/>
      <c r="K20" s="136"/>
    </row>
    <row r="21" spans="2:11" x14ac:dyDescent="0.55000000000000004">
      <c r="B21" s="136" t="s">
        <v>581</v>
      </c>
      <c r="C21" s="136"/>
      <c r="D21" s="136"/>
      <c r="E21" s="136"/>
      <c r="F21" s="136"/>
      <c r="G21" s="136"/>
      <c r="H21" s="136"/>
      <c r="I21" s="136"/>
      <c r="J21" s="136"/>
      <c r="K21" s="136"/>
    </row>
    <row r="22" spans="2:11" x14ac:dyDescent="0.55000000000000004">
      <c r="B22" s="136" t="s">
        <v>582</v>
      </c>
      <c r="C22" s="136"/>
      <c r="D22" s="136"/>
      <c r="E22" s="136"/>
      <c r="F22" s="136"/>
      <c r="G22" s="136"/>
      <c r="H22" s="136"/>
      <c r="I22" s="136"/>
      <c r="J22" s="136"/>
      <c r="K22" s="136"/>
    </row>
    <row r="23" spans="2:11" x14ac:dyDescent="0.55000000000000004">
      <c r="B23" s="136" t="s">
        <v>583</v>
      </c>
      <c r="C23" s="136"/>
      <c r="D23" s="136"/>
      <c r="E23" s="136"/>
      <c r="F23" s="136"/>
      <c r="G23" s="136"/>
      <c r="H23" s="136"/>
      <c r="I23" s="136"/>
      <c r="J23" s="136"/>
      <c r="K23" s="136"/>
    </row>
    <row r="24" spans="2:11" x14ac:dyDescent="0.55000000000000004">
      <c r="B24" s="136" t="s">
        <v>584</v>
      </c>
      <c r="C24" s="136"/>
      <c r="D24" s="136"/>
      <c r="E24" s="136"/>
      <c r="F24" s="136"/>
      <c r="G24" s="136"/>
      <c r="H24" s="136"/>
      <c r="I24" s="136"/>
      <c r="J24" s="136"/>
      <c r="K24" s="136"/>
    </row>
    <row r="26" spans="2:11" x14ac:dyDescent="0.55000000000000004">
      <c r="B26" t="s">
        <v>50</v>
      </c>
    </row>
    <row r="27" spans="2:11" x14ac:dyDescent="0.55000000000000004">
      <c r="B27" t="s">
        <v>53</v>
      </c>
    </row>
    <row r="28" spans="2:11" x14ac:dyDescent="0.55000000000000004">
      <c r="C28" t="s">
        <v>54</v>
      </c>
    </row>
    <row r="29" spans="2:11" x14ac:dyDescent="0.55000000000000004">
      <c r="C29" t="s">
        <v>55</v>
      </c>
    </row>
    <row r="30" spans="2:11" x14ac:dyDescent="0.55000000000000004">
      <c r="C30" t="s">
        <v>56</v>
      </c>
    </row>
    <row r="31" spans="2:11" x14ac:dyDescent="0.55000000000000004">
      <c r="D31" t="s">
        <v>57</v>
      </c>
    </row>
    <row r="32" spans="2:11" x14ac:dyDescent="0.55000000000000004">
      <c r="D32" t="s">
        <v>58</v>
      </c>
    </row>
    <row r="33" spans="2:4" x14ac:dyDescent="0.55000000000000004">
      <c r="D33" t="s">
        <v>59</v>
      </c>
    </row>
    <row r="34" spans="2:4" x14ac:dyDescent="0.55000000000000004">
      <c r="C34" t="s">
        <v>60</v>
      </c>
    </row>
    <row r="35" spans="2:4" x14ac:dyDescent="0.55000000000000004">
      <c r="C35" t="s">
        <v>61</v>
      </c>
    </row>
    <row r="36" spans="2:4" x14ac:dyDescent="0.55000000000000004">
      <c r="B36" t="s">
        <v>62</v>
      </c>
    </row>
    <row r="37" spans="2:4" x14ac:dyDescent="0.55000000000000004">
      <c r="C37" t="s">
        <v>63</v>
      </c>
    </row>
    <row r="38" spans="2:4" x14ac:dyDescent="0.55000000000000004">
      <c r="D38" t="s">
        <v>67</v>
      </c>
    </row>
    <row r="39" spans="2:4" x14ac:dyDescent="0.55000000000000004">
      <c r="C39" t="s">
        <v>64</v>
      </c>
    </row>
    <row r="40" spans="2:4" x14ac:dyDescent="0.55000000000000004">
      <c r="D40" s="8" t="s">
        <v>65</v>
      </c>
    </row>
    <row r="41" spans="2:4" x14ac:dyDescent="0.55000000000000004">
      <c r="C41" t="s">
        <v>66</v>
      </c>
      <c r="D41" s="8"/>
    </row>
    <row r="42" spans="2:4" x14ac:dyDescent="0.55000000000000004">
      <c r="D42">
        <v>30</v>
      </c>
    </row>
    <row r="43" spans="2:4" x14ac:dyDescent="0.55000000000000004">
      <c r="B43" t="s">
        <v>48</v>
      </c>
    </row>
    <row r="44" spans="2:4" x14ac:dyDescent="0.55000000000000004">
      <c r="B44" t="s">
        <v>46</v>
      </c>
    </row>
    <row r="45" spans="2:4" x14ac:dyDescent="0.55000000000000004">
      <c r="C45" t="s">
        <v>47</v>
      </c>
    </row>
    <row r="46" spans="2:4" x14ac:dyDescent="0.55000000000000004">
      <c r="B46" t="s">
        <v>49</v>
      </c>
    </row>
    <row r="48" spans="2:4" x14ac:dyDescent="0.55000000000000004">
      <c r="B48" s="9" t="s">
        <v>51</v>
      </c>
    </row>
    <row r="49" spans="2:4" x14ac:dyDescent="0.55000000000000004">
      <c r="B49" t="s">
        <v>52</v>
      </c>
    </row>
    <row r="50" spans="2:4" x14ac:dyDescent="0.55000000000000004">
      <c r="B50" s="9" t="s">
        <v>71</v>
      </c>
    </row>
    <row r="51" spans="2:4" x14ac:dyDescent="0.55000000000000004">
      <c r="B51" t="s">
        <v>68</v>
      </c>
    </row>
    <row r="52" spans="2:4" x14ac:dyDescent="0.55000000000000004">
      <c r="C52" t="s">
        <v>69</v>
      </c>
    </row>
    <row r="53" spans="2:4" x14ac:dyDescent="0.55000000000000004">
      <c r="C53" t="s">
        <v>70</v>
      </c>
    </row>
    <row r="54" spans="2:4" x14ac:dyDescent="0.55000000000000004">
      <c r="B54" t="s">
        <v>71</v>
      </c>
    </row>
    <row r="55" spans="2:4" x14ac:dyDescent="0.55000000000000004">
      <c r="C55" t="s">
        <v>72</v>
      </c>
    </row>
    <row r="56" spans="2:4" x14ac:dyDescent="0.55000000000000004">
      <c r="B56" t="s">
        <v>73</v>
      </c>
    </row>
    <row r="58" spans="2:4" x14ac:dyDescent="0.55000000000000004">
      <c r="B58" s="9" t="s">
        <v>361</v>
      </c>
    </row>
    <row r="60" spans="2:4" x14ac:dyDescent="0.55000000000000004">
      <c r="B60" s="9" t="s">
        <v>392</v>
      </c>
    </row>
    <row r="61" spans="2:4" x14ac:dyDescent="0.55000000000000004">
      <c r="B61" t="s">
        <v>363</v>
      </c>
    </row>
    <row r="62" spans="2:4" x14ac:dyDescent="0.55000000000000004">
      <c r="C62" t="s">
        <v>364</v>
      </c>
    </row>
    <row r="63" spans="2:4" x14ac:dyDescent="0.55000000000000004">
      <c r="C63" t="s">
        <v>372</v>
      </c>
    </row>
    <row r="64" spans="2:4" x14ac:dyDescent="0.55000000000000004">
      <c r="D64" t="s">
        <v>365</v>
      </c>
    </row>
    <row r="65" spans="2:6" x14ac:dyDescent="0.55000000000000004">
      <c r="D65" t="s">
        <v>366</v>
      </c>
    </row>
    <row r="66" spans="2:6" x14ac:dyDescent="0.55000000000000004">
      <c r="E66" t="s">
        <v>373</v>
      </c>
    </row>
    <row r="67" spans="2:6" x14ac:dyDescent="0.55000000000000004">
      <c r="E67" t="s">
        <v>374</v>
      </c>
    </row>
    <row r="68" spans="2:6" x14ac:dyDescent="0.55000000000000004">
      <c r="F68" t="s">
        <v>375</v>
      </c>
    </row>
    <row r="69" spans="2:6" x14ac:dyDescent="0.55000000000000004">
      <c r="F69" t="s">
        <v>376</v>
      </c>
    </row>
    <row r="70" spans="2:6" x14ac:dyDescent="0.55000000000000004">
      <c r="D70" t="s">
        <v>367</v>
      </c>
    </row>
    <row r="71" spans="2:6" x14ac:dyDescent="0.55000000000000004">
      <c r="E71" t="s">
        <v>368</v>
      </c>
    </row>
    <row r="72" spans="2:6" x14ac:dyDescent="0.55000000000000004">
      <c r="E72" t="s">
        <v>369</v>
      </c>
    </row>
    <row r="73" spans="2:6" x14ac:dyDescent="0.55000000000000004">
      <c r="F73" t="s">
        <v>370</v>
      </c>
    </row>
    <row r="74" spans="2:6" x14ac:dyDescent="0.55000000000000004">
      <c r="F74" t="s">
        <v>371</v>
      </c>
    </row>
    <row r="75" spans="2:6" x14ac:dyDescent="0.55000000000000004">
      <c r="B75" t="s">
        <v>362</v>
      </c>
    </row>
    <row r="76" spans="2:6" x14ac:dyDescent="0.55000000000000004">
      <c r="B76" t="s">
        <v>377</v>
      </c>
    </row>
    <row r="77" spans="2:6" x14ac:dyDescent="0.55000000000000004">
      <c r="C77" t="s">
        <v>378</v>
      </c>
    </row>
    <row r="78" spans="2:6" x14ac:dyDescent="0.55000000000000004">
      <c r="B78" t="s">
        <v>379</v>
      </c>
    </row>
    <row r="79" spans="2:6" x14ac:dyDescent="0.55000000000000004">
      <c r="C79" t="s">
        <v>380</v>
      </c>
    </row>
    <row r="80" spans="2:6" x14ac:dyDescent="0.55000000000000004">
      <c r="C80" t="s">
        <v>381</v>
      </c>
    </row>
    <row r="81" spans="2:5" x14ac:dyDescent="0.55000000000000004">
      <c r="B81" t="s">
        <v>382</v>
      </c>
    </row>
    <row r="82" spans="2:5" x14ac:dyDescent="0.55000000000000004">
      <c r="C82" t="s">
        <v>383</v>
      </c>
    </row>
    <row r="83" spans="2:5" x14ac:dyDescent="0.55000000000000004">
      <c r="D83" t="s">
        <v>384</v>
      </c>
    </row>
    <row r="84" spans="2:5" x14ac:dyDescent="0.55000000000000004">
      <c r="E84" t="s">
        <v>386</v>
      </c>
    </row>
    <row r="85" spans="2:5" x14ac:dyDescent="0.55000000000000004">
      <c r="E85" t="s">
        <v>387</v>
      </c>
    </row>
    <row r="86" spans="2:5" x14ac:dyDescent="0.55000000000000004">
      <c r="E86" t="s">
        <v>388</v>
      </c>
    </row>
    <row r="87" spans="2:5" x14ac:dyDescent="0.55000000000000004">
      <c r="D87" t="s">
        <v>385</v>
      </c>
    </row>
    <row r="88" spans="2:5" x14ac:dyDescent="0.55000000000000004">
      <c r="B88" s="9" t="s">
        <v>389</v>
      </c>
    </row>
    <row r="90" spans="2:5" x14ac:dyDescent="0.55000000000000004">
      <c r="B90" t="s">
        <v>390</v>
      </c>
    </row>
    <row r="91" spans="2:5" x14ac:dyDescent="0.55000000000000004">
      <c r="C91" t="s">
        <v>391</v>
      </c>
    </row>
    <row r="92" spans="2:5" x14ac:dyDescent="0.55000000000000004">
      <c r="C92" t="s">
        <v>393</v>
      </c>
    </row>
    <row r="93" spans="2:5" x14ac:dyDescent="0.55000000000000004">
      <c r="B93" t="s">
        <v>395</v>
      </c>
    </row>
    <row r="94" spans="2:5" x14ac:dyDescent="0.55000000000000004">
      <c r="C94" t="s">
        <v>394</v>
      </c>
    </row>
    <row r="95" spans="2:5" x14ac:dyDescent="0.55000000000000004">
      <c r="B95" t="s">
        <v>396</v>
      </c>
    </row>
    <row r="96" spans="2:5" x14ac:dyDescent="0.55000000000000004">
      <c r="C96" t="s">
        <v>397</v>
      </c>
    </row>
    <row r="97" spans="2:4" x14ac:dyDescent="0.55000000000000004">
      <c r="C97" t="s">
        <v>398</v>
      </c>
    </row>
    <row r="98" spans="2:4" x14ac:dyDescent="0.55000000000000004">
      <c r="C98" t="s">
        <v>399</v>
      </c>
    </row>
    <row r="99" spans="2:4" x14ac:dyDescent="0.55000000000000004">
      <c r="B99" t="s">
        <v>400</v>
      </c>
    </row>
    <row r="100" spans="2:4" x14ac:dyDescent="0.55000000000000004">
      <c r="C100" t="s">
        <v>401</v>
      </c>
    </row>
    <row r="101" spans="2:4" x14ac:dyDescent="0.55000000000000004">
      <c r="B101" t="s">
        <v>402</v>
      </c>
    </row>
    <row r="102" spans="2:4" x14ac:dyDescent="0.55000000000000004">
      <c r="C102" t="s">
        <v>403</v>
      </c>
    </row>
    <row r="103" spans="2:4" x14ac:dyDescent="0.55000000000000004">
      <c r="B103" t="s">
        <v>404</v>
      </c>
    </row>
    <row r="104" spans="2:4" x14ac:dyDescent="0.55000000000000004">
      <c r="B104" t="s">
        <v>405</v>
      </c>
    </row>
    <row r="105" spans="2:4" x14ac:dyDescent="0.55000000000000004">
      <c r="C105" t="s">
        <v>406</v>
      </c>
    </row>
    <row r="106" spans="2:4" x14ac:dyDescent="0.55000000000000004">
      <c r="C106" t="s">
        <v>407</v>
      </c>
    </row>
    <row r="107" spans="2:4" x14ac:dyDescent="0.55000000000000004">
      <c r="C107" t="s">
        <v>408</v>
      </c>
    </row>
    <row r="108" spans="2:4" x14ac:dyDescent="0.55000000000000004">
      <c r="C108" t="s">
        <v>409</v>
      </c>
    </row>
    <row r="110" spans="2:4" x14ac:dyDescent="0.55000000000000004">
      <c r="C110" t="s">
        <v>410</v>
      </c>
    </row>
    <row r="111" spans="2:4" x14ac:dyDescent="0.55000000000000004">
      <c r="D111" t="s">
        <v>411</v>
      </c>
    </row>
    <row r="113" spans="3:6" x14ac:dyDescent="0.55000000000000004">
      <c r="C113" t="s">
        <v>392</v>
      </c>
    </row>
    <row r="114" spans="3:6" x14ac:dyDescent="0.55000000000000004">
      <c r="D114" t="s">
        <v>412</v>
      </c>
    </row>
    <row r="115" spans="3:6" x14ac:dyDescent="0.55000000000000004">
      <c r="D115" t="s">
        <v>413</v>
      </c>
    </row>
    <row r="116" spans="3:6" x14ac:dyDescent="0.55000000000000004">
      <c r="D116" t="s">
        <v>414</v>
      </c>
    </row>
    <row r="117" spans="3:6" x14ac:dyDescent="0.55000000000000004">
      <c r="E117" s="2" t="s">
        <v>415</v>
      </c>
    </row>
    <row r="118" spans="3:6" x14ac:dyDescent="0.55000000000000004">
      <c r="E118" t="s">
        <v>416</v>
      </c>
    </row>
    <row r="119" spans="3:6" x14ac:dyDescent="0.55000000000000004">
      <c r="E119" t="s">
        <v>417</v>
      </c>
    </row>
    <row r="120" spans="3:6" x14ac:dyDescent="0.55000000000000004">
      <c r="E120" t="s">
        <v>418</v>
      </c>
    </row>
    <row r="121" spans="3:6" x14ac:dyDescent="0.55000000000000004">
      <c r="D121" t="s">
        <v>419</v>
      </c>
    </row>
    <row r="122" spans="3:6" x14ac:dyDescent="0.55000000000000004">
      <c r="E122" t="s">
        <v>420</v>
      </c>
    </row>
    <row r="123" spans="3:6" x14ac:dyDescent="0.55000000000000004">
      <c r="E123" t="s">
        <v>421</v>
      </c>
    </row>
    <row r="124" spans="3:6" x14ac:dyDescent="0.55000000000000004">
      <c r="D124" t="s">
        <v>422</v>
      </c>
    </row>
    <row r="125" spans="3:6" x14ac:dyDescent="0.55000000000000004">
      <c r="D125" t="s">
        <v>423</v>
      </c>
    </row>
    <row r="126" spans="3:6" x14ac:dyDescent="0.55000000000000004">
      <c r="E126" t="s">
        <v>424</v>
      </c>
    </row>
    <row r="127" spans="3:6" x14ac:dyDescent="0.55000000000000004">
      <c r="F127" t="s">
        <v>425</v>
      </c>
    </row>
    <row r="128" spans="3:6" x14ac:dyDescent="0.55000000000000004">
      <c r="D128" t="s">
        <v>426</v>
      </c>
    </row>
    <row r="129" spans="2:7" x14ac:dyDescent="0.55000000000000004">
      <c r="E129" t="s">
        <v>427</v>
      </c>
    </row>
    <row r="130" spans="2:7" x14ac:dyDescent="0.55000000000000004">
      <c r="F130" t="s">
        <v>428</v>
      </c>
    </row>
    <row r="131" spans="2:7" x14ac:dyDescent="0.55000000000000004">
      <c r="F131" t="s">
        <v>429</v>
      </c>
    </row>
    <row r="132" spans="2:7" x14ac:dyDescent="0.55000000000000004">
      <c r="G132" t="s">
        <v>430</v>
      </c>
    </row>
    <row r="133" spans="2:7" x14ac:dyDescent="0.55000000000000004">
      <c r="B133" t="s">
        <v>431</v>
      </c>
    </row>
    <row r="134" spans="2:7" x14ac:dyDescent="0.55000000000000004">
      <c r="C134" s="9" t="s">
        <v>392</v>
      </c>
    </row>
    <row r="135" spans="2:7" x14ac:dyDescent="0.55000000000000004">
      <c r="C135" t="s">
        <v>432</v>
      </c>
    </row>
    <row r="136" spans="2:7" x14ac:dyDescent="0.55000000000000004">
      <c r="C136" t="s">
        <v>433</v>
      </c>
    </row>
    <row r="137" spans="2:7" x14ac:dyDescent="0.55000000000000004">
      <c r="C137" t="s">
        <v>434</v>
      </c>
    </row>
    <row r="138" spans="2:7" x14ac:dyDescent="0.55000000000000004">
      <c r="D138" t="s">
        <v>437</v>
      </c>
    </row>
    <row r="139" spans="2:7" x14ac:dyDescent="0.55000000000000004">
      <c r="C139" t="s">
        <v>438</v>
      </c>
    </row>
    <row r="140" spans="2:7" x14ac:dyDescent="0.55000000000000004">
      <c r="D140" t="s">
        <v>444</v>
      </c>
    </row>
    <row r="141" spans="2:7" x14ac:dyDescent="0.55000000000000004">
      <c r="D141" t="s">
        <v>443</v>
      </c>
    </row>
    <row r="142" spans="2:7" x14ac:dyDescent="0.55000000000000004">
      <c r="C142" t="s">
        <v>441</v>
      </c>
    </row>
    <row r="143" spans="2:7" x14ac:dyDescent="0.55000000000000004">
      <c r="D143" t="s">
        <v>442</v>
      </c>
    </row>
    <row r="144" spans="2:7" x14ac:dyDescent="0.55000000000000004">
      <c r="D144" t="s">
        <v>436</v>
      </c>
    </row>
    <row r="145" spans="2:4" x14ac:dyDescent="0.55000000000000004">
      <c r="C145" t="s">
        <v>439</v>
      </c>
    </row>
    <row r="147" spans="2:4" x14ac:dyDescent="0.55000000000000004">
      <c r="C147" t="s">
        <v>440</v>
      </c>
    </row>
    <row r="148" spans="2:4" x14ac:dyDescent="0.55000000000000004">
      <c r="C148" t="s">
        <v>445</v>
      </c>
    </row>
    <row r="149" spans="2:4" x14ac:dyDescent="0.55000000000000004">
      <c r="D149" t="s">
        <v>446</v>
      </c>
    </row>
    <row r="150" spans="2:4" x14ac:dyDescent="0.55000000000000004">
      <c r="D150" t="s">
        <v>447</v>
      </c>
    </row>
    <row r="151" spans="2:4" x14ac:dyDescent="0.55000000000000004">
      <c r="C151" t="s">
        <v>448</v>
      </c>
    </row>
    <row r="153" spans="2:4" x14ac:dyDescent="0.55000000000000004">
      <c r="C153" s="9" t="s">
        <v>435</v>
      </c>
    </row>
    <row r="154" spans="2:4" x14ac:dyDescent="0.55000000000000004">
      <c r="C154" t="s">
        <v>436</v>
      </c>
    </row>
    <row r="155" spans="2:4" x14ac:dyDescent="0.55000000000000004">
      <c r="B155" t="s">
        <v>449</v>
      </c>
    </row>
    <row r="156" spans="2:4" x14ac:dyDescent="0.55000000000000004">
      <c r="C156" t="s">
        <v>458</v>
      </c>
    </row>
    <row r="157" spans="2:4" x14ac:dyDescent="0.55000000000000004">
      <c r="C157" t="s">
        <v>450</v>
      </c>
    </row>
    <row r="158" spans="2:4" x14ac:dyDescent="0.55000000000000004">
      <c r="C158" t="s">
        <v>451</v>
      </c>
    </row>
    <row r="159" spans="2:4" x14ac:dyDescent="0.55000000000000004">
      <c r="C159" t="s">
        <v>452</v>
      </c>
    </row>
    <row r="160" spans="2:4" x14ac:dyDescent="0.55000000000000004">
      <c r="D160" t="s">
        <v>453</v>
      </c>
    </row>
    <row r="161" spans="2:4" x14ac:dyDescent="0.55000000000000004">
      <c r="D161" t="s">
        <v>454</v>
      </c>
    </row>
    <row r="162" spans="2:4" x14ac:dyDescent="0.55000000000000004">
      <c r="C162" t="s">
        <v>455</v>
      </c>
    </row>
    <row r="163" spans="2:4" x14ac:dyDescent="0.55000000000000004">
      <c r="D163" t="s">
        <v>456</v>
      </c>
    </row>
    <row r="164" spans="2:4" x14ac:dyDescent="0.55000000000000004">
      <c r="D164" t="s">
        <v>457</v>
      </c>
    </row>
    <row r="166" spans="2:4" x14ac:dyDescent="0.55000000000000004">
      <c r="B166" s="9" t="s">
        <v>459</v>
      </c>
    </row>
    <row r="167" spans="2:4" x14ac:dyDescent="0.55000000000000004">
      <c r="B167" t="s">
        <v>218</v>
      </c>
    </row>
    <row r="168" spans="2:4" x14ac:dyDescent="0.55000000000000004">
      <c r="B168" t="s">
        <v>353</v>
      </c>
    </row>
    <row r="169" spans="2:4" x14ac:dyDescent="0.55000000000000004">
      <c r="B169" t="s">
        <v>351</v>
      </c>
    </row>
    <row r="170" spans="2:4" x14ac:dyDescent="0.55000000000000004">
      <c r="B170" t="s">
        <v>352</v>
      </c>
    </row>
    <row r="172" spans="2:4" x14ac:dyDescent="0.55000000000000004">
      <c r="B172" t="s">
        <v>354</v>
      </c>
    </row>
    <row r="173" spans="2:4" x14ac:dyDescent="0.55000000000000004">
      <c r="B173" t="s">
        <v>355</v>
      </c>
    </row>
    <row r="175" spans="2:4" x14ac:dyDescent="0.55000000000000004">
      <c r="B175" t="s">
        <v>356</v>
      </c>
      <c r="C175" s="2">
        <v>0.06</v>
      </c>
    </row>
    <row r="176" spans="2:4" x14ac:dyDescent="0.55000000000000004">
      <c r="B176" t="s">
        <v>357</v>
      </c>
      <c r="C176" s="2">
        <v>0.11</v>
      </c>
    </row>
    <row r="178" spans="2:7" x14ac:dyDescent="0.55000000000000004">
      <c r="B178" t="s">
        <v>358</v>
      </c>
    </row>
    <row r="179" spans="2:7" x14ac:dyDescent="0.55000000000000004">
      <c r="B179" t="s">
        <v>359</v>
      </c>
      <c r="C179" t="s">
        <v>360</v>
      </c>
    </row>
    <row r="181" spans="2:7" x14ac:dyDescent="0.55000000000000004">
      <c r="B181" s="9" t="s">
        <v>478</v>
      </c>
    </row>
    <row r="183" spans="2:7" x14ac:dyDescent="0.55000000000000004">
      <c r="B183" s="9" t="s">
        <v>479</v>
      </c>
      <c r="G183" s="99" t="s">
        <v>488</v>
      </c>
    </row>
    <row r="184" spans="2:7" x14ac:dyDescent="0.55000000000000004">
      <c r="B184" t="s">
        <v>480</v>
      </c>
      <c r="D184" s="8" t="s">
        <v>481</v>
      </c>
      <c r="G184" s="8" t="s">
        <v>481</v>
      </c>
    </row>
    <row r="185" spans="2:7" x14ac:dyDescent="0.55000000000000004">
      <c r="B185" t="s">
        <v>483</v>
      </c>
      <c r="D185" s="8" t="s">
        <v>481</v>
      </c>
    </row>
    <row r="186" spans="2:7" x14ac:dyDescent="0.55000000000000004">
      <c r="B186" t="s">
        <v>270</v>
      </c>
      <c r="D186" s="11"/>
      <c r="E186" t="s">
        <v>482</v>
      </c>
      <c r="G186" t="s">
        <v>493</v>
      </c>
    </row>
    <row r="187" spans="2:7" x14ac:dyDescent="0.55000000000000004">
      <c r="B187" s="10" t="s">
        <v>484</v>
      </c>
      <c r="D187" s="11">
        <v>2.75E-2</v>
      </c>
      <c r="F187" s="12" t="str">
        <f>G187</f>
        <v>0.99-1.89%</v>
      </c>
      <c r="G187" s="98" t="s">
        <v>487</v>
      </c>
    </row>
    <row r="188" spans="2:7" x14ac:dyDescent="0.55000000000000004">
      <c r="B188" s="10" t="s">
        <v>485</v>
      </c>
      <c r="D188" s="11">
        <f>D187</f>
        <v>2.75E-2</v>
      </c>
      <c r="F188" t="s">
        <v>494</v>
      </c>
      <c r="G188" s="12">
        <f>Notes!E9/10000</f>
        <v>1.4999999999999999E-2</v>
      </c>
    </row>
    <row r="189" spans="2:7" x14ac:dyDescent="0.55000000000000004">
      <c r="B189" s="10" t="s">
        <v>489</v>
      </c>
      <c r="D189" s="12">
        <v>0.03</v>
      </c>
      <c r="F189" t="s">
        <v>486</v>
      </c>
    </row>
    <row r="190" spans="2:7" x14ac:dyDescent="0.55000000000000004">
      <c r="B190" t="s">
        <v>490</v>
      </c>
      <c r="D190" t="s">
        <v>491</v>
      </c>
    </row>
    <row r="191" spans="2:7" x14ac:dyDescent="0.55000000000000004">
      <c r="D191" t="s">
        <v>492</v>
      </c>
    </row>
    <row r="193" spans="2:3" x14ac:dyDescent="0.55000000000000004">
      <c r="B193" t="s">
        <v>495</v>
      </c>
    </row>
    <row r="195" spans="2:3" x14ac:dyDescent="0.55000000000000004">
      <c r="B195" s="9" t="s">
        <v>611</v>
      </c>
    </row>
    <row r="197" spans="2:3" x14ac:dyDescent="0.55000000000000004">
      <c r="B197" t="s">
        <v>549</v>
      </c>
    </row>
    <row r="198" spans="2:3" x14ac:dyDescent="0.55000000000000004">
      <c r="C198" t="s">
        <v>665</v>
      </c>
    </row>
    <row r="199" spans="2:3" x14ac:dyDescent="0.55000000000000004">
      <c r="B199" t="s">
        <v>550</v>
      </c>
    </row>
    <row r="200" spans="2:3" x14ac:dyDescent="0.55000000000000004">
      <c r="C200" s="9" t="s">
        <v>551</v>
      </c>
    </row>
    <row r="201" spans="2:3" x14ac:dyDescent="0.55000000000000004">
      <c r="C201" t="s">
        <v>552</v>
      </c>
    </row>
    <row r="202" spans="2:3" x14ac:dyDescent="0.55000000000000004">
      <c r="C202" t="s">
        <v>553</v>
      </c>
    </row>
    <row r="203" spans="2:3" x14ac:dyDescent="0.55000000000000004">
      <c r="B203" t="s">
        <v>561</v>
      </c>
    </row>
    <row r="204" spans="2:3" x14ac:dyDescent="0.55000000000000004">
      <c r="B204" t="s">
        <v>612</v>
      </c>
    </row>
    <row r="205" spans="2:3" x14ac:dyDescent="0.55000000000000004">
      <c r="B205" t="s">
        <v>613</v>
      </c>
    </row>
    <row r="207" spans="2:3" x14ac:dyDescent="0.55000000000000004">
      <c r="B207" s="23" t="s">
        <v>621</v>
      </c>
    </row>
    <row r="209" spans="2:5" x14ac:dyDescent="0.55000000000000004">
      <c r="B209" t="s">
        <v>614</v>
      </c>
    </row>
    <row r="210" spans="2:5" x14ac:dyDescent="0.55000000000000004">
      <c r="B210" t="s">
        <v>615</v>
      </c>
    </row>
    <row r="211" spans="2:5" x14ac:dyDescent="0.55000000000000004">
      <c r="B211" t="s">
        <v>616</v>
      </c>
    </row>
    <row r="212" spans="2:5" x14ac:dyDescent="0.55000000000000004">
      <c r="C212" t="s">
        <v>617</v>
      </c>
    </row>
    <row r="213" spans="2:5" x14ac:dyDescent="0.55000000000000004">
      <c r="C213" t="s">
        <v>618</v>
      </c>
    </row>
    <row r="214" spans="2:5" x14ac:dyDescent="0.55000000000000004">
      <c r="C214" t="s">
        <v>619</v>
      </c>
    </row>
    <row r="215" spans="2:5" x14ac:dyDescent="0.55000000000000004">
      <c r="C215" t="s">
        <v>620</v>
      </c>
    </row>
    <row r="217" spans="2:5" x14ac:dyDescent="0.55000000000000004">
      <c r="B217" t="s">
        <v>622</v>
      </c>
    </row>
    <row r="218" spans="2:5" x14ac:dyDescent="0.55000000000000004">
      <c r="B218" t="s">
        <v>623</v>
      </c>
    </row>
    <row r="219" spans="2:5" x14ac:dyDescent="0.55000000000000004">
      <c r="C219" t="s">
        <v>624</v>
      </c>
    </row>
    <row r="220" spans="2:5" x14ac:dyDescent="0.55000000000000004">
      <c r="D220" t="s">
        <v>626</v>
      </c>
    </row>
    <row r="221" spans="2:5" x14ac:dyDescent="0.55000000000000004">
      <c r="E221" t="s">
        <v>630</v>
      </c>
    </row>
    <row r="222" spans="2:5" x14ac:dyDescent="0.55000000000000004">
      <c r="D222" t="s">
        <v>627</v>
      </c>
    </row>
    <row r="223" spans="2:5" x14ac:dyDescent="0.55000000000000004">
      <c r="E223" t="s">
        <v>628</v>
      </c>
    </row>
    <row r="224" spans="2:5" x14ac:dyDescent="0.55000000000000004">
      <c r="E224" t="s">
        <v>629</v>
      </c>
    </row>
    <row r="226" spans="2:6" x14ac:dyDescent="0.55000000000000004">
      <c r="C226" t="s">
        <v>625</v>
      </c>
    </row>
    <row r="227" spans="2:6" x14ac:dyDescent="0.55000000000000004">
      <c r="B227" t="s">
        <v>631</v>
      </c>
    </row>
    <row r="228" spans="2:6" x14ac:dyDescent="0.55000000000000004">
      <c r="C228" t="s">
        <v>632</v>
      </c>
    </row>
    <row r="229" spans="2:6" x14ac:dyDescent="0.55000000000000004">
      <c r="C229" t="s">
        <v>633</v>
      </c>
    </row>
    <row r="230" spans="2:6" x14ac:dyDescent="0.55000000000000004">
      <c r="C230" t="s">
        <v>634</v>
      </c>
    </row>
    <row r="231" spans="2:6" x14ac:dyDescent="0.55000000000000004">
      <c r="C231" t="s">
        <v>635</v>
      </c>
    </row>
    <row r="233" spans="2:6" x14ac:dyDescent="0.55000000000000004">
      <c r="B233" t="s">
        <v>78</v>
      </c>
    </row>
    <row r="234" spans="2:6" x14ac:dyDescent="0.55000000000000004">
      <c r="C234" s="161">
        <v>0.05</v>
      </c>
    </row>
    <row r="235" spans="2:6" x14ac:dyDescent="0.55000000000000004">
      <c r="C235" s="2" t="s">
        <v>636</v>
      </c>
      <c r="E235" s="12">
        <v>2.5000000000000001E-2</v>
      </c>
      <c r="F235" t="s">
        <v>637</v>
      </c>
    </row>
    <row r="236" spans="2:6" x14ac:dyDescent="0.55000000000000004">
      <c r="C236" t="s">
        <v>638</v>
      </c>
      <c r="F236" t="s">
        <v>639</v>
      </c>
    </row>
    <row r="237" spans="2:6" x14ac:dyDescent="0.55000000000000004">
      <c r="C237" t="s">
        <v>641</v>
      </c>
    </row>
    <row r="238" spans="2:6" x14ac:dyDescent="0.55000000000000004">
      <c r="F238" t="s">
        <v>640</v>
      </c>
    </row>
    <row r="239" spans="2:6" x14ac:dyDescent="0.55000000000000004">
      <c r="C239" t="s">
        <v>642</v>
      </c>
    </row>
    <row r="240" spans="2:6" x14ac:dyDescent="0.55000000000000004">
      <c r="F240" t="s">
        <v>643</v>
      </c>
    </row>
    <row r="241" spans="2:3" x14ac:dyDescent="0.55000000000000004">
      <c r="B241" s="18" t="s">
        <v>644</v>
      </c>
    </row>
    <row r="242" spans="2:3" x14ac:dyDescent="0.55000000000000004">
      <c r="C242" t="s">
        <v>246</v>
      </c>
    </row>
    <row r="243" spans="2:3" x14ac:dyDescent="0.55000000000000004">
      <c r="B243" s="18" t="s">
        <v>645</v>
      </c>
    </row>
    <row r="244" spans="2:3" x14ac:dyDescent="0.55000000000000004">
      <c r="C244" t="s">
        <v>646</v>
      </c>
    </row>
    <row r="245" spans="2:3" x14ac:dyDescent="0.55000000000000004">
      <c r="C245" t="s">
        <v>647</v>
      </c>
    </row>
    <row r="246" spans="2:3" x14ac:dyDescent="0.55000000000000004">
      <c r="B246" t="s">
        <v>648</v>
      </c>
    </row>
    <row r="247" spans="2:3" x14ac:dyDescent="0.55000000000000004">
      <c r="C247" t="s">
        <v>649</v>
      </c>
    </row>
    <row r="248" spans="2:3" x14ac:dyDescent="0.55000000000000004">
      <c r="B248" s="18" t="s">
        <v>650</v>
      </c>
    </row>
    <row r="249" spans="2:3" x14ac:dyDescent="0.55000000000000004">
      <c r="B249" t="s">
        <v>651</v>
      </c>
    </row>
    <row r="250" spans="2:3" x14ac:dyDescent="0.55000000000000004">
      <c r="C250" t="s">
        <v>655</v>
      </c>
    </row>
    <row r="251" spans="2:3" x14ac:dyDescent="0.55000000000000004">
      <c r="C251" t="s">
        <v>656</v>
      </c>
    </row>
    <row r="252" spans="2:3" x14ac:dyDescent="0.55000000000000004">
      <c r="B252" t="s">
        <v>652</v>
      </c>
    </row>
    <row r="253" spans="2:3" x14ac:dyDescent="0.55000000000000004">
      <c r="C253" t="s">
        <v>653</v>
      </c>
    </row>
    <row r="254" spans="2:3" x14ac:dyDescent="0.55000000000000004">
      <c r="C254" t="s">
        <v>654</v>
      </c>
    </row>
    <row r="255" spans="2:3" x14ac:dyDescent="0.55000000000000004">
      <c r="B255" s="18" t="s">
        <v>657</v>
      </c>
    </row>
    <row r="256" spans="2:3" x14ac:dyDescent="0.55000000000000004">
      <c r="C256" t="s">
        <v>658</v>
      </c>
    </row>
    <row r="257" spans="2:3" x14ac:dyDescent="0.55000000000000004">
      <c r="C257" t="s">
        <v>659</v>
      </c>
    </row>
    <row r="258" spans="2:3" x14ac:dyDescent="0.55000000000000004">
      <c r="C258" t="s">
        <v>660</v>
      </c>
    </row>
    <row r="259" spans="2:3" x14ac:dyDescent="0.55000000000000004">
      <c r="B259" s="18" t="s">
        <v>661</v>
      </c>
    </row>
    <row r="260" spans="2:3" x14ac:dyDescent="0.55000000000000004">
      <c r="C260" t="s">
        <v>662</v>
      </c>
    </row>
    <row r="261" spans="2:3" x14ac:dyDescent="0.55000000000000004">
      <c r="C261" t="s">
        <v>663</v>
      </c>
    </row>
    <row r="262" spans="2:3" x14ac:dyDescent="0.55000000000000004">
      <c r="C262" t="s">
        <v>664</v>
      </c>
    </row>
    <row r="263" spans="2:3" x14ac:dyDescent="0.55000000000000004">
      <c r="B263" s="18" t="s">
        <v>666</v>
      </c>
    </row>
    <row r="264" spans="2:3" x14ac:dyDescent="0.55000000000000004">
      <c r="C264" t="s">
        <v>667</v>
      </c>
    </row>
    <row r="265" spans="2:3" x14ac:dyDescent="0.55000000000000004">
      <c r="C265" t="s">
        <v>668</v>
      </c>
    </row>
    <row r="267" spans="2:3" x14ac:dyDescent="0.55000000000000004">
      <c r="B267" s="244">
        <v>44228</v>
      </c>
    </row>
    <row r="269" spans="2:3" x14ac:dyDescent="0.55000000000000004">
      <c r="B269" t="s">
        <v>888</v>
      </c>
    </row>
    <row r="270" spans="2:3" x14ac:dyDescent="0.55000000000000004">
      <c r="B270" t="s">
        <v>886</v>
      </c>
    </row>
    <row r="271" spans="2:3" x14ac:dyDescent="0.55000000000000004">
      <c r="C271" t="s">
        <v>885</v>
      </c>
    </row>
    <row r="272" spans="2:3" x14ac:dyDescent="0.55000000000000004">
      <c r="C272" t="s">
        <v>887</v>
      </c>
    </row>
    <row r="273" spans="2:4" x14ac:dyDescent="0.55000000000000004">
      <c r="B273" t="s">
        <v>679</v>
      </c>
    </row>
    <row r="274" spans="2:4" x14ac:dyDescent="0.55000000000000004">
      <c r="C274" t="s">
        <v>889</v>
      </c>
    </row>
    <row r="275" spans="2:4" x14ac:dyDescent="0.55000000000000004">
      <c r="D275" t="s">
        <v>890</v>
      </c>
    </row>
    <row r="276" spans="2:4" x14ac:dyDescent="0.55000000000000004">
      <c r="C276" t="s">
        <v>891</v>
      </c>
    </row>
    <row r="277" spans="2:4" x14ac:dyDescent="0.55000000000000004">
      <c r="B277" t="s">
        <v>892</v>
      </c>
    </row>
    <row r="278" spans="2:4" x14ac:dyDescent="0.55000000000000004">
      <c r="C278" t="s">
        <v>893</v>
      </c>
    </row>
    <row r="279" spans="2:4" x14ac:dyDescent="0.55000000000000004">
      <c r="C279" t="s">
        <v>894</v>
      </c>
    </row>
    <row r="280" spans="2:4" x14ac:dyDescent="0.55000000000000004">
      <c r="D280" t="s">
        <v>901</v>
      </c>
    </row>
    <row r="281" spans="2:4" x14ac:dyDescent="0.55000000000000004">
      <c r="D281" t="s">
        <v>902</v>
      </c>
    </row>
    <row r="282" spans="2:4" x14ac:dyDescent="0.55000000000000004">
      <c r="D282" t="s">
        <v>903</v>
      </c>
    </row>
    <row r="283" spans="2:4" x14ac:dyDescent="0.55000000000000004">
      <c r="C283" t="s">
        <v>895</v>
      </c>
    </row>
    <row r="284" spans="2:4" x14ac:dyDescent="0.55000000000000004">
      <c r="C284" t="s">
        <v>896</v>
      </c>
    </row>
    <row r="285" spans="2:4" x14ac:dyDescent="0.55000000000000004">
      <c r="D285" t="s">
        <v>897</v>
      </c>
    </row>
    <row r="286" spans="2:4" x14ac:dyDescent="0.55000000000000004">
      <c r="D286" t="s">
        <v>898</v>
      </c>
    </row>
    <row r="287" spans="2:4" x14ac:dyDescent="0.55000000000000004">
      <c r="D287" t="s">
        <v>899</v>
      </c>
    </row>
    <row r="288" spans="2:4" x14ac:dyDescent="0.55000000000000004">
      <c r="C288" t="s">
        <v>900</v>
      </c>
    </row>
    <row r="289" spans="2:5" x14ac:dyDescent="0.55000000000000004">
      <c r="C289" t="s">
        <v>904</v>
      </c>
    </row>
    <row r="290" spans="2:5" x14ac:dyDescent="0.55000000000000004">
      <c r="D290" t="s">
        <v>905</v>
      </c>
    </row>
    <row r="291" spans="2:5" x14ac:dyDescent="0.55000000000000004">
      <c r="D291" t="s">
        <v>906</v>
      </c>
    </row>
    <row r="292" spans="2:5" x14ac:dyDescent="0.55000000000000004">
      <c r="D292" t="s">
        <v>907</v>
      </c>
    </row>
    <row r="293" spans="2:5" x14ac:dyDescent="0.55000000000000004">
      <c r="C293" t="s">
        <v>908</v>
      </c>
    </row>
    <row r="294" spans="2:5" x14ac:dyDescent="0.55000000000000004">
      <c r="D294" s="245" t="s">
        <v>909</v>
      </c>
    </row>
    <row r="295" spans="2:5" x14ac:dyDescent="0.55000000000000004">
      <c r="D295" s="245" t="s">
        <v>910</v>
      </c>
    </row>
    <row r="296" spans="2:5" x14ac:dyDescent="0.55000000000000004">
      <c r="D296" s="245" t="s">
        <v>911</v>
      </c>
    </row>
    <row r="297" spans="2:5" x14ac:dyDescent="0.55000000000000004">
      <c r="D297" s="245" t="s">
        <v>912</v>
      </c>
    </row>
    <row r="298" spans="2:5" x14ac:dyDescent="0.55000000000000004">
      <c r="B298" t="s">
        <v>913</v>
      </c>
      <c r="D298" s="245"/>
    </row>
    <row r="299" spans="2:5" x14ac:dyDescent="0.55000000000000004">
      <c r="C299" t="s">
        <v>914</v>
      </c>
      <c r="D299" s="245"/>
    </row>
    <row r="300" spans="2:5" x14ac:dyDescent="0.55000000000000004">
      <c r="C300" t="s">
        <v>917</v>
      </c>
      <c r="D300" s="245"/>
    </row>
    <row r="301" spans="2:5" x14ac:dyDescent="0.55000000000000004">
      <c r="C301" t="s">
        <v>918</v>
      </c>
      <c r="D301" s="245"/>
    </row>
    <row r="302" spans="2:5" x14ac:dyDescent="0.55000000000000004">
      <c r="B302" s="238">
        <v>2020</v>
      </c>
      <c r="D302" s="245"/>
    </row>
    <row r="303" spans="2:5" x14ac:dyDescent="0.55000000000000004">
      <c r="C303" t="s">
        <v>920</v>
      </c>
      <c r="D303" s="245"/>
      <c r="E303" t="s">
        <v>4</v>
      </c>
    </row>
    <row r="304" spans="2:5" x14ac:dyDescent="0.55000000000000004">
      <c r="C304" t="s">
        <v>919</v>
      </c>
      <c r="D304" s="245"/>
    </row>
    <row r="305" spans="2:4" x14ac:dyDescent="0.55000000000000004">
      <c r="B305" t="s">
        <v>657</v>
      </c>
    </row>
    <row r="306" spans="2:4" x14ac:dyDescent="0.55000000000000004">
      <c r="C306" t="s">
        <v>925</v>
      </c>
    </row>
    <row r="307" spans="2:4" x14ac:dyDescent="0.55000000000000004">
      <c r="C307" t="s">
        <v>924</v>
      </c>
    </row>
    <row r="308" spans="2:4" x14ac:dyDescent="0.55000000000000004">
      <c r="C308" t="s">
        <v>915</v>
      </c>
    </row>
    <row r="309" spans="2:4" x14ac:dyDescent="0.55000000000000004">
      <c r="C309" t="s">
        <v>916</v>
      </c>
    </row>
    <row r="311" spans="2:4" x14ac:dyDescent="0.55000000000000004">
      <c r="C311" t="s">
        <v>921</v>
      </c>
    </row>
    <row r="312" spans="2:4" x14ac:dyDescent="0.55000000000000004">
      <c r="C312" t="s">
        <v>922</v>
      </c>
    </row>
    <row r="313" spans="2:4" x14ac:dyDescent="0.55000000000000004">
      <c r="C313" t="s">
        <v>923</v>
      </c>
    </row>
    <row r="315" spans="2:4" x14ac:dyDescent="0.55000000000000004">
      <c r="B315" s="9" t="s">
        <v>1036</v>
      </c>
    </row>
    <row r="316" spans="2:4" x14ac:dyDescent="0.55000000000000004">
      <c r="C316" t="s">
        <v>976</v>
      </c>
    </row>
    <row r="317" spans="2:4" x14ac:dyDescent="0.55000000000000004">
      <c r="C317" t="s">
        <v>977</v>
      </c>
    </row>
    <row r="318" spans="2:4" x14ac:dyDescent="0.55000000000000004">
      <c r="C318" t="s">
        <v>978</v>
      </c>
    </row>
    <row r="319" spans="2:4" x14ac:dyDescent="0.55000000000000004">
      <c r="C319" t="s">
        <v>979</v>
      </c>
    </row>
    <row r="320" spans="2:4" x14ac:dyDescent="0.55000000000000004">
      <c r="D320" t="s">
        <v>980</v>
      </c>
    </row>
    <row r="321" spans="3:5" x14ac:dyDescent="0.55000000000000004">
      <c r="C321" t="s">
        <v>981</v>
      </c>
    </row>
    <row r="322" spans="3:5" x14ac:dyDescent="0.55000000000000004">
      <c r="D322" t="s">
        <v>982</v>
      </c>
    </row>
    <row r="323" spans="3:5" x14ac:dyDescent="0.55000000000000004">
      <c r="C323" t="s">
        <v>983</v>
      </c>
    </row>
    <row r="324" spans="3:5" x14ac:dyDescent="0.55000000000000004">
      <c r="D324" t="s">
        <v>984</v>
      </c>
    </row>
    <row r="325" spans="3:5" x14ac:dyDescent="0.55000000000000004">
      <c r="D325" t="s">
        <v>985</v>
      </c>
    </row>
    <row r="326" spans="3:5" x14ac:dyDescent="0.55000000000000004">
      <c r="D326" t="s">
        <v>986</v>
      </c>
    </row>
    <row r="327" spans="3:5" x14ac:dyDescent="0.55000000000000004">
      <c r="D327" t="s">
        <v>987</v>
      </c>
    </row>
    <row r="328" spans="3:5" x14ac:dyDescent="0.55000000000000004">
      <c r="E328" t="s">
        <v>990</v>
      </c>
    </row>
    <row r="329" spans="3:5" x14ac:dyDescent="0.55000000000000004">
      <c r="E329" t="s">
        <v>991</v>
      </c>
    </row>
    <row r="330" spans="3:5" x14ac:dyDescent="0.55000000000000004">
      <c r="E330" t="s">
        <v>992</v>
      </c>
    </row>
    <row r="331" spans="3:5" x14ac:dyDescent="0.55000000000000004">
      <c r="E331" t="s">
        <v>993</v>
      </c>
    </row>
    <row r="332" spans="3:5" x14ac:dyDescent="0.55000000000000004">
      <c r="D332" t="s">
        <v>994</v>
      </c>
    </row>
    <row r="333" spans="3:5" x14ac:dyDescent="0.55000000000000004">
      <c r="D333" t="s">
        <v>988</v>
      </c>
    </row>
    <row r="334" spans="3:5" x14ac:dyDescent="0.55000000000000004">
      <c r="D334" t="s">
        <v>989</v>
      </c>
    </row>
    <row r="335" spans="3:5" x14ac:dyDescent="0.55000000000000004">
      <c r="C335" t="s">
        <v>995</v>
      </c>
    </row>
    <row r="336" spans="3:5" x14ac:dyDescent="0.55000000000000004">
      <c r="C336" t="s">
        <v>996</v>
      </c>
    </row>
    <row r="337" spans="3:5" x14ac:dyDescent="0.55000000000000004">
      <c r="D337" t="s">
        <v>1003</v>
      </c>
    </row>
    <row r="338" spans="3:5" x14ac:dyDescent="0.55000000000000004">
      <c r="D338" t="s">
        <v>997</v>
      </c>
    </row>
    <row r="339" spans="3:5" x14ac:dyDescent="0.55000000000000004">
      <c r="E339" t="s">
        <v>998</v>
      </c>
    </row>
    <row r="340" spans="3:5" x14ac:dyDescent="0.55000000000000004">
      <c r="E340" t="s">
        <v>999</v>
      </c>
    </row>
    <row r="341" spans="3:5" x14ac:dyDescent="0.55000000000000004">
      <c r="D341" t="s">
        <v>1000</v>
      </c>
    </row>
    <row r="342" spans="3:5" x14ac:dyDescent="0.55000000000000004">
      <c r="D342" t="s">
        <v>1001</v>
      </c>
    </row>
    <row r="343" spans="3:5" x14ac:dyDescent="0.55000000000000004">
      <c r="D343" t="s">
        <v>1002</v>
      </c>
    </row>
    <row r="344" spans="3:5" x14ac:dyDescent="0.55000000000000004">
      <c r="C344" t="s">
        <v>1004</v>
      </c>
    </row>
    <row r="345" spans="3:5" x14ac:dyDescent="0.55000000000000004">
      <c r="C345" t="s">
        <v>1005</v>
      </c>
    </row>
    <row r="346" spans="3:5" x14ac:dyDescent="0.55000000000000004">
      <c r="D346" t="s">
        <v>1006</v>
      </c>
    </row>
    <row r="347" spans="3:5" x14ac:dyDescent="0.55000000000000004">
      <c r="D347" t="s">
        <v>1007</v>
      </c>
    </row>
    <row r="348" spans="3:5" x14ac:dyDescent="0.55000000000000004">
      <c r="E348" t="s">
        <v>1008</v>
      </c>
    </row>
    <row r="349" spans="3:5" x14ac:dyDescent="0.55000000000000004">
      <c r="E349" t="s">
        <v>1009</v>
      </c>
    </row>
    <row r="350" spans="3:5" x14ac:dyDescent="0.55000000000000004">
      <c r="D350" t="s">
        <v>1015</v>
      </c>
    </row>
    <row r="351" spans="3:5" x14ac:dyDescent="0.55000000000000004">
      <c r="E351" t="s">
        <v>1016</v>
      </c>
    </row>
    <row r="352" spans="3:5" x14ac:dyDescent="0.55000000000000004">
      <c r="E352" t="s">
        <v>1017</v>
      </c>
    </row>
    <row r="353" spans="3:5" x14ac:dyDescent="0.55000000000000004">
      <c r="C353" t="s">
        <v>1018</v>
      </c>
    </row>
    <row r="354" spans="3:5" x14ac:dyDescent="0.55000000000000004">
      <c r="C354" t="s">
        <v>1019</v>
      </c>
    </row>
    <row r="355" spans="3:5" x14ac:dyDescent="0.55000000000000004">
      <c r="D355" t="s">
        <v>1021</v>
      </c>
    </row>
    <row r="356" spans="3:5" x14ac:dyDescent="0.55000000000000004">
      <c r="D356" t="s">
        <v>1020</v>
      </c>
    </row>
    <row r="357" spans="3:5" x14ac:dyDescent="0.55000000000000004">
      <c r="C357" t="s">
        <v>1022</v>
      </c>
    </row>
    <row r="358" spans="3:5" x14ac:dyDescent="0.55000000000000004">
      <c r="D358" t="s">
        <v>1023</v>
      </c>
    </row>
    <row r="359" spans="3:5" x14ac:dyDescent="0.55000000000000004">
      <c r="D359" t="s">
        <v>1024</v>
      </c>
    </row>
    <row r="360" spans="3:5" x14ac:dyDescent="0.55000000000000004">
      <c r="D360" t="s">
        <v>1025</v>
      </c>
    </row>
    <row r="361" spans="3:5" x14ac:dyDescent="0.55000000000000004">
      <c r="D361" t="s">
        <v>1026</v>
      </c>
    </row>
    <row r="362" spans="3:5" x14ac:dyDescent="0.55000000000000004">
      <c r="E362" t="s">
        <v>1027</v>
      </c>
    </row>
    <row r="363" spans="3:5" x14ac:dyDescent="0.55000000000000004">
      <c r="D363" t="s">
        <v>1028</v>
      </c>
    </row>
    <row r="364" spans="3:5" x14ac:dyDescent="0.55000000000000004">
      <c r="D364" t="s">
        <v>1029</v>
      </c>
    </row>
    <row r="365" spans="3:5" x14ac:dyDescent="0.55000000000000004">
      <c r="C365" t="s">
        <v>1010</v>
      </c>
    </row>
    <row r="367" spans="3:5" x14ac:dyDescent="0.55000000000000004">
      <c r="C367" t="s">
        <v>1011</v>
      </c>
    </row>
    <row r="368" spans="3:5" x14ac:dyDescent="0.55000000000000004">
      <c r="D368" t="s">
        <v>1012</v>
      </c>
    </row>
    <row r="369" spans="2:5" x14ac:dyDescent="0.55000000000000004">
      <c r="E369" t="s">
        <v>1013</v>
      </c>
    </row>
    <row r="370" spans="2:5" x14ac:dyDescent="0.55000000000000004">
      <c r="D370" t="s">
        <v>1014</v>
      </c>
    </row>
    <row r="371" spans="2:5" x14ac:dyDescent="0.55000000000000004">
      <c r="D371" t="s">
        <v>1074</v>
      </c>
    </row>
    <row r="372" spans="2:5" x14ac:dyDescent="0.55000000000000004">
      <c r="C372" t="s">
        <v>1030</v>
      </c>
    </row>
    <row r="373" spans="2:5" x14ac:dyDescent="0.55000000000000004">
      <c r="D373" t="s">
        <v>1031</v>
      </c>
    </row>
    <row r="374" spans="2:5" x14ac:dyDescent="0.55000000000000004">
      <c r="D374" t="s">
        <v>1032</v>
      </c>
    </row>
    <row r="375" spans="2:5" x14ac:dyDescent="0.55000000000000004">
      <c r="D375" t="s">
        <v>1033</v>
      </c>
    </row>
    <row r="376" spans="2:5" x14ac:dyDescent="0.55000000000000004">
      <c r="D376" t="s">
        <v>1034</v>
      </c>
    </row>
    <row r="377" spans="2:5" x14ac:dyDescent="0.55000000000000004">
      <c r="C377" t="s">
        <v>1035</v>
      </c>
    </row>
    <row r="378" spans="2:5" x14ac:dyDescent="0.55000000000000004">
      <c r="B378" t="s">
        <v>1037</v>
      </c>
    </row>
    <row r="379" spans="2:5" x14ac:dyDescent="0.55000000000000004">
      <c r="C379" t="s">
        <v>1038</v>
      </c>
    </row>
    <row r="380" spans="2:5" x14ac:dyDescent="0.55000000000000004">
      <c r="C380" t="s">
        <v>1039</v>
      </c>
    </row>
    <row r="381" spans="2:5" x14ac:dyDescent="0.55000000000000004">
      <c r="D381" t="s">
        <v>1053</v>
      </c>
    </row>
    <row r="382" spans="2:5" x14ac:dyDescent="0.55000000000000004">
      <c r="D382" t="s">
        <v>1054</v>
      </c>
    </row>
    <row r="383" spans="2:5" x14ac:dyDescent="0.55000000000000004">
      <c r="E383" t="s">
        <v>1055</v>
      </c>
    </row>
    <row r="384" spans="2:5" x14ac:dyDescent="0.55000000000000004">
      <c r="E384" t="s">
        <v>1056</v>
      </c>
    </row>
    <row r="385" spans="3:6" x14ac:dyDescent="0.55000000000000004">
      <c r="D385" t="s">
        <v>1057</v>
      </c>
    </row>
    <row r="386" spans="3:6" x14ac:dyDescent="0.55000000000000004">
      <c r="D386" s="8" t="s">
        <v>1058</v>
      </c>
      <c r="E386" s="8" t="s">
        <v>1059</v>
      </c>
      <c r="F386" s="8" t="s">
        <v>1060</v>
      </c>
    </row>
    <row r="387" spans="3:6" x14ac:dyDescent="0.55000000000000004">
      <c r="D387">
        <v>4</v>
      </c>
      <c r="E387">
        <v>32</v>
      </c>
      <c r="F387">
        <v>16.7</v>
      </c>
    </row>
    <row r="388" spans="3:6" x14ac:dyDescent="0.55000000000000004">
      <c r="C388" t="s">
        <v>1040</v>
      </c>
    </row>
    <row r="389" spans="3:6" x14ac:dyDescent="0.55000000000000004">
      <c r="D389" t="s">
        <v>1041</v>
      </c>
    </row>
    <row r="390" spans="3:6" x14ac:dyDescent="0.55000000000000004">
      <c r="D390" t="s">
        <v>1042</v>
      </c>
    </row>
    <row r="391" spans="3:6" x14ac:dyDescent="0.55000000000000004">
      <c r="E391" t="s">
        <v>1043</v>
      </c>
    </row>
    <row r="392" spans="3:6" x14ac:dyDescent="0.55000000000000004">
      <c r="E392" t="s">
        <v>1044</v>
      </c>
    </row>
    <row r="393" spans="3:6" x14ac:dyDescent="0.55000000000000004">
      <c r="C393" t="s">
        <v>1048</v>
      </c>
    </row>
    <row r="394" spans="3:6" x14ac:dyDescent="0.55000000000000004">
      <c r="D394" t="s">
        <v>1045</v>
      </c>
    </row>
    <row r="395" spans="3:6" x14ac:dyDescent="0.55000000000000004">
      <c r="E395" t="s">
        <v>32</v>
      </c>
    </row>
    <row r="396" spans="3:6" x14ac:dyDescent="0.55000000000000004">
      <c r="E396" t="s">
        <v>1046</v>
      </c>
    </row>
    <row r="397" spans="3:6" x14ac:dyDescent="0.55000000000000004">
      <c r="E397" t="s">
        <v>1047</v>
      </c>
    </row>
    <row r="398" spans="3:6" x14ac:dyDescent="0.55000000000000004">
      <c r="C398" t="s">
        <v>1049</v>
      </c>
    </row>
    <row r="399" spans="3:6" x14ac:dyDescent="0.55000000000000004">
      <c r="D399" t="s">
        <v>1050</v>
      </c>
    </row>
    <row r="400" spans="3:6" x14ac:dyDescent="0.55000000000000004">
      <c r="D400" t="s">
        <v>1051</v>
      </c>
    </row>
    <row r="401" spans="2:5" x14ac:dyDescent="0.55000000000000004">
      <c r="D401" t="s">
        <v>1052</v>
      </c>
    </row>
    <row r="403" spans="2:5" x14ac:dyDescent="0.55000000000000004">
      <c r="C403" t="s">
        <v>1061</v>
      </c>
      <c r="D403" s="2">
        <v>0.27</v>
      </c>
    </row>
    <row r="404" spans="2:5" x14ac:dyDescent="0.55000000000000004">
      <c r="C404" t="s">
        <v>1062</v>
      </c>
      <c r="D404" s="2">
        <v>0.52</v>
      </c>
    </row>
    <row r="405" spans="2:5" x14ac:dyDescent="0.55000000000000004">
      <c r="C405" t="s">
        <v>1063</v>
      </c>
      <c r="D405" t="s">
        <v>1064</v>
      </c>
    </row>
    <row r="406" spans="2:5" x14ac:dyDescent="0.55000000000000004">
      <c r="D406">
        <v>398</v>
      </c>
    </row>
    <row r="407" spans="2:5" x14ac:dyDescent="0.55000000000000004">
      <c r="D407">
        <f>D406-D408</f>
        <v>29</v>
      </c>
    </row>
    <row r="408" spans="2:5" x14ac:dyDescent="0.55000000000000004">
      <c r="D408">
        <v>369</v>
      </c>
      <c r="E408" t="s">
        <v>1065</v>
      </c>
    </row>
    <row r="409" spans="2:5" x14ac:dyDescent="0.55000000000000004">
      <c r="C409" s="9" t="s">
        <v>1067</v>
      </c>
    </row>
    <row r="410" spans="2:5" x14ac:dyDescent="0.55000000000000004">
      <c r="C410" t="s">
        <v>1066</v>
      </c>
    </row>
    <row r="411" spans="2:5" x14ac:dyDescent="0.55000000000000004">
      <c r="C411" t="s">
        <v>1068</v>
      </c>
    </row>
    <row r="413" spans="2:5" x14ac:dyDescent="0.55000000000000004">
      <c r="C413" t="s">
        <v>1070</v>
      </c>
      <c r="D413" s="8" t="s">
        <v>1071</v>
      </c>
    </row>
    <row r="414" spans="2:5" x14ac:dyDescent="0.55000000000000004">
      <c r="C414" t="s">
        <v>1069</v>
      </c>
      <c r="D414" s="8" t="s">
        <v>1072</v>
      </c>
    </row>
    <row r="415" spans="2:5" x14ac:dyDescent="0.55000000000000004">
      <c r="B415" t="s">
        <v>1073</v>
      </c>
    </row>
    <row r="416" spans="2:5" x14ac:dyDescent="0.55000000000000004">
      <c r="C416" t="s">
        <v>1075</v>
      </c>
    </row>
    <row r="418" spans="2:5" x14ac:dyDescent="0.55000000000000004">
      <c r="B418" s="23" t="s">
        <v>1099</v>
      </c>
    </row>
    <row r="420" spans="2:5" x14ac:dyDescent="0.55000000000000004">
      <c r="B420" t="s">
        <v>1100</v>
      </c>
    </row>
    <row r="421" spans="2:5" x14ac:dyDescent="0.55000000000000004">
      <c r="C421" t="s">
        <v>1107</v>
      </c>
    </row>
    <row r="422" spans="2:5" x14ac:dyDescent="0.55000000000000004">
      <c r="C422">
        <v>1</v>
      </c>
      <c r="D422" t="s">
        <v>1114</v>
      </c>
    </row>
    <row r="423" spans="2:5" x14ac:dyDescent="0.55000000000000004">
      <c r="C423">
        <v>2</v>
      </c>
      <c r="D423" t="s">
        <v>1115</v>
      </c>
    </row>
    <row r="424" spans="2:5" x14ac:dyDescent="0.55000000000000004">
      <c r="E424" t="s">
        <v>1116</v>
      </c>
    </row>
    <row r="425" spans="2:5" x14ac:dyDescent="0.55000000000000004">
      <c r="C425">
        <v>3</v>
      </c>
      <c r="D425" t="s">
        <v>1117</v>
      </c>
    </row>
    <row r="426" spans="2:5" x14ac:dyDescent="0.55000000000000004">
      <c r="E426" t="s">
        <v>1118</v>
      </c>
    </row>
    <row r="427" spans="2:5" x14ac:dyDescent="0.55000000000000004">
      <c r="C427">
        <v>4</v>
      </c>
      <c r="D427" t="s">
        <v>1078</v>
      </c>
    </row>
    <row r="428" spans="2:5" x14ac:dyDescent="0.55000000000000004">
      <c r="E428" t="s">
        <v>1119</v>
      </c>
    </row>
    <row r="429" spans="2:5" x14ac:dyDescent="0.55000000000000004">
      <c r="B429" t="s">
        <v>1123</v>
      </c>
    </row>
    <row r="430" spans="2:5" x14ac:dyDescent="0.55000000000000004">
      <c r="C430" t="s">
        <v>1124</v>
      </c>
    </row>
    <row r="431" spans="2:5" x14ac:dyDescent="0.55000000000000004">
      <c r="C431" t="s">
        <v>1125</v>
      </c>
    </row>
    <row r="432" spans="2:5" x14ac:dyDescent="0.55000000000000004">
      <c r="C432" t="s">
        <v>1126</v>
      </c>
    </row>
    <row r="433" spans="2:7" x14ac:dyDescent="0.55000000000000004">
      <c r="B433" t="s">
        <v>1127</v>
      </c>
    </row>
    <row r="434" spans="2:7" x14ac:dyDescent="0.55000000000000004">
      <c r="C434" t="s">
        <v>265</v>
      </c>
    </row>
    <row r="435" spans="2:7" x14ac:dyDescent="0.55000000000000004">
      <c r="C435" t="s">
        <v>596</v>
      </c>
    </row>
    <row r="436" spans="2:7" x14ac:dyDescent="0.55000000000000004">
      <c r="C436" t="s">
        <v>794</v>
      </c>
    </row>
    <row r="438" spans="2:7" x14ac:dyDescent="0.55000000000000004">
      <c r="B438" t="s">
        <v>265</v>
      </c>
      <c r="C438" t="s">
        <v>1128</v>
      </c>
      <c r="D438" t="s">
        <v>1129</v>
      </c>
    </row>
    <row r="439" spans="2:7" x14ac:dyDescent="0.55000000000000004">
      <c r="C439" t="s">
        <v>1130</v>
      </c>
      <c r="D439" t="s">
        <v>1133</v>
      </c>
      <c r="F439" t="s">
        <v>1134</v>
      </c>
    </row>
    <row r="440" spans="2:7" x14ac:dyDescent="0.55000000000000004">
      <c r="C440" t="s">
        <v>1131</v>
      </c>
      <c r="E440" t="s">
        <v>1132</v>
      </c>
      <c r="G440" t="s">
        <v>1135</v>
      </c>
    </row>
    <row r="441" spans="2:7" x14ac:dyDescent="0.55000000000000004">
      <c r="E441" t="s">
        <v>1137</v>
      </c>
    </row>
    <row r="442" spans="2:7" x14ac:dyDescent="0.55000000000000004">
      <c r="D442" t="s">
        <v>1138</v>
      </c>
    </row>
    <row r="443" spans="2:7" x14ac:dyDescent="0.55000000000000004">
      <c r="C443" t="s">
        <v>1136</v>
      </c>
    </row>
    <row r="444" spans="2:7" x14ac:dyDescent="0.55000000000000004">
      <c r="C444" t="s">
        <v>1139</v>
      </c>
    </row>
    <row r="445" spans="2:7" x14ac:dyDescent="0.55000000000000004">
      <c r="C445" t="s">
        <v>1140</v>
      </c>
    </row>
    <row r="446" spans="2:7" x14ac:dyDescent="0.55000000000000004">
      <c r="C446" t="s">
        <v>1141</v>
      </c>
    </row>
    <row r="449" spans="2:5" x14ac:dyDescent="0.55000000000000004">
      <c r="B449" t="s">
        <v>519</v>
      </c>
    </row>
    <row r="450" spans="2:5" x14ac:dyDescent="0.55000000000000004">
      <c r="C450" t="s">
        <v>1120</v>
      </c>
    </row>
    <row r="451" spans="2:5" x14ac:dyDescent="0.55000000000000004">
      <c r="C451" t="s">
        <v>1121</v>
      </c>
      <c r="D451" s="10" t="s">
        <v>1122</v>
      </c>
    </row>
    <row r="453" spans="2:5" x14ac:dyDescent="0.55000000000000004">
      <c r="B453" t="s">
        <v>1101</v>
      </c>
    </row>
    <row r="454" spans="2:5" x14ac:dyDescent="0.55000000000000004">
      <c r="C454" t="s">
        <v>1143</v>
      </c>
    </row>
    <row r="455" spans="2:5" x14ac:dyDescent="0.55000000000000004">
      <c r="D455" t="s">
        <v>1148</v>
      </c>
    </row>
    <row r="456" spans="2:5" x14ac:dyDescent="0.55000000000000004">
      <c r="C456" t="s">
        <v>1144</v>
      </c>
    </row>
    <row r="457" spans="2:5" x14ac:dyDescent="0.55000000000000004">
      <c r="D457" t="s">
        <v>1142</v>
      </c>
    </row>
    <row r="458" spans="2:5" x14ac:dyDescent="0.55000000000000004">
      <c r="E458" t="s">
        <v>1145</v>
      </c>
    </row>
    <row r="459" spans="2:5" x14ac:dyDescent="0.55000000000000004">
      <c r="C459" t="s">
        <v>1146</v>
      </c>
    </row>
    <row r="460" spans="2:5" x14ac:dyDescent="0.55000000000000004">
      <c r="C460" t="s">
        <v>1147</v>
      </c>
    </row>
    <row r="461" spans="2:5" x14ac:dyDescent="0.55000000000000004">
      <c r="B461" t="s">
        <v>1149</v>
      </c>
    </row>
    <row r="462" spans="2:5" x14ac:dyDescent="0.55000000000000004">
      <c r="C462" t="s">
        <v>1150</v>
      </c>
    </row>
    <row r="463" spans="2:5" x14ac:dyDescent="0.55000000000000004">
      <c r="D463" t="s">
        <v>1151</v>
      </c>
    </row>
    <row r="464" spans="2:5" x14ac:dyDescent="0.55000000000000004">
      <c r="D464" t="s">
        <v>1152</v>
      </c>
    </row>
    <row r="465" spans="2:5" x14ac:dyDescent="0.55000000000000004">
      <c r="C465" t="s">
        <v>1153</v>
      </c>
    </row>
    <row r="466" spans="2:5" x14ac:dyDescent="0.55000000000000004">
      <c r="D466" t="s">
        <v>1154</v>
      </c>
    </row>
    <row r="467" spans="2:5" x14ac:dyDescent="0.55000000000000004">
      <c r="D467" t="s">
        <v>1155</v>
      </c>
    </row>
    <row r="468" spans="2:5" x14ac:dyDescent="0.55000000000000004">
      <c r="E468" t="s">
        <v>1156</v>
      </c>
    </row>
    <row r="471" spans="2:5" x14ac:dyDescent="0.55000000000000004">
      <c r="C471" t="s">
        <v>1108</v>
      </c>
    </row>
    <row r="472" spans="2:5" x14ac:dyDescent="0.55000000000000004">
      <c r="B472" t="s">
        <v>1102</v>
      </c>
    </row>
    <row r="473" spans="2:5" x14ac:dyDescent="0.55000000000000004">
      <c r="B473" t="s">
        <v>1103</v>
      </c>
    </row>
    <row r="474" spans="2:5" x14ac:dyDescent="0.55000000000000004">
      <c r="B474" t="s">
        <v>1109</v>
      </c>
    </row>
    <row r="475" spans="2:5" x14ac:dyDescent="0.55000000000000004">
      <c r="B475" t="s">
        <v>1110</v>
      </c>
      <c r="C475" t="s">
        <v>755</v>
      </c>
    </row>
    <row r="477" spans="2:5" x14ac:dyDescent="0.55000000000000004">
      <c r="B477" t="s">
        <v>1111</v>
      </c>
    </row>
    <row r="478" spans="2:5" x14ac:dyDescent="0.55000000000000004">
      <c r="B478" t="s">
        <v>1112</v>
      </c>
    </row>
    <row r="479" spans="2:5" x14ac:dyDescent="0.55000000000000004">
      <c r="B479" t="s">
        <v>1113</v>
      </c>
    </row>
    <row r="481" spans="1:3" x14ac:dyDescent="0.55000000000000004">
      <c r="B481" s="23" t="s">
        <v>1081</v>
      </c>
    </row>
    <row r="483" spans="1:3" x14ac:dyDescent="0.55000000000000004">
      <c r="B483" s="9" t="s">
        <v>1172</v>
      </c>
    </row>
    <row r="484" spans="1:3" x14ac:dyDescent="0.55000000000000004">
      <c r="B484" t="s">
        <v>1181</v>
      </c>
    </row>
    <row r="485" spans="1:3" x14ac:dyDescent="0.55000000000000004">
      <c r="A485" t="s">
        <v>1187</v>
      </c>
      <c r="B485" t="s">
        <v>1180</v>
      </c>
    </row>
    <row r="486" spans="1:3" x14ac:dyDescent="0.55000000000000004">
      <c r="C486" t="s">
        <v>1169</v>
      </c>
    </row>
    <row r="487" spans="1:3" x14ac:dyDescent="0.55000000000000004">
      <c r="A487" t="s">
        <v>1187</v>
      </c>
      <c r="B487" t="s">
        <v>1191</v>
      </c>
    </row>
    <row r="488" spans="1:3" x14ac:dyDescent="0.55000000000000004">
      <c r="B488" t="s">
        <v>1170</v>
      </c>
    </row>
    <row r="490" spans="1:3" x14ac:dyDescent="0.55000000000000004">
      <c r="B490" t="s">
        <v>1168</v>
      </c>
    </row>
    <row r="493" spans="1:3" x14ac:dyDescent="0.55000000000000004">
      <c r="B493" t="s">
        <v>1171</v>
      </c>
    </row>
    <row r="494" spans="1:3" x14ac:dyDescent="0.55000000000000004">
      <c r="B494" t="s">
        <v>1173</v>
      </c>
    </row>
    <row r="495" spans="1:3" x14ac:dyDescent="0.55000000000000004">
      <c r="C495" t="s">
        <v>1174</v>
      </c>
    </row>
    <row r="496" spans="1:3" x14ac:dyDescent="0.55000000000000004">
      <c r="B496" s="9" t="s">
        <v>182</v>
      </c>
    </row>
    <row r="497" spans="1:7" x14ac:dyDescent="0.55000000000000004">
      <c r="B497" s="9"/>
      <c r="C497" t="s">
        <v>1185</v>
      </c>
    </row>
    <row r="498" spans="1:7" x14ac:dyDescent="0.55000000000000004">
      <c r="B498" s="9"/>
      <c r="C498" t="s">
        <v>1186</v>
      </c>
    </row>
    <row r="499" spans="1:7" x14ac:dyDescent="0.55000000000000004">
      <c r="B499" s="9"/>
      <c r="C499" t="s">
        <v>1188</v>
      </c>
    </row>
    <row r="500" spans="1:7" x14ac:dyDescent="0.55000000000000004">
      <c r="B500" s="9" t="s">
        <v>1189</v>
      </c>
    </row>
    <row r="501" spans="1:7" x14ac:dyDescent="0.55000000000000004">
      <c r="A501" t="s">
        <v>1187</v>
      </c>
      <c r="B501" s="9"/>
      <c r="C501" t="s">
        <v>1190</v>
      </c>
      <c r="G501" t="s">
        <v>1110</v>
      </c>
    </row>
    <row r="502" spans="1:7" x14ac:dyDescent="0.55000000000000004">
      <c r="B502" s="9"/>
    </row>
    <row r="503" spans="1:7" x14ac:dyDescent="0.55000000000000004">
      <c r="B503" s="9"/>
    </row>
    <row r="504" spans="1:7" x14ac:dyDescent="0.55000000000000004">
      <c r="B504" t="s">
        <v>1175</v>
      </c>
    </row>
    <row r="505" spans="1:7" x14ac:dyDescent="0.55000000000000004">
      <c r="B505" t="s">
        <v>449</v>
      </c>
    </row>
    <row r="507" spans="1:7" x14ac:dyDescent="0.55000000000000004">
      <c r="B507" t="s">
        <v>1176</v>
      </c>
    </row>
    <row r="508" spans="1:7" x14ac:dyDescent="0.55000000000000004">
      <c r="B508" t="s">
        <v>1177</v>
      </c>
    </row>
    <row r="509" spans="1:7" x14ac:dyDescent="0.55000000000000004">
      <c r="B509" t="s">
        <v>1178</v>
      </c>
    </row>
    <row r="510" spans="1:7" x14ac:dyDescent="0.55000000000000004">
      <c r="B510" t="s">
        <v>1179</v>
      </c>
    </row>
    <row r="512" spans="1:7" x14ac:dyDescent="0.55000000000000004">
      <c r="B512" s="9" t="s">
        <v>725</v>
      </c>
    </row>
    <row r="513" spans="1:5" x14ac:dyDescent="0.55000000000000004">
      <c r="B513" t="s">
        <v>463</v>
      </c>
      <c r="C513" s="2">
        <f>Acquirer!J84</f>
        <v>0.56613841830099498</v>
      </c>
    </row>
    <row r="514" spans="1:5" x14ac:dyDescent="0.55000000000000004">
      <c r="B514" t="s">
        <v>240</v>
      </c>
      <c r="C514" s="2">
        <f>235.941/Acquirer!I83-1</f>
        <v>0.46053859506859718</v>
      </c>
    </row>
    <row r="515" spans="1:5" x14ac:dyDescent="0.55000000000000004">
      <c r="B515" t="s">
        <v>1280</v>
      </c>
      <c r="C515" s="4">
        <f>(1.45*Acquirer!I83-(Quarts!T163+Quarts!S163)/1000)</f>
        <v>127.87355497904998</v>
      </c>
    </row>
    <row r="516" spans="1:5" x14ac:dyDescent="0.55000000000000004">
      <c r="B516" t="s">
        <v>1281</v>
      </c>
      <c r="C516" s="4">
        <f>(Quarts!Q163+Quarts!R163)/1000</f>
        <v>100.09262730094447</v>
      </c>
    </row>
    <row r="517" spans="1:5" x14ac:dyDescent="0.55000000000000004">
      <c r="B517" t="s">
        <v>195</v>
      </c>
      <c r="C517" s="2">
        <f>C515/C516-1</f>
        <v>0.27755218768089396</v>
      </c>
    </row>
    <row r="519" spans="1:5" x14ac:dyDescent="0.55000000000000004">
      <c r="A519" t="s">
        <v>1110</v>
      </c>
      <c r="B519" s="9" t="s">
        <v>892</v>
      </c>
    </row>
    <row r="520" spans="1:5" x14ac:dyDescent="0.55000000000000004">
      <c r="B520" t="s">
        <v>1182</v>
      </c>
    </row>
    <row r="521" spans="1:5" x14ac:dyDescent="0.55000000000000004">
      <c r="A521" t="s">
        <v>1187</v>
      </c>
      <c r="B521" t="s">
        <v>1192</v>
      </c>
    </row>
    <row r="522" spans="1:5" x14ac:dyDescent="0.55000000000000004">
      <c r="A522" t="s">
        <v>1187</v>
      </c>
      <c r="B522" t="s">
        <v>1194</v>
      </c>
    </row>
    <row r="524" spans="1:5" x14ac:dyDescent="0.55000000000000004">
      <c r="B524" s="173" t="s">
        <v>1285</v>
      </c>
      <c r="C524" s="180">
        <f>1.45*Acquirer!I83</f>
        <v>234.23855497904998</v>
      </c>
      <c r="E524">
        <f>C524*1000</f>
        <v>234238.55497904998</v>
      </c>
    </row>
    <row r="525" spans="1:5" x14ac:dyDescent="0.55000000000000004">
      <c r="B525" t="s">
        <v>1286</v>
      </c>
      <c r="C525" s="2">
        <v>0.12</v>
      </c>
    </row>
    <row r="526" spans="1:5" x14ac:dyDescent="0.55000000000000004">
      <c r="B526" s="173" t="s">
        <v>1284</v>
      </c>
      <c r="C526" s="180">
        <f>C525*C524</f>
        <v>28.108626597485998</v>
      </c>
      <c r="E526">
        <f>C526*1000</f>
        <v>28108.626597485996</v>
      </c>
    </row>
    <row r="527" spans="1:5" x14ac:dyDescent="0.55000000000000004">
      <c r="B527" t="s">
        <v>1288</v>
      </c>
      <c r="C527" s="8" t="s">
        <v>1282</v>
      </c>
    </row>
    <row r="528" spans="1:5" x14ac:dyDescent="0.55000000000000004">
      <c r="B528" s="173" t="s">
        <v>1283</v>
      </c>
      <c r="C528" s="174">
        <f>Acquirer!I92*4.5</f>
        <v>118174.48934635824</v>
      </c>
      <c r="E528">
        <f>C528/1000000</f>
        <v>0.11817448934635824</v>
      </c>
    </row>
    <row r="529" spans="1:5" x14ac:dyDescent="0.55000000000000004">
      <c r="B529" s="1" t="s">
        <v>1287</v>
      </c>
      <c r="C529" s="172">
        <f>E526/E528</f>
        <v>237856.97533333334</v>
      </c>
    </row>
    <row r="530" spans="1:5" x14ac:dyDescent="0.55000000000000004">
      <c r="E530">
        <f>C529/900000</f>
        <v>0.26428552814814815</v>
      </c>
    </row>
    <row r="531" spans="1:5" x14ac:dyDescent="0.55000000000000004">
      <c r="A531" t="s">
        <v>1187</v>
      </c>
      <c r="B531" t="s">
        <v>1242</v>
      </c>
    </row>
    <row r="534" spans="1:5" x14ac:dyDescent="0.55000000000000004">
      <c r="B534" s="9" t="s">
        <v>1183</v>
      </c>
    </row>
    <row r="535" spans="1:5" x14ac:dyDescent="0.55000000000000004">
      <c r="B535" t="s">
        <v>1184</v>
      </c>
    </row>
    <row r="537" spans="1:5" x14ac:dyDescent="0.55000000000000004">
      <c r="B537" s="23" t="s">
        <v>1172</v>
      </c>
    </row>
    <row r="539" spans="1:5" x14ac:dyDescent="0.55000000000000004">
      <c r="B539" t="s">
        <v>1196</v>
      </c>
    </row>
    <row r="540" spans="1:5" x14ac:dyDescent="0.55000000000000004">
      <c r="B540" t="s">
        <v>1193</v>
      </c>
    </row>
    <row r="541" spans="1:5" x14ac:dyDescent="0.55000000000000004">
      <c r="C541" t="s">
        <v>1195</v>
      </c>
    </row>
    <row r="542" spans="1:5" x14ac:dyDescent="0.55000000000000004">
      <c r="B542" s="9"/>
      <c r="C542" t="s">
        <v>1197</v>
      </c>
    </row>
    <row r="543" spans="1:5" x14ac:dyDescent="0.55000000000000004">
      <c r="B543" t="s">
        <v>1201</v>
      </c>
    </row>
    <row r="545" spans="2:3" x14ac:dyDescent="0.55000000000000004">
      <c r="C545" t="s">
        <v>1200</v>
      </c>
    </row>
    <row r="546" spans="2:3" x14ac:dyDescent="0.55000000000000004">
      <c r="B546" t="s">
        <v>1198</v>
      </c>
    </row>
    <row r="547" spans="2:3" x14ac:dyDescent="0.55000000000000004">
      <c r="B547" t="s">
        <v>1199</v>
      </c>
    </row>
    <row r="548" spans="2:3" x14ac:dyDescent="0.55000000000000004">
      <c r="C548" t="s">
        <v>1205</v>
      </c>
    </row>
    <row r="549" spans="2:3" x14ac:dyDescent="0.55000000000000004">
      <c r="C549" t="s">
        <v>1206</v>
      </c>
    </row>
    <row r="550" spans="2:3" x14ac:dyDescent="0.55000000000000004">
      <c r="C550" t="s">
        <v>1207</v>
      </c>
    </row>
    <row r="551" spans="2:3" x14ac:dyDescent="0.55000000000000004">
      <c r="C551" t="s">
        <v>1208</v>
      </c>
    </row>
    <row r="552" spans="2:3" x14ac:dyDescent="0.55000000000000004">
      <c r="C552" t="s">
        <v>1209</v>
      </c>
    </row>
    <row r="553" spans="2:3" x14ac:dyDescent="0.55000000000000004">
      <c r="C553" t="s">
        <v>1210</v>
      </c>
    </row>
    <row r="554" spans="2:3" x14ac:dyDescent="0.55000000000000004">
      <c r="C554" t="s">
        <v>1211</v>
      </c>
    </row>
    <row r="555" spans="2:3" x14ac:dyDescent="0.55000000000000004">
      <c r="B555" t="s">
        <v>1202</v>
      </c>
    </row>
    <row r="557" spans="2:3" x14ac:dyDescent="0.55000000000000004">
      <c r="B557" t="s">
        <v>182</v>
      </c>
    </row>
    <row r="558" spans="2:3" x14ac:dyDescent="0.55000000000000004">
      <c r="C558" t="s">
        <v>1203</v>
      </c>
    </row>
    <row r="559" spans="2:3" x14ac:dyDescent="0.55000000000000004">
      <c r="C559" t="s">
        <v>1204</v>
      </c>
    </row>
    <row r="560" spans="2:3" x14ac:dyDescent="0.55000000000000004">
      <c r="B560" t="s">
        <v>1212</v>
      </c>
    </row>
    <row r="561" spans="2:4" x14ac:dyDescent="0.55000000000000004">
      <c r="C561" t="s">
        <v>1214</v>
      </c>
    </row>
    <row r="562" spans="2:4" x14ac:dyDescent="0.55000000000000004">
      <c r="C562" t="s">
        <v>1215</v>
      </c>
    </row>
    <row r="563" spans="2:4" x14ac:dyDescent="0.55000000000000004">
      <c r="B563" t="s">
        <v>1213</v>
      </c>
    </row>
    <row r="564" spans="2:4" x14ac:dyDescent="0.55000000000000004">
      <c r="C564" t="s">
        <v>1216</v>
      </c>
    </row>
    <row r="565" spans="2:4" x14ac:dyDescent="0.55000000000000004">
      <c r="C565" t="s">
        <v>1217</v>
      </c>
    </row>
    <row r="566" spans="2:4" x14ac:dyDescent="0.55000000000000004">
      <c r="B566" t="s">
        <v>1218</v>
      </c>
    </row>
    <row r="567" spans="2:4" x14ac:dyDescent="0.55000000000000004">
      <c r="C567" t="s">
        <v>1220</v>
      </c>
    </row>
    <row r="568" spans="2:4" x14ac:dyDescent="0.55000000000000004">
      <c r="C568" t="s">
        <v>1221</v>
      </c>
    </row>
    <row r="569" spans="2:4" x14ac:dyDescent="0.55000000000000004">
      <c r="D569" t="s">
        <v>1222</v>
      </c>
    </row>
    <row r="570" spans="2:4" x14ac:dyDescent="0.55000000000000004">
      <c r="D570" t="s">
        <v>1223</v>
      </c>
    </row>
    <row r="571" spans="2:4" x14ac:dyDescent="0.55000000000000004">
      <c r="C571" t="s">
        <v>1219</v>
      </c>
    </row>
    <row r="572" spans="2:4" x14ac:dyDescent="0.55000000000000004">
      <c r="B572" t="s">
        <v>449</v>
      </c>
    </row>
    <row r="573" spans="2:4" x14ac:dyDescent="0.55000000000000004">
      <c r="C573" t="s">
        <v>1224</v>
      </c>
    </row>
    <row r="574" spans="2:4" x14ac:dyDescent="0.55000000000000004">
      <c r="C574" t="s">
        <v>1225</v>
      </c>
    </row>
    <row r="575" spans="2:4" x14ac:dyDescent="0.55000000000000004">
      <c r="C575" t="s">
        <v>1226</v>
      </c>
    </row>
    <row r="576" spans="2:4" x14ac:dyDescent="0.55000000000000004">
      <c r="C576" t="s">
        <v>1227</v>
      </c>
    </row>
    <row r="577" spans="2:7" x14ac:dyDescent="0.55000000000000004">
      <c r="B577" t="s">
        <v>892</v>
      </c>
    </row>
    <row r="578" spans="2:7" x14ac:dyDescent="0.55000000000000004">
      <c r="C578" t="s">
        <v>1228</v>
      </c>
    </row>
    <row r="579" spans="2:7" x14ac:dyDescent="0.55000000000000004">
      <c r="C579" t="s">
        <v>1229</v>
      </c>
    </row>
    <row r="580" spans="2:7" x14ac:dyDescent="0.55000000000000004">
      <c r="D580" t="s">
        <v>1232</v>
      </c>
    </row>
    <row r="581" spans="2:7" x14ac:dyDescent="0.55000000000000004">
      <c r="B581" t="s">
        <v>1230</v>
      </c>
      <c r="G581" t="s">
        <v>1110</v>
      </c>
    </row>
    <row r="582" spans="2:7" x14ac:dyDescent="0.55000000000000004">
      <c r="C582" t="s">
        <v>1243</v>
      </c>
    </row>
    <row r="583" spans="2:7" x14ac:dyDescent="0.55000000000000004">
      <c r="D583" t="s">
        <v>1244</v>
      </c>
    </row>
    <row r="584" spans="2:7" x14ac:dyDescent="0.55000000000000004">
      <c r="D584" t="s">
        <v>1245</v>
      </c>
    </row>
    <row r="585" spans="2:7" x14ac:dyDescent="0.55000000000000004">
      <c r="D585" t="s">
        <v>1246</v>
      </c>
    </row>
    <row r="586" spans="2:7" x14ac:dyDescent="0.55000000000000004">
      <c r="D586" t="s">
        <v>1247</v>
      </c>
    </row>
    <row r="587" spans="2:7" x14ac:dyDescent="0.55000000000000004">
      <c r="D587" t="s">
        <v>1248</v>
      </c>
    </row>
    <row r="588" spans="2:7" x14ac:dyDescent="0.55000000000000004">
      <c r="C588" t="s">
        <v>1231</v>
      </c>
    </row>
    <row r="589" spans="2:7" x14ac:dyDescent="0.55000000000000004">
      <c r="C589" t="s">
        <v>1234</v>
      </c>
    </row>
    <row r="590" spans="2:7" x14ac:dyDescent="0.55000000000000004">
      <c r="C590" t="s">
        <v>1233</v>
      </c>
    </row>
    <row r="591" spans="2:7" x14ac:dyDescent="0.55000000000000004">
      <c r="C591" t="s">
        <v>1235</v>
      </c>
    </row>
    <row r="592" spans="2:7" x14ac:dyDescent="0.55000000000000004">
      <c r="B592" t="s">
        <v>435</v>
      </c>
    </row>
    <row r="593" spans="2:3" x14ac:dyDescent="0.55000000000000004">
      <c r="C593" s="11" t="s">
        <v>1236</v>
      </c>
    </row>
    <row r="594" spans="2:3" x14ac:dyDescent="0.55000000000000004">
      <c r="B594" t="s">
        <v>1237</v>
      </c>
    </row>
    <row r="595" spans="2:3" x14ac:dyDescent="0.55000000000000004">
      <c r="C595" t="s">
        <v>1238</v>
      </c>
    </row>
    <row r="596" spans="2:3" x14ac:dyDescent="0.55000000000000004">
      <c r="B596" t="s">
        <v>1239</v>
      </c>
    </row>
    <row r="597" spans="2:3" x14ac:dyDescent="0.55000000000000004">
      <c r="C597" t="s">
        <v>1240</v>
      </c>
    </row>
    <row r="598" spans="2:3" x14ac:dyDescent="0.55000000000000004">
      <c r="B598" t="s">
        <v>392</v>
      </c>
    </row>
    <row r="599" spans="2:3" x14ac:dyDescent="0.55000000000000004">
      <c r="C599" t="s">
        <v>1241</v>
      </c>
    </row>
    <row r="600" spans="2:3" x14ac:dyDescent="0.55000000000000004">
      <c r="B600" t="s">
        <v>1249</v>
      </c>
    </row>
    <row r="601" spans="2:3" x14ac:dyDescent="0.55000000000000004">
      <c r="C601" t="s">
        <v>1250</v>
      </c>
    </row>
    <row r="602" spans="2:3" x14ac:dyDescent="0.55000000000000004">
      <c r="C602" t="s">
        <v>1251</v>
      </c>
    </row>
    <row r="603" spans="2:3" x14ac:dyDescent="0.55000000000000004">
      <c r="C603" t="s">
        <v>1252</v>
      </c>
    </row>
    <row r="604" spans="2:3" x14ac:dyDescent="0.55000000000000004">
      <c r="B604" t="s">
        <v>1253</v>
      </c>
    </row>
    <row r="605" spans="2:3" x14ac:dyDescent="0.55000000000000004">
      <c r="C605" t="s">
        <v>1254</v>
      </c>
    </row>
    <row r="606" spans="2:3" x14ac:dyDescent="0.55000000000000004">
      <c r="C606" t="s">
        <v>1255</v>
      </c>
    </row>
    <row r="607" spans="2:3" x14ac:dyDescent="0.55000000000000004">
      <c r="C607" t="s">
        <v>1256</v>
      </c>
    </row>
    <row r="609" spans="2:5" x14ac:dyDescent="0.55000000000000004">
      <c r="C609" t="s">
        <v>1257</v>
      </c>
    </row>
    <row r="610" spans="2:5" x14ac:dyDescent="0.55000000000000004">
      <c r="C610" t="s">
        <v>1258</v>
      </c>
    </row>
    <row r="611" spans="2:5" x14ac:dyDescent="0.55000000000000004">
      <c r="B611" t="s">
        <v>942</v>
      </c>
    </row>
    <row r="612" spans="2:5" x14ac:dyDescent="0.55000000000000004">
      <c r="C612" t="s">
        <v>1259</v>
      </c>
    </row>
    <row r="613" spans="2:5" x14ac:dyDescent="0.55000000000000004">
      <c r="B613" t="s">
        <v>250</v>
      </c>
    </row>
    <row r="614" spans="2:5" x14ac:dyDescent="0.55000000000000004">
      <c r="C614" t="s">
        <v>1260</v>
      </c>
    </row>
    <row r="615" spans="2:5" x14ac:dyDescent="0.55000000000000004">
      <c r="C615" t="s">
        <v>1262</v>
      </c>
    </row>
    <row r="616" spans="2:5" x14ac:dyDescent="0.55000000000000004">
      <c r="D616" t="s">
        <v>1263</v>
      </c>
    </row>
    <row r="617" spans="2:5" x14ac:dyDescent="0.55000000000000004">
      <c r="D617" t="s">
        <v>1264</v>
      </c>
    </row>
    <row r="618" spans="2:5" x14ac:dyDescent="0.55000000000000004">
      <c r="D618" t="s">
        <v>1265</v>
      </c>
    </row>
    <row r="619" spans="2:5" x14ac:dyDescent="0.55000000000000004">
      <c r="E619" t="s">
        <v>1266</v>
      </c>
    </row>
    <row r="620" spans="2:5" x14ac:dyDescent="0.55000000000000004">
      <c r="E620" t="s">
        <v>1267</v>
      </c>
    </row>
    <row r="621" spans="2:5" x14ac:dyDescent="0.55000000000000004">
      <c r="B621" t="s">
        <v>311</v>
      </c>
    </row>
    <row r="622" spans="2:5" x14ac:dyDescent="0.55000000000000004">
      <c r="C622" t="s">
        <v>1261</v>
      </c>
    </row>
    <row r="623" spans="2:5" x14ac:dyDescent="0.55000000000000004">
      <c r="C623" t="s">
        <v>1268</v>
      </c>
    </row>
    <row r="624" spans="2:5" x14ac:dyDescent="0.55000000000000004">
      <c r="D624" t="s">
        <v>1269</v>
      </c>
    </row>
    <row r="625" spans="2:4" x14ac:dyDescent="0.55000000000000004">
      <c r="B625" t="s">
        <v>1270</v>
      </c>
    </row>
    <row r="626" spans="2:4" x14ac:dyDescent="0.55000000000000004">
      <c r="B626" t="s">
        <v>1274</v>
      </c>
    </row>
    <row r="627" spans="2:4" x14ac:dyDescent="0.55000000000000004">
      <c r="B627" t="s">
        <v>1272</v>
      </c>
    </row>
    <row r="628" spans="2:4" x14ac:dyDescent="0.55000000000000004">
      <c r="C628" t="s">
        <v>1273</v>
      </c>
    </row>
    <row r="629" spans="2:4" x14ac:dyDescent="0.55000000000000004">
      <c r="B629" t="s">
        <v>1275</v>
      </c>
    </row>
    <row r="631" spans="2:4" x14ac:dyDescent="0.55000000000000004">
      <c r="B631" t="s">
        <v>671</v>
      </c>
    </row>
    <row r="632" spans="2:4" x14ac:dyDescent="0.55000000000000004">
      <c r="C632" t="s">
        <v>1276</v>
      </c>
    </row>
    <row r="633" spans="2:4" x14ac:dyDescent="0.55000000000000004">
      <c r="D633" t="s">
        <v>1277</v>
      </c>
    </row>
    <row r="634" spans="2:4" x14ac:dyDescent="0.55000000000000004">
      <c r="D634" t="s">
        <v>1278</v>
      </c>
    </row>
    <row r="635" spans="2:4" x14ac:dyDescent="0.55000000000000004">
      <c r="D635" t="s">
        <v>1279</v>
      </c>
    </row>
    <row r="637" spans="2:4" x14ac:dyDescent="0.55000000000000004">
      <c r="B637" s="23" t="s">
        <v>1289</v>
      </c>
    </row>
    <row r="639" spans="2:4" x14ac:dyDescent="0.55000000000000004">
      <c r="B639" t="s">
        <v>182</v>
      </c>
    </row>
    <row r="640" spans="2:4" x14ac:dyDescent="0.55000000000000004">
      <c r="C640" t="s">
        <v>1313</v>
      </c>
    </row>
    <row r="641" spans="4:6" x14ac:dyDescent="0.55000000000000004">
      <c r="D641" s="292" t="s">
        <v>1314</v>
      </c>
    </row>
    <row r="642" spans="4:6" x14ac:dyDescent="0.55000000000000004">
      <c r="D642" s="292" t="s">
        <v>1315</v>
      </c>
    </row>
    <row r="643" spans="4:6" x14ac:dyDescent="0.55000000000000004">
      <c r="D643" s="292"/>
      <c r="E643" s="292" t="s">
        <v>1316</v>
      </c>
    </row>
    <row r="644" spans="4:6" x14ac:dyDescent="0.55000000000000004">
      <c r="D644" s="292"/>
      <c r="E644" s="292" t="s">
        <v>1319</v>
      </c>
    </row>
    <row r="645" spans="4:6" x14ac:dyDescent="0.55000000000000004">
      <c r="D645" s="292"/>
      <c r="E645" s="292" t="s">
        <v>1317</v>
      </c>
    </row>
    <row r="646" spans="4:6" x14ac:dyDescent="0.55000000000000004">
      <c r="D646" s="292"/>
      <c r="E646" s="292" t="s">
        <v>1318</v>
      </c>
    </row>
    <row r="647" spans="4:6" x14ac:dyDescent="0.55000000000000004">
      <c r="D647" s="292"/>
      <c r="E647" s="292" t="s">
        <v>1320</v>
      </c>
    </row>
    <row r="648" spans="4:6" x14ac:dyDescent="0.55000000000000004">
      <c r="D648" s="292" t="s">
        <v>1321</v>
      </c>
      <c r="E648" s="292"/>
    </row>
    <row r="649" spans="4:6" x14ac:dyDescent="0.55000000000000004">
      <c r="D649" s="292" t="s">
        <v>1322</v>
      </c>
    </row>
    <row r="650" spans="4:6" x14ac:dyDescent="0.55000000000000004">
      <c r="D650" s="292" t="s">
        <v>1323</v>
      </c>
    </row>
    <row r="651" spans="4:6" x14ac:dyDescent="0.55000000000000004">
      <c r="D651" s="292"/>
      <c r="E651" s="292" t="s">
        <v>1324</v>
      </c>
    </row>
    <row r="652" spans="4:6" x14ac:dyDescent="0.55000000000000004">
      <c r="D652" s="292" t="s">
        <v>1325</v>
      </c>
      <c r="E652" s="292"/>
    </row>
    <row r="653" spans="4:6" x14ac:dyDescent="0.55000000000000004">
      <c r="D653" s="292"/>
      <c r="E653" s="292" t="s">
        <v>1327</v>
      </c>
    </row>
    <row r="654" spans="4:6" x14ac:dyDescent="0.55000000000000004">
      <c r="D654" s="292"/>
      <c r="E654" s="292"/>
      <c r="F654" t="s">
        <v>1329</v>
      </c>
    </row>
    <row r="655" spans="4:6" x14ac:dyDescent="0.55000000000000004">
      <c r="D655" s="292"/>
      <c r="E655" s="292"/>
      <c r="F655" t="s">
        <v>1330</v>
      </c>
    </row>
    <row r="656" spans="4:6" x14ac:dyDescent="0.55000000000000004">
      <c r="D656" s="292"/>
      <c r="E656" s="292" t="s">
        <v>1326</v>
      </c>
    </row>
    <row r="657" spans="3:5" x14ac:dyDescent="0.55000000000000004">
      <c r="D657" s="292"/>
      <c r="E657" s="292" t="s">
        <v>1328</v>
      </c>
    </row>
    <row r="658" spans="3:5" x14ac:dyDescent="0.55000000000000004">
      <c r="D658" s="292" t="s">
        <v>1331</v>
      </c>
      <c r="E658" s="292"/>
    </row>
    <row r="659" spans="3:5" x14ac:dyDescent="0.55000000000000004">
      <c r="D659" s="292"/>
      <c r="E659" s="292"/>
    </row>
    <row r="660" spans="3:5" x14ac:dyDescent="0.55000000000000004">
      <c r="C660" t="s">
        <v>1290</v>
      </c>
    </row>
    <row r="661" spans="3:5" x14ac:dyDescent="0.55000000000000004">
      <c r="C661" t="s">
        <v>1291</v>
      </c>
    </row>
    <row r="662" spans="3:5" x14ac:dyDescent="0.55000000000000004">
      <c r="C662" t="s">
        <v>1307</v>
      </c>
    </row>
    <row r="663" spans="3:5" x14ac:dyDescent="0.55000000000000004">
      <c r="D663" t="s">
        <v>1308</v>
      </c>
    </row>
    <row r="664" spans="3:5" x14ac:dyDescent="0.55000000000000004">
      <c r="E664" s="292" t="s">
        <v>1309</v>
      </c>
    </row>
    <row r="665" spans="3:5" x14ac:dyDescent="0.55000000000000004">
      <c r="D665" t="s">
        <v>1299</v>
      </c>
    </row>
    <row r="666" spans="3:5" x14ac:dyDescent="0.55000000000000004">
      <c r="E666" s="292" t="s">
        <v>1311</v>
      </c>
    </row>
    <row r="667" spans="3:5" x14ac:dyDescent="0.55000000000000004">
      <c r="E667" s="292" t="s">
        <v>1332</v>
      </c>
    </row>
    <row r="668" spans="3:5" x14ac:dyDescent="0.55000000000000004">
      <c r="D668" t="s">
        <v>1312</v>
      </c>
      <c r="E668" s="292"/>
    </row>
    <row r="669" spans="3:5" x14ac:dyDescent="0.55000000000000004">
      <c r="E669" s="292" t="s">
        <v>1310</v>
      </c>
    </row>
    <row r="670" spans="3:5" x14ac:dyDescent="0.55000000000000004">
      <c r="E670" s="293">
        <f>5% + 2.5%</f>
        <v>7.5000000000000011E-2</v>
      </c>
    </row>
    <row r="671" spans="3:5" x14ac:dyDescent="0.55000000000000004">
      <c r="C671" t="s">
        <v>1294</v>
      </c>
    </row>
    <row r="672" spans="3:5" x14ac:dyDescent="0.55000000000000004">
      <c r="D672" t="s">
        <v>1303</v>
      </c>
    </row>
    <row r="673" spans="2:7" x14ac:dyDescent="0.55000000000000004">
      <c r="D673" t="s">
        <v>1305</v>
      </c>
    </row>
    <row r="675" spans="2:7" x14ac:dyDescent="0.55000000000000004">
      <c r="C675" t="s">
        <v>1302</v>
      </c>
    </row>
    <row r="676" spans="2:7" x14ac:dyDescent="0.55000000000000004">
      <c r="B676" t="s">
        <v>246</v>
      </c>
    </row>
    <row r="677" spans="2:7" x14ac:dyDescent="0.55000000000000004">
      <c r="C677" t="s">
        <v>1304</v>
      </c>
    </row>
    <row r="678" spans="2:7" x14ac:dyDescent="0.55000000000000004">
      <c r="D678" s="295" t="s">
        <v>882</v>
      </c>
    </row>
    <row r="679" spans="2:7" x14ac:dyDescent="0.55000000000000004">
      <c r="E679" s="292" t="s">
        <v>1335</v>
      </c>
    </row>
    <row r="680" spans="2:7" x14ac:dyDescent="0.55000000000000004">
      <c r="E680" s="292" t="s">
        <v>1336</v>
      </c>
    </row>
    <row r="681" spans="2:7" x14ac:dyDescent="0.55000000000000004">
      <c r="E681" s="292"/>
      <c r="F681" s="292" t="s">
        <v>1337</v>
      </c>
    </row>
    <row r="682" spans="2:7" x14ac:dyDescent="0.55000000000000004">
      <c r="E682" s="292"/>
      <c r="F682" s="292" t="s">
        <v>1338</v>
      </c>
    </row>
    <row r="683" spans="2:7" x14ac:dyDescent="0.55000000000000004">
      <c r="E683" s="292"/>
      <c r="F683" s="292" t="s">
        <v>1339</v>
      </c>
    </row>
    <row r="684" spans="2:7" x14ac:dyDescent="0.55000000000000004">
      <c r="E684" s="292"/>
      <c r="F684" s="292"/>
      <c r="G684" s="292" t="s">
        <v>1340</v>
      </c>
    </row>
    <row r="685" spans="2:7" x14ac:dyDescent="0.55000000000000004">
      <c r="E685" s="292"/>
      <c r="F685" s="292" t="s">
        <v>1341</v>
      </c>
      <c r="G685" s="292"/>
    </row>
    <row r="686" spans="2:7" x14ac:dyDescent="0.55000000000000004">
      <c r="E686" s="292"/>
      <c r="F686" s="292"/>
      <c r="G686" s="292" t="s">
        <v>1342</v>
      </c>
    </row>
    <row r="687" spans="2:7" x14ac:dyDescent="0.55000000000000004">
      <c r="E687" s="292"/>
      <c r="F687" s="292"/>
      <c r="G687" s="292" t="s">
        <v>1343</v>
      </c>
    </row>
    <row r="688" spans="2:7" x14ac:dyDescent="0.55000000000000004">
      <c r="E688" s="292"/>
      <c r="F688" s="292"/>
      <c r="G688" s="292" t="s">
        <v>1348</v>
      </c>
    </row>
    <row r="689" spans="4:7" x14ac:dyDescent="0.55000000000000004">
      <c r="E689" s="292"/>
      <c r="F689" s="292"/>
      <c r="G689" s="292" t="s">
        <v>1349</v>
      </c>
    </row>
    <row r="690" spans="4:7" x14ac:dyDescent="0.55000000000000004">
      <c r="E690" s="292"/>
      <c r="F690" s="292"/>
      <c r="G690" s="292" t="s">
        <v>1350</v>
      </c>
    </row>
    <row r="691" spans="4:7" x14ac:dyDescent="0.55000000000000004">
      <c r="E691" s="292"/>
      <c r="F691" s="292" t="s">
        <v>1355</v>
      </c>
      <c r="G691" s="292"/>
    </row>
    <row r="692" spans="4:7" x14ac:dyDescent="0.55000000000000004">
      <c r="E692" s="292"/>
      <c r="F692" s="292"/>
      <c r="G692" s="292" t="s">
        <v>1356</v>
      </c>
    </row>
    <row r="693" spans="4:7" x14ac:dyDescent="0.55000000000000004">
      <c r="E693" s="294" t="s">
        <v>1351</v>
      </c>
      <c r="F693" s="292"/>
      <c r="G693" s="292"/>
    </row>
    <row r="694" spans="4:7" x14ac:dyDescent="0.55000000000000004">
      <c r="E694" s="294" t="s">
        <v>1352</v>
      </c>
      <c r="F694" s="292"/>
      <c r="G694" s="292"/>
    </row>
    <row r="695" spans="4:7" x14ac:dyDescent="0.55000000000000004">
      <c r="E695" s="294"/>
      <c r="F695" s="292" t="s">
        <v>1353</v>
      </c>
      <c r="G695" s="292"/>
    </row>
    <row r="696" spans="4:7" x14ac:dyDescent="0.55000000000000004">
      <c r="E696" s="292"/>
      <c r="F696" s="292" t="s">
        <v>1354</v>
      </c>
      <c r="G696" s="292"/>
    </row>
    <row r="697" spans="4:7" x14ac:dyDescent="0.55000000000000004">
      <c r="E697" s="292" t="s">
        <v>1344</v>
      </c>
      <c r="F697" s="292"/>
      <c r="G697" s="292"/>
    </row>
    <row r="698" spans="4:7" x14ac:dyDescent="0.55000000000000004">
      <c r="E698" s="292"/>
      <c r="F698" s="292" t="s">
        <v>1345</v>
      </c>
      <c r="G698" s="292"/>
    </row>
    <row r="699" spans="4:7" x14ac:dyDescent="0.55000000000000004">
      <c r="E699" s="292"/>
      <c r="F699" s="292" t="s">
        <v>1346</v>
      </c>
      <c r="G699" s="292"/>
    </row>
    <row r="700" spans="4:7" x14ac:dyDescent="0.55000000000000004">
      <c r="E700" s="292" t="s">
        <v>1347</v>
      </c>
      <c r="F700" s="292"/>
      <c r="G700" s="292"/>
    </row>
    <row r="701" spans="4:7" x14ac:dyDescent="0.55000000000000004">
      <c r="D701" s="295" t="s">
        <v>1358</v>
      </c>
      <c r="E701" s="292"/>
      <c r="F701" s="292"/>
      <c r="G701" s="292"/>
    </row>
    <row r="702" spans="4:7" x14ac:dyDescent="0.55000000000000004">
      <c r="E702" s="292" t="s">
        <v>1357</v>
      </c>
      <c r="F702" s="292"/>
      <c r="G702" s="292"/>
    </row>
    <row r="703" spans="4:7" x14ac:dyDescent="0.55000000000000004">
      <c r="E703" s="292"/>
      <c r="F703" s="292" t="s">
        <v>1359</v>
      </c>
      <c r="G703" s="292"/>
    </row>
    <row r="704" spans="4:7" x14ac:dyDescent="0.55000000000000004">
      <c r="E704" s="292"/>
      <c r="F704" s="292" t="s">
        <v>1366</v>
      </c>
      <c r="G704" s="292"/>
    </row>
    <row r="705" spans="2:7" x14ac:dyDescent="0.55000000000000004">
      <c r="E705" s="292" t="s">
        <v>1360</v>
      </c>
      <c r="F705" s="292"/>
      <c r="G705" s="292"/>
    </row>
    <row r="706" spans="2:7" x14ac:dyDescent="0.55000000000000004">
      <c r="E706" s="292"/>
      <c r="F706" s="292" t="s">
        <v>1361</v>
      </c>
      <c r="G706" s="292"/>
    </row>
    <row r="707" spans="2:7" x14ac:dyDescent="0.55000000000000004">
      <c r="E707" s="292"/>
      <c r="F707" s="292" t="s">
        <v>1362</v>
      </c>
      <c r="G707" s="292"/>
    </row>
    <row r="708" spans="2:7" x14ac:dyDescent="0.55000000000000004">
      <c r="E708" s="292"/>
      <c r="F708" s="292"/>
      <c r="G708" s="292" t="s">
        <v>1363</v>
      </c>
    </row>
    <row r="709" spans="2:7" x14ac:dyDescent="0.55000000000000004">
      <c r="E709" s="292" t="s">
        <v>1364</v>
      </c>
      <c r="F709" s="292"/>
      <c r="G709" s="292"/>
    </row>
    <row r="710" spans="2:7" x14ac:dyDescent="0.55000000000000004">
      <c r="E710" s="292"/>
      <c r="F710" s="292" t="s">
        <v>1365</v>
      </c>
      <c r="G710" s="292"/>
    </row>
    <row r="711" spans="2:7" x14ac:dyDescent="0.55000000000000004">
      <c r="E711" s="292" t="s">
        <v>1367</v>
      </c>
      <c r="F711" s="292"/>
      <c r="G711" s="292"/>
    </row>
    <row r="712" spans="2:7" x14ac:dyDescent="0.55000000000000004">
      <c r="E712" s="292" t="s">
        <v>1368</v>
      </c>
      <c r="F712" s="292" t="s">
        <v>1369</v>
      </c>
      <c r="G712" s="292"/>
    </row>
    <row r="713" spans="2:7" x14ac:dyDescent="0.55000000000000004">
      <c r="E713" s="292"/>
      <c r="F713" s="292" t="s">
        <v>1370</v>
      </c>
      <c r="G713" s="292"/>
    </row>
    <row r="714" spans="2:7" x14ac:dyDescent="0.55000000000000004">
      <c r="E714" s="292"/>
      <c r="F714" s="292" t="s">
        <v>1371</v>
      </c>
      <c r="G714" s="292"/>
    </row>
    <row r="715" spans="2:7" x14ac:dyDescent="0.55000000000000004">
      <c r="D715" s="295" t="s">
        <v>883</v>
      </c>
      <c r="E715" s="292"/>
      <c r="F715" s="292"/>
      <c r="G715" s="292"/>
    </row>
    <row r="716" spans="2:7" x14ac:dyDescent="0.55000000000000004">
      <c r="E716" s="292"/>
      <c r="F716" s="292"/>
      <c r="G716" s="292"/>
    </row>
    <row r="717" spans="2:7" x14ac:dyDescent="0.55000000000000004">
      <c r="B717" t="s">
        <v>250</v>
      </c>
      <c r="E717" s="292"/>
      <c r="F717" s="292"/>
      <c r="G717" s="292"/>
    </row>
    <row r="718" spans="2:7" x14ac:dyDescent="0.55000000000000004">
      <c r="D718" s="292" t="s">
        <v>1372</v>
      </c>
      <c r="E718" s="292"/>
      <c r="F718" s="292"/>
      <c r="G718" s="292"/>
    </row>
    <row r="719" spans="2:7" x14ac:dyDescent="0.55000000000000004">
      <c r="D719" s="292" t="s">
        <v>1373</v>
      </c>
      <c r="E719" s="292"/>
      <c r="F719" s="292"/>
      <c r="G719" s="292"/>
    </row>
    <row r="720" spans="2:7" x14ac:dyDescent="0.55000000000000004">
      <c r="D720" s="292"/>
      <c r="E720" s="292" t="s">
        <v>1375</v>
      </c>
      <c r="F720" s="292"/>
      <c r="G720" s="292"/>
    </row>
    <row r="721" spans="2:7" x14ac:dyDescent="0.55000000000000004">
      <c r="D721" s="292"/>
      <c r="E721" s="292"/>
      <c r="F721" s="292" t="s">
        <v>1376</v>
      </c>
      <c r="G721" s="292"/>
    </row>
    <row r="722" spans="2:7" x14ac:dyDescent="0.55000000000000004">
      <c r="D722" s="292"/>
      <c r="E722" s="292"/>
      <c r="F722" s="292" t="s">
        <v>1378</v>
      </c>
      <c r="G722" s="292"/>
    </row>
    <row r="723" spans="2:7" x14ac:dyDescent="0.55000000000000004">
      <c r="D723" s="292"/>
      <c r="E723" s="292"/>
      <c r="F723" s="292" t="s">
        <v>1377</v>
      </c>
      <c r="G723" s="292"/>
    </row>
    <row r="724" spans="2:7" x14ac:dyDescent="0.55000000000000004">
      <c r="D724" s="292"/>
      <c r="E724" s="292" t="s">
        <v>1374</v>
      </c>
      <c r="F724" s="292"/>
      <c r="G724" s="292"/>
    </row>
    <row r="725" spans="2:7" x14ac:dyDescent="0.55000000000000004">
      <c r="E725" s="292"/>
      <c r="F725" s="292"/>
      <c r="G725" s="292"/>
    </row>
    <row r="726" spans="2:7" x14ac:dyDescent="0.55000000000000004">
      <c r="C726" t="s">
        <v>1292</v>
      </c>
    </row>
    <row r="727" spans="2:7" x14ac:dyDescent="0.55000000000000004">
      <c r="E727" s="292" t="s">
        <v>1334</v>
      </c>
    </row>
    <row r="728" spans="2:7" x14ac:dyDescent="0.55000000000000004">
      <c r="E728" s="292" t="s">
        <v>1333</v>
      </c>
    </row>
    <row r="729" spans="2:7" x14ac:dyDescent="0.55000000000000004">
      <c r="C729" t="s">
        <v>1300</v>
      </c>
    </row>
    <row r="730" spans="2:7" x14ac:dyDescent="0.55000000000000004">
      <c r="D730" t="s">
        <v>1301</v>
      </c>
    </row>
    <row r="731" spans="2:7" x14ac:dyDescent="0.55000000000000004">
      <c r="B731" t="s">
        <v>311</v>
      </c>
    </row>
    <row r="732" spans="2:7" x14ac:dyDescent="0.55000000000000004">
      <c r="C732" t="s">
        <v>1293</v>
      </c>
    </row>
    <row r="733" spans="2:7" x14ac:dyDescent="0.55000000000000004">
      <c r="B733" t="s">
        <v>1295</v>
      </c>
    </row>
    <row r="734" spans="2:7" x14ac:dyDescent="0.55000000000000004">
      <c r="C734" t="s">
        <v>1296</v>
      </c>
    </row>
    <row r="735" spans="2:7" x14ac:dyDescent="0.55000000000000004">
      <c r="D735" t="s">
        <v>1297</v>
      </c>
    </row>
    <row r="736" spans="2:7" x14ac:dyDescent="0.55000000000000004">
      <c r="B736" t="s">
        <v>1298</v>
      </c>
    </row>
    <row r="738" spans="2:5" x14ac:dyDescent="0.55000000000000004">
      <c r="B738" t="s">
        <v>1230</v>
      </c>
    </row>
    <row r="739" spans="2:5" x14ac:dyDescent="0.55000000000000004">
      <c r="C739" t="s">
        <v>1306</v>
      </c>
    </row>
    <row r="740" spans="2:5" x14ac:dyDescent="0.55000000000000004">
      <c r="B740" s="23" t="s">
        <v>321</v>
      </c>
    </row>
    <row r="741" spans="2:5" x14ac:dyDescent="0.55000000000000004">
      <c r="B741" t="s">
        <v>1379</v>
      </c>
    </row>
    <row r="742" spans="2:5" x14ac:dyDescent="0.55000000000000004">
      <c r="C742" s="296">
        <v>1</v>
      </c>
      <c r="D742" s="292" t="s">
        <v>1380</v>
      </c>
    </row>
    <row r="743" spans="2:5" x14ac:dyDescent="0.55000000000000004">
      <c r="C743" s="296"/>
      <c r="D743" s="292"/>
      <c r="E743" s="292" t="s">
        <v>1384</v>
      </c>
    </row>
    <row r="744" spans="2:5" x14ac:dyDescent="0.55000000000000004">
      <c r="C744" s="296"/>
      <c r="D744" s="292"/>
      <c r="E744" s="292" t="s">
        <v>1385</v>
      </c>
    </row>
    <row r="745" spans="2:5" x14ac:dyDescent="0.55000000000000004">
      <c r="C745" s="296"/>
      <c r="D745" s="292" t="s">
        <v>1386</v>
      </c>
      <c r="E745" s="292"/>
    </row>
    <row r="746" spans="2:5" x14ac:dyDescent="0.55000000000000004">
      <c r="C746" s="296"/>
      <c r="D746" s="292"/>
      <c r="E746" s="292" t="s">
        <v>1387</v>
      </c>
    </row>
    <row r="747" spans="2:5" x14ac:dyDescent="0.55000000000000004">
      <c r="C747" s="296"/>
      <c r="D747" s="292"/>
      <c r="E747" s="292" t="s">
        <v>1388</v>
      </c>
    </row>
    <row r="748" spans="2:5" x14ac:dyDescent="0.55000000000000004">
      <c r="D748" s="292" t="s">
        <v>1398</v>
      </c>
    </row>
    <row r="749" spans="2:5" x14ac:dyDescent="0.55000000000000004">
      <c r="D749" s="292" t="s">
        <v>1381</v>
      </c>
    </row>
    <row r="750" spans="2:5" x14ac:dyDescent="0.55000000000000004">
      <c r="D750" s="292" t="s">
        <v>1390</v>
      </c>
    </row>
    <row r="751" spans="2:5" x14ac:dyDescent="0.55000000000000004">
      <c r="D751" s="292"/>
      <c r="E751" s="292" t="s">
        <v>1391</v>
      </c>
    </row>
    <row r="752" spans="2:5" x14ac:dyDescent="0.55000000000000004">
      <c r="D752" s="292"/>
      <c r="E752" s="292" t="s">
        <v>1392</v>
      </c>
    </row>
    <row r="753" spans="2:6" x14ac:dyDescent="0.55000000000000004">
      <c r="D753" s="292" t="s">
        <v>1393</v>
      </c>
      <c r="E753" s="292"/>
    </row>
    <row r="754" spans="2:6" x14ac:dyDescent="0.55000000000000004">
      <c r="D754" s="292" t="s">
        <v>1394</v>
      </c>
      <c r="E754" s="292"/>
    </row>
    <row r="755" spans="2:6" x14ac:dyDescent="0.55000000000000004">
      <c r="D755" s="292"/>
      <c r="E755" s="292" t="s">
        <v>1395</v>
      </c>
    </row>
    <row r="756" spans="2:6" x14ac:dyDescent="0.55000000000000004">
      <c r="D756" s="292"/>
      <c r="E756" s="292" t="s">
        <v>1397</v>
      </c>
    </row>
    <row r="757" spans="2:6" x14ac:dyDescent="0.55000000000000004">
      <c r="D757" s="292"/>
      <c r="E757" s="292"/>
      <c r="F757" s="292" t="s">
        <v>1396</v>
      </c>
    </row>
    <row r="758" spans="2:6" x14ac:dyDescent="0.55000000000000004">
      <c r="D758" s="292" t="s">
        <v>1401</v>
      </c>
      <c r="E758" s="292"/>
      <c r="F758" s="292"/>
    </row>
    <row r="759" spans="2:6" x14ac:dyDescent="0.55000000000000004">
      <c r="D759" s="292"/>
      <c r="E759" s="292" t="s">
        <v>1399</v>
      </c>
      <c r="F759" s="292"/>
    </row>
    <row r="760" spans="2:6" x14ac:dyDescent="0.55000000000000004">
      <c r="D760" s="292"/>
      <c r="E760" s="292" t="s">
        <v>1400</v>
      </c>
      <c r="F760" s="292"/>
    </row>
    <row r="761" spans="2:6" x14ac:dyDescent="0.55000000000000004">
      <c r="D761" s="292" t="s">
        <v>1402</v>
      </c>
      <c r="E761" s="292"/>
      <c r="F761" s="292"/>
    </row>
    <row r="762" spans="2:6" x14ac:dyDescent="0.55000000000000004">
      <c r="D762" s="292"/>
      <c r="E762" s="292" t="s">
        <v>1403</v>
      </c>
      <c r="F762" s="292"/>
    </row>
    <row r="763" spans="2:6" x14ac:dyDescent="0.55000000000000004">
      <c r="C763" s="296">
        <v>2</v>
      </c>
      <c r="D763" s="292" t="s">
        <v>1389</v>
      </c>
    </row>
    <row r="764" spans="2:6" x14ac:dyDescent="0.55000000000000004">
      <c r="C764" s="296">
        <v>3</v>
      </c>
      <c r="D764" s="292" t="s">
        <v>1382</v>
      </c>
    </row>
    <row r="765" spans="2:6" x14ac:dyDescent="0.55000000000000004">
      <c r="E765" s="292" t="s">
        <v>1383</v>
      </c>
    </row>
    <row r="767" spans="2:6" x14ac:dyDescent="0.55000000000000004">
      <c r="B767" s="23" t="s">
        <v>1466</v>
      </c>
    </row>
    <row r="769" spans="2:5" x14ac:dyDescent="0.55000000000000004">
      <c r="B769" t="s">
        <v>1467</v>
      </c>
    </row>
    <row r="770" spans="2:5" x14ac:dyDescent="0.55000000000000004">
      <c r="B770" t="s">
        <v>1468</v>
      </c>
    </row>
    <row r="771" spans="2:5" x14ac:dyDescent="0.55000000000000004">
      <c r="B771" t="s">
        <v>1469</v>
      </c>
    </row>
    <row r="773" spans="2:5" x14ac:dyDescent="0.55000000000000004">
      <c r="B773" s="238">
        <v>2020</v>
      </c>
      <c r="C773" t="s">
        <v>462</v>
      </c>
      <c r="D773">
        <v>2000</v>
      </c>
      <c r="E773" t="s">
        <v>1470</v>
      </c>
    </row>
    <row r="774" spans="2:5" x14ac:dyDescent="0.55000000000000004">
      <c r="B774" t="s">
        <v>1471</v>
      </c>
      <c r="D774">
        <f>0.025*D773</f>
        <v>50</v>
      </c>
    </row>
    <row r="775" spans="2:5" x14ac:dyDescent="0.55000000000000004">
      <c r="B775" t="s">
        <v>1472</v>
      </c>
    </row>
    <row r="777" spans="2:5" x14ac:dyDescent="0.55000000000000004">
      <c r="B777" t="s">
        <v>4</v>
      </c>
    </row>
    <row r="778" spans="2:5" x14ac:dyDescent="0.55000000000000004">
      <c r="B778" t="s">
        <v>1473</v>
      </c>
    </row>
    <row r="779" spans="2:5" x14ac:dyDescent="0.55000000000000004">
      <c r="B779" t="s">
        <v>1474</v>
      </c>
      <c r="C779" t="s">
        <v>1475</v>
      </c>
    </row>
    <row r="780" spans="2:5" x14ac:dyDescent="0.55000000000000004">
      <c r="C780" t="s">
        <v>1476</v>
      </c>
    </row>
    <row r="782" spans="2:5" x14ac:dyDescent="0.55000000000000004">
      <c r="B782" t="s">
        <v>1478</v>
      </c>
      <c r="C782" t="s">
        <v>1477</v>
      </c>
    </row>
    <row r="784" spans="2:5" x14ac:dyDescent="0.55000000000000004">
      <c r="B784" t="s">
        <v>392</v>
      </c>
      <c r="C784" t="s">
        <v>1479</v>
      </c>
    </row>
    <row r="785" spans="2:5" x14ac:dyDescent="0.55000000000000004">
      <c r="C785" t="s">
        <v>1481</v>
      </c>
      <c r="D785" s="2">
        <v>0.4</v>
      </c>
    </row>
    <row r="786" spans="2:5" x14ac:dyDescent="0.55000000000000004">
      <c r="C786" t="s">
        <v>182</v>
      </c>
    </row>
    <row r="787" spans="2:5" x14ac:dyDescent="0.55000000000000004">
      <c r="C787" t="s">
        <v>1480</v>
      </c>
    </row>
    <row r="788" spans="2:5" x14ac:dyDescent="0.55000000000000004">
      <c r="B788" s="18" t="s">
        <v>1503</v>
      </c>
    </row>
    <row r="790" spans="2:5" x14ac:dyDescent="0.55000000000000004">
      <c r="B790" s="9" t="s">
        <v>1237</v>
      </c>
    </row>
    <row r="791" spans="2:5" x14ac:dyDescent="0.55000000000000004">
      <c r="B791" t="s">
        <v>1482</v>
      </c>
    </row>
    <row r="792" spans="2:5" x14ac:dyDescent="0.55000000000000004">
      <c r="B792" t="s">
        <v>1483</v>
      </c>
      <c r="E792" t="s">
        <v>1502</v>
      </c>
    </row>
    <row r="793" spans="2:5" x14ac:dyDescent="0.55000000000000004">
      <c r="B793" t="s">
        <v>1484</v>
      </c>
      <c r="E793" t="s">
        <v>1502</v>
      </c>
    </row>
    <row r="794" spans="2:5" x14ac:dyDescent="0.55000000000000004">
      <c r="B794" t="s">
        <v>1492</v>
      </c>
      <c r="E794" t="s">
        <v>1502</v>
      </c>
    </row>
    <row r="796" spans="2:5" x14ac:dyDescent="0.55000000000000004">
      <c r="B796" s="9" t="s">
        <v>1485</v>
      </c>
    </row>
    <row r="797" spans="2:5" x14ac:dyDescent="0.55000000000000004">
      <c r="B797" t="s">
        <v>1486</v>
      </c>
    </row>
    <row r="798" spans="2:5" x14ac:dyDescent="0.55000000000000004">
      <c r="B798" t="s">
        <v>1487</v>
      </c>
    </row>
    <row r="800" spans="2:5" x14ac:dyDescent="0.55000000000000004">
      <c r="B800" s="9" t="s">
        <v>1488</v>
      </c>
    </row>
    <row r="801" spans="2:3" x14ac:dyDescent="0.55000000000000004">
      <c r="B801" t="s">
        <v>1489</v>
      </c>
      <c r="C801" s="9" t="s">
        <v>1505</v>
      </c>
    </row>
    <row r="803" spans="2:3" x14ac:dyDescent="0.55000000000000004">
      <c r="B803" t="s">
        <v>1501</v>
      </c>
    </row>
    <row r="805" spans="2:3" x14ac:dyDescent="0.55000000000000004">
      <c r="B805" t="s">
        <v>1490</v>
      </c>
    </row>
    <row r="806" spans="2:3" x14ac:dyDescent="0.55000000000000004">
      <c r="B806" t="s">
        <v>1491</v>
      </c>
    </row>
    <row r="808" spans="2:3" x14ac:dyDescent="0.55000000000000004">
      <c r="B808" s="18" t="s">
        <v>1440</v>
      </c>
    </row>
    <row r="810" spans="2:3" x14ac:dyDescent="0.55000000000000004">
      <c r="B810" t="s">
        <v>1496</v>
      </c>
    </row>
    <row r="811" spans="2:3" x14ac:dyDescent="0.55000000000000004">
      <c r="C811" t="s">
        <v>1506</v>
      </c>
    </row>
    <row r="813" spans="2:3" x14ac:dyDescent="0.55000000000000004">
      <c r="B813" t="s">
        <v>1493</v>
      </c>
    </row>
    <row r="814" spans="2:3" x14ac:dyDescent="0.55000000000000004">
      <c r="C814" t="s">
        <v>1494</v>
      </c>
    </row>
    <row r="815" spans="2:3" x14ac:dyDescent="0.55000000000000004">
      <c r="B815" s="238" t="s">
        <v>1495</v>
      </c>
    </row>
    <row r="817" spans="2:4" x14ac:dyDescent="0.55000000000000004">
      <c r="B817" t="s">
        <v>596</v>
      </c>
      <c r="C817" t="s">
        <v>666</v>
      </c>
      <c r="D817" s="161">
        <v>0.25</v>
      </c>
    </row>
    <row r="818" spans="2:4" x14ac:dyDescent="0.55000000000000004">
      <c r="B818" t="s">
        <v>265</v>
      </c>
      <c r="C818" t="s">
        <v>666</v>
      </c>
      <c r="D818" s="238" t="s">
        <v>1497</v>
      </c>
    </row>
    <row r="819" spans="2:4" x14ac:dyDescent="0.55000000000000004">
      <c r="B819" t="s">
        <v>1498</v>
      </c>
      <c r="C819" t="s">
        <v>1499</v>
      </c>
      <c r="D819" s="238" t="s">
        <v>1500</v>
      </c>
    </row>
    <row r="821" spans="2:4" x14ac:dyDescent="0.55000000000000004">
      <c r="B821" s="18" t="s">
        <v>1504</v>
      </c>
    </row>
    <row r="823" spans="2:4" x14ac:dyDescent="0.55000000000000004">
      <c r="B823" t="s">
        <v>1507</v>
      </c>
    </row>
    <row r="825" spans="2:4" x14ac:dyDescent="0.55000000000000004">
      <c r="B825" s="18" t="s">
        <v>1508</v>
      </c>
    </row>
    <row r="827" spans="2:4" x14ac:dyDescent="0.55000000000000004">
      <c r="B827" s="18" t="s">
        <v>1509</v>
      </c>
      <c r="C827" t="s">
        <v>1510</v>
      </c>
    </row>
    <row r="829" spans="2:4" x14ac:dyDescent="0.55000000000000004">
      <c r="B829" s="244">
        <v>44531</v>
      </c>
    </row>
    <row r="831" spans="2:4" x14ac:dyDescent="0.55000000000000004">
      <c r="B831" t="s">
        <v>1537</v>
      </c>
    </row>
    <row r="832" spans="2:4" x14ac:dyDescent="0.55000000000000004">
      <c r="C832" t="s">
        <v>1538</v>
      </c>
    </row>
    <row r="833" spans="2:4" x14ac:dyDescent="0.55000000000000004">
      <c r="C833" t="s">
        <v>1539</v>
      </c>
    </row>
    <row r="834" spans="2:4" x14ac:dyDescent="0.55000000000000004">
      <c r="B834" t="s">
        <v>1540</v>
      </c>
    </row>
    <row r="835" spans="2:4" x14ac:dyDescent="0.55000000000000004">
      <c r="C835" t="s">
        <v>1541</v>
      </c>
    </row>
    <row r="836" spans="2:4" x14ac:dyDescent="0.55000000000000004">
      <c r="B836" t="s">
        <v>1542</v>
      </c>
    </row>
    <row r="838" spans="2:4" x14ac:dyDescent="0.55000000000000004">
      <c r="B838" s="9" t="s">
        <v>1544</v>
      </c>
    </row>
    <row r="839" spans="2:4" x14ac:dyDescent="0.55000000000000004">
      <c r="B839" t="s">
        <v>1545</v>
      </c>
    </row>
    <row r="840" spans="2:4" x14ac:dyDescent="0.55000000000000004">
      <c r="B840" t="s">
        <v>1551</v>
      </c>
    </row>
    <row r="841" spans="2:4" x14ac:dyDescent="0.55000000000000004">
      <c r="C841" t="s">
        <v>1546</v>
      </c>
    </row>
    <row r="842" spans="2:4" x14ac:dyDescent="0.55000000000000004">
      <c r="D842" t="s">
        <v>1549</v>
      </c>
    </row>
    <row r="843" spans="2:4" x14ac:dyDescent="0.55000000000000004">
      <c r="D843" t="s">
        <v>1550</v>
      </c>
    </row>
    <row r="844" spans="2:4" x14ac:dyDescent="0.55000000000000004">
      <c r="C844" t="s">
        <v>1547</v>
      </c>
    </row>
    <row r="845" spans="2:4" x14ac:dyDescent="0.55000000000000004">
      <c r="D845" t="s">
        <v>1548</v>
      </c>
    </row>
    <row r="846" spans="2:4" x14ac:dyDescent="0.55000000000000004">
      <c r="C846" t="s">
        <v>1555</v>
      </c>
    </row>
    <row r="847" spans="2:4" x14ac:dyDescent="0.55000000000000004">
      <c r="B847" t="s">
        <v>1560</v>
      </c>
    </row>
    <row r="848" spans="2:4" x14ac:dyDescent="0.55000000000000004">
      <c r="C848" t="s">
        <v>1556</v>
      </c>
    </row>
    <row r="849" spans="2:4" x14ac:dyDescent="0.55000000000000004">
      <c r="C849" t="s">
        <v>1557</v>
      </c>
    </row>
    <row r="850" spans="2:4" x14ac:dyDescent="0.55000000000000004">
      <c r="D850" t="s">
        <v>1558</v>
      </c>
    </row>
    <row r="851" spans="2:4" x14ac:dyDescent="0.55000000000000004">
      <c r="D851" t="s">
        <v>1559</v>
      </c>
    </row>
    <row r="852" spans="2:4" x14ac:dyDescent="0.55000000000000004">
      <c r="B852" t="s">
        <v>1060</v>
      </c>
    </row>
    <row r="853" spans="2:4" x14ac:dyDescent="0.55000000000000004">
      <c r="C853" t="s">
        <v>1561</v>
      </c>
    </row>
    <row r="854" spans="2:4" x14ac:dyDescent="0.55000000000000004">
      <c r="B854" t="s">
        <v>1543</v>
      </c>
    </row>
    <row r="855" spans="2:4" x14ac:dyDescent="0.55000000000000004">
      <c r="B855" t="s">
        <v>596</v>
      </c>
    </row>
    <row r="856" spans="2:4" x14ac:dyDescent="0.55000000000000004">
      <c r="C856" t="s">
        <v>1552</v>
      </c>
    </row>
    <row r="857" spans="2:4" x14ac:dyDescent="0.55000000000000004">
      <c r="C857" t="s">
        <v>1553</v>
      </c>
    </row>
    <row r="858" spans="2:4" x14ac:dyDescent="0.55000000000000004">
      <c r="C858" t="s">
        <v>1554</v>
      </c>
    </row>
    <row r="859" spans="2:4" x14ac:dyDescent="0.55000000000000004">
      <c r="B859" t="s">
        <v>1562</v>
      </c>
    </row>
    <row r="860" spans="2:4" x14ac:dyDescent="0.55000000000000004">
      <c r="B860" t="s">
        <v>1563</v>
      </c>
    </row>
    <row r="861" spans="2:4" x14ac:dyDescent="0.55000000000000004">
      <c r="C861" t="s">
        <v>1564</v>
      </c>
    </row>
    <row r="862" spans="2:4" x14ac:dyDescent="0.55000000000000004">
      <c r="C862" t="s">
        <v>1565</v>
      </c>
    </row>
    <row r="863" spans="2:4" x14ac:dyDescent="0.55000000000000004">
      <c r="C863" t="s">
        <v>1566</v>
      </c>
    </row>
    <row r="864" spans="2:4" x14ac:dyDescent="0.55000000000000004">
      <c r="C864" t="s">
        <v>1567</v>
      </c>
    </row>
    <row r="865" spans="2:4" x14ac:dyDescent="0.55000000000000004">
      <c r="C865" t="s">
        <v>1568</v>
      </c>
    </row>
    <row r="866" spans="2:4" x14ac:dyDescent="0.55000000000000004">
      <c r="D866" t="s">
        <v>1569</v>
      </c>
    </row>
    <row r="867" spans="2:4" x14ac:dyDescent="0.55000000000000004">
      <c r="B867" t="s">
        <v>1570</v>
      </c>
    </row>
    <row r="868" spans="2:4" x14ac:dyDescent="0.55000000000000004">
      <c r="C868" t="s">
        <v>1571</v>
      </c>
    </row>
    <row r="869" spans="2:4" x14ac:dyDescent="0.55000000000000004">
      <c r="C869" t="s">
        <v>1572</v>
      </c>
    </row>
    <row r="870" spans="2:4" x14ac:dyDescent="0.55000000000000004">
      <c r="B870" t="s">
        <v>1573</v>
      </c>
    </row>
    <row r="871" spans="2:4" x14ac:dyDescent="0.55000000000000004">
      <c r="C871" t="s">
        <v>1574</v>
      </c>
    </row>
    <row r="872" spans="2:4" x14ac:dyDescent="0.55000000000000004">
      <c r="C872" t="s">
        <v>1575</v>
      </c>
      <c r="D872" t="s">
        <v>1576</v>
      </c>
    </row>
    <row r="873" spans="2:4" x14ac:dyDescent="0.55000000000000004">
      <c r="C873" t="s">
        <v>1577</v>
      </c>
    </row>
    <row r="874" spans="2:4" x14ac:dyDescent="0.55000000000000004">
      <c r="C874" t="s">
        <v>1578</v>
      </c>
    </row>
    <row r="875" spans="2:4" x14ac:dyDescent="0.55000000000000004">
      <c r="D875" t="s">
        <v>1579</v>
      </c>
    </row>
    <row r="876" spans="2:4" x14ac:dyDescent="0.55000000000000004">
      <c r="B876" t="s">
        <v>1060</v>
      </c>
    </row>
    <row r="877" spans="2:4" x14ac:dyDescent="0.55000000000000004">
      <c r="C877" t="s">
        <v>1580</v>
      </c>
    </row>
    <row r="878" spans="2:4" x14ac:dyDescent="0.55000000000000004">
      <c r="D878" t="s">
        <v>1581</v>
      </c>
    </row>
    <row r="879" spans="2:4" x14ac:dyDescent="0.55000000000000004">
      <c r="D879" t="s">
        <v>1582</v>
      </c>
    </row>
    <row r="880" spans="2:4" x14ac:dyDescent="0.55000000000000004">
      <c r="C880" t="s">
        <v>1583</v>
      </c>
    </row>
    <row r="881" spans="2:4" x14ac:dyDescent="0.55000000000000004">
      <c r="D881" t="s">
        <v>1585</v>
      </c>
    </row>
    <row r="882" spans="2:4" x14ac:dyDescent="0.55000000000000004">
      <c r="D882" t="s">
        <v>1584</v>
      </c>
    </row>
    <row r="883" spans="2:4" x14ac:dyDescent="0.55000000000000004">
      <c r="B883" t="s">
        <v>1586</v>
      </c>
    </row>
    <row r="884" spans="2:4" x14ac:dyDescent="0.55000000000000004">
      <c r="C884" t="s">
        <v>1587</v>
      </c>
      <c r="D884" t="s">
        <v>1591</v>
      </c>
    </row>
    <row r="885" spans="2:4" x14ac:dyDescent="0.55000000000000004">
      <c r="C885" t="s">
        <v>1588</v>
      </c>
      <c r="D885" t="s">
        <v>1589</v>
      </c>
    </row>
    <row r="886" spans="2:4" x14ac:dyDescent="0.55000000000000004">
      <c r="C886" t="s">
        <v>794</v>
      </c>
      <c r="D886" t="s">
        <v>1590</v>
      </c>
    </row>
    <row r="887" spans="2:4" x14ac:dyDescent="0.55000000000000004">
      <c r="B887" t="s">
        <v>1592</v>
      </c>
    </row>
    <row r="888" spans="2:4" x14ac:dyDescent="0.55000000000000004">
      <c r="C888" t="s">
        <v>1593</v>
      </c>
    </row>
    <row r="889" spans="2:4" x14ac:dyDescent="0.55000000000000004">
      <c r="C889" t="s">
        <v>1594</v>
      </c>
    </row>
    <row r="890" spans="2:4" x14ac:dyDescent="0.55000000000000004">
      <c r="D890" t="s">
        <v>1595</v>
      </c>
    </row>
    <row r="891" spans="2:4" x14ac:dyDescent="0.55000000000000004">
      <c r="C891" t="s">
        <v>1596</v>
      </c>
    </row>
    <row r="892" spans="2:4" x14ac:dyDescent="0.55000000000000004">
      <c r="D892" t="s">
        <v>1597</v>
      </c>
    </row>
    <row r="893" spans="2:4" x14ac:dyDescent="0.55000000000000004">
      <c r="D893" t="s">
        <v>1598</v>
      </c>
    </row>
    <row r="894" spans="2:4" x14ac:dyDescent="0.55000000000000004">
      <c r="C894" t="s">
        <v>1599</v>
      </c>
    </row>
    <row r="896" spans="2:4" x14ac:dyDescent="0.55000000000000004">
      <c r="C896" t="s">
        <v>1600</v>
      </c>
    </row>
    <row r="897" spans="2:4" x14ac:dyDescent="0.55000000000000004">
      <c r="B897" t="s">
        <v>1601</v>
      </c>
    </row>
    <row r="898" spans="2:4" x14ac:dyDescent="0.55000000000000004">
      <c r="C898" t="s">
        <v>1590</v>
      </c>
    </row>
    <row r="899" spans="2:4" x14ac:dyDescent="0.55000000000000004">
      <c r="C899" t="s">
        <v>1305</v>
      </c>
    </row>
    <row r="900" spans="2:4" x14ac:dyDescent="0.55000000000000004">
      <c r="B900" t="s">
        <v>1602</v>
      </c>
    </row>
    <row r="901" spans="2:4" x14ac:dyDescent="0.55000000000000004">
      <c r="C901" t="s">
        <v>1603</v>
      </c>
    </row>
    <row r="902" spans="2:4" x14ac:dyDescent="0.55000000000000004">
      <c r="C902" t="s">
        <v>1590</v>
      </c>
    </row>
    <row r="903" spans="2:4" x14ac:dyDescent="0.55000000000000004">
      <c r="B903" t="s">
        <v>1604</v>
      </c>
    </row>
    <row r="904" spans="2:4" x14ac:dyDescent="0.55000000000000004">
      <c r="C904" t="s">
        <v>1605</v>
      </c>
    </row>
    <row r="905" spans="2:4" x14ac:dyDescent="0.55000000000000004">
      <c r="D905" t="s">
        <v>1606</v>
      </c>
    </row>
    <row r="906" spans="2:4" x14ac:dyDescent="0.55000000000000004">
      <c r="B906" s="238">
        <v>2022</v>
      </c>
    </row>
    <row r="907" spans="2:4" x14ac:dyDescent="0.55000000000000004">
      <c r="C907" t="s">
        <v>1607</v>
      </c>
    </row>
    <row r="908" spans="2:4" x14ac:dyDescent="0.55000000000000004">
      <c r="C908" t="s">
        <v>1608</v>
      </c>
    </row>
    <row r="909" spans="2:4" x14ac:dyDescent="0.55000000000000004">
      <c r="B909" t="s">
        <v>1609</v>
      </c>
    </row>
    <row r="910" spans="2:4" x14ac:dyDescent="0.55000000000000004">
      <c r="C910" t="s">
        <v>1610</v>
      </c>
    </row>
    <row r="911" spans="2:4" x14ac:dyDescent="0.55000000000000004">
      <c r="C911" t="s">
        <v>1611</v>
      </c>
    </row>
    <row r="912" spans="2:4" x14ac:dyDescent="0.55000000000000004">
      <c r="B912" t="s">
        <v>1612</v>
      </c>
    </row>
    <row r="913" spans="2:5" x14ac:dyDescent="0.55000000000000004">
      <c r="C913" t="s">
        <v>1613</v>
      </c>
    </row>
    <row r="914" spans="2:5" x14ac:dyDescent="0.55000000000000004">
      <c r="C914" s="238">
        <v>2019</v>
      </c>
      <c r="D914" t="s">
        <v>1614</v>
      </c>
    </row>
    <row r="915" spans="2:5" ht="15.6" x14ac:dyDescent="0.6">
      <c r="B915" t="s">
        <v>1615</v>
      </c>
    </row>
    <row r="916" spans="2:5" x14ac:dyDescent="0.55000000000000004">
      <c r="C916" t="s">
        <v>1616</v>
      </c>
    </row>
    <row r="917" spans="2:5" x14ac:dyDescent="0.55000000000000004">
      <c r="B917" t="s">
        <v>1617</v>
      </c>
    </row>
    <row r="918" spans="2:5" x14ac:dyDescent="0.55000000000000004">
      <c r="C918" t="s">
        <v>1618</v>
      </c>
    </row>
    <row r="919" spans="2:5" x14ac:dyDescent="0.55000000000000004">
      <c r="C919" t="s">
        <v>1619</v>
      </c>
    </row>
    <row r="921" spans="2:5" x14ac:dyDescent="0.55000000000000004">
      <c r="B921" s="244" t="s">
        <v>1626</v>
      </c>
    </row>
    <row r="923" spans="2:5" x14ac:dyDescent="0.55000000000000004">
      <c r="B923" t="s">
        <v>1628</v>
      </c>
    </row>
    <row r="924" spans="2:5" x14ac:dyDescent="0.55000000000000004">
      <c r="C924" t="s">
        <v>1629</v>
      </c>
    </row>
    <row r="925" spans="2:5" x14ac:dyDescent="0.55000000000000004">
      <c r="C925" s="4">
        <f>Acquirer!K7-Acquirer!J7</f>
        <v>101</v>
      </c>
      <c r="D925" s="11">
        <v>2.4E-2</v>
      </c>
      <c r="E925" s="4">
        <f>C925*D925*1000</f>
        <v>2424</v>
      </c>
    </row>
    <row r="926" spans="2:5" x14ac:dyDescent="0.55000000000000004">
      <c r="C926" s="4" t="s">
        <v>1633</v>
      </c>
      <c r="D926" s="11"/>
      <c r="E926" s="4"/>
    </row>
    <row r="927" spans="2:5" x14ac:dyDescent="0.55000000000000004">
      <c r="C927" s="4" t="s">
        <v>1634</v>
      </c>
      <c r="D927" s="11"/>
      <c r="E927" s="4"/>
    </row>
    <row r="928" spans="2:5" x14ac:dyDescent="0.55000000000000004">
      <c r="C928" s="4"/>
      <c r="D928" s="11"/>
      <c r="E928" s="4"/>
    </row>
    <row r="929" spans="2:6" x14ac:dyDescent="0.55000000000000004">
      <c r="B929" t="s">
        <v>1627</v>
      </c>
    </row>
    <row r="930" spans="2:6" x14ac:dyDescent="0.55000000000000004">
      <c r="C930" s="9">
        <v>2021</v>
      </c>
      <c r="D930" s="9">
        <v>2022</v>
      </c>
    </row>
    <row r="931" spans="2:6" x14ac:dyDescent="0.55000000000000004">
      <c r="C931" s="4">
        <f>Master!I61</f>
        <v>731.78134999999997</v>
      </c>
      <c r="D931" s="4">
        <f>Master!J61</f>
        <v>2857.4321969078628</v>
      </c>
      <c r="E931" s="4">
        <f>D931-C931</f>
        <v>2125.6508469078626</v>
      </c>
      <c r="F931" t="s">
        <v>1653</v>
      </c>
    </row>
    <row r="932" spans="2:6" x14ac:dyDescent="0.55000000000000004">
      <c r="C932" s="4"/>
      <c r="D932" s="4"/>
      <c r="E932" s="4"/>
      <c r="F932" t="s">
        <v>1654</v>
      </c>
    </row>
    <row r="933" spans="2:6" x14ac:dyDescent="0.55000000000000004">
      <c r="C933" s="4" t="s">
        <v>1160</v>
      </c>
      <c r="D933" s="4">
        <v>300</v>
      </c>
      <c r="E933" s="4"/>
    </row>
    <row r="934" spans="2:6" x14ac:dyDescent="0.55000000000000004">
      <c r="C934" s="4">
        <v>2022</v>
      </c>
      <c r="D934" s="14">
        <v>1.2</v>
      </c>
      <c r="E934" s="4"/>
      <c r="F934" t="s">
        <v>1655</v>
      </c>
    </row>
    <row r="935" spans="2:6" x14ac:dyDescent="0.55000000000000004">
      <c r="B935" t="s">
        <v>396</v>
      </c>
    </row>
    <row r="936" spans="2:6" x14ac:dyDescent="0.55000000000000004">
      <c r="C936" s="9">
        <f>C930</f>
        <v>2021</v>
      </c>
      <c r="D936" s="9">
        <f>D930</f>
        <v>2022</v>
      </c>
    </row>
    <row r="937" spans="2:6" x14ac:dyDescent="0.55000000000000004">
      <c r="C937" s="4">
        <f>Master!I72</f>
        <v>768.6</v>
      </c>
      <c r="D937" s="4">
        <f>Master!J72</f>
        <v>1131</v>
      </c>
      <c r="E937" s="4">
        <f>D937-C937</f>
        <v>362.4</v>
      </c>
      <c r="F937" s="8" t="s">
        <v>1650</v>
      </c>
    </row>
    <row r="938" spans="2:6" x14ac:dyDescent="0.55000000000000004">
      <c r="C938" s="4" t="s">
        <v>1648</v>
      </c>
      <c r="D938" s="4"/>
      <c r="E938" s="4"/>
    </row>
    <row r="939" spans="2:6" x14ac:dyDescent="0.55000000000000004">
      <c r="C939" s="4"/>
      <c r="D939" s="4" t="s">
        <v>1649</v>
      </c>
      <c r="E939" s="4"/>
    </row>
    <row r="940" spans="2:6" x14ac:dyDescent="0.55000000000000004">
      <c r="B940" t="s">
        <v>449</v>
      </c>
      <c r="C940" s="9">
        <f>C937</f>
        <v>768.6</v>
      </c>
      <c r="D940" s="9">
        <f>D937</f>
        <v>1131</v>
      </c>
      <c r="E940" s="4"/>
    </row>
    <row r="941" spans="2:6" x14ac:dyDescent="0.55000000000000004">
      <c r="C941">
        <v>1.8</v>
      </c>
      <c r="D941" s="8" t="s">
        <v>1651</v>
      </c>
      <c r="F941" t="s">
        <v>1652</v>
      </c>
    </row>
    <row r="942" spans="2:6" x14ac:dyDescent="0.55000000000000004">
      <c r="D942" s="8"/>
    </row>
    <row r="943" spans="2:6" x14ac:dyDescent="0.55000000000000004">
      <c r="B943" t="s">
        <v>1630</v>
      </c>
      <c r="E943" s="4">
        <f>E925-E931-E937</f>
        <v>-64.050846907862592</v>
      </c>
    </row>
    <row r="944" spans="2:6" x14ac:dyDescent="0.55000000000000004">
      <c r="C944" t="s">
        <v>1642</v>
      </c>
      <c r="E944" s="4"/>
    </row>
    <row r="945" spans="2:8" x14ac:dyDescent="0.55000000000000004">
      <c r="E945" s="4"/>
    </row>
    <row r="946" spans="2:8" x14ac:dyDescent="0.55000000000000004">
      <c r="C946" t="s">
        <v>1632</v>
      </c>
      <c r="E946" s="4"/>
    </row>
    <row r="948" spans="2:8" x14ac:dyDescent="0.55000000000000004">
      <c r="B948" t="s">
        <v>250</v>
      </c>
    </row>
    <row r="949" spans="2:8" x14ac:dyDescent="0.55000000000000004">
      <c r="C949" t="s">
        <v>1631</v>
      </c>
    </row>
    <row r="950" spans="2:8" x14ac:dyDescent="0.55000000000000004">
      <c r="B950" t="s">
        <v>1635</v>
      </c>
    </row>
    <row r="951" spans="2:8" x14ac:dyDescent="0.55000000000000004">
      <c r="C951" t="s">
        <v>1637</v>
      </c>
    </row>
    <row r="952" spans="2:8" x14ac:dyDescent="0.55000000000000004">
      <c r="C952" t="s">
        <v>1636</v>
      </c>
    </row>
    <row r="953" spans="2:8" x14ac:dyDescent="0.55000000000000004">
      <c r="C953" t="s">
        <v>1639</v>
      </c>
    </row>
    <row r="954" spans="2:8" x14ac:dyDescent="0.55000000000000004">
      <c r="D954" t="s">
        <v>1638</v>
      </c>
    </row>
    <row r="955" spans="2:8" x14ac:dyDescent="0.55000000000000004">
      <c r="C955" t="s">
        <v>1640</v>
      </c>
    </row>
    <row r="956" spans="2:8" x14ac:dyDescent="0.55000000000000004">
      <c r="C956" t="s">
        <v>1641</v>
      </c>
    </row>
    <row r="958" spans="2:8" x14ac:dyDescent="0.55000000000000004">
      <c r="B958" t="s">
        <v>1647</v>
      </c>
      <c r="C958" t="s">
        <v>1658</v>
      </c>
      <c r="F958" t="s">
        <v>1659</v>
      </c>
    </row>
    <row r="959" spans="2:8" x14ac:dyDescent="0.55000000000000004">
      <c r="F959" t="s">
        <v>1660</v>
      </c>
      <c r="G959" t="s">
        <v>1080</v>
      </c>
      <c r="H959" t="s">
        <v>1661</v>
      </c>
    </row>
    <row r="960" spans="2:8" x14ac:dyDescent="0.55000000000000004">
      <c r="H960" t="s">
        <v>1662</v>
      </c>
    </row>
    <row r="961" spans="2:8" x14ac:dyDescent="0.55000000000000004">
      <c r="H961" t="s">
        <v>1663</v>
      </c>
    </row>
    <row r="962" spans="2:8" x14ac:dyDescent="0.55000000000000004">
      <c r="B962" t="s">
        <v>1643</v>
      </c>
      <c r="C962" t="s">
        <v>1644</v>
      </c>
    </row>
    <row r="963" spans="2:8" x14ac:dyDescent="0.55000000000000004">
      <c r="B963" t="s">
        <v>1645</v>
      </c>
      <c r="C963" t="s">
        <v>1646</v>
      </c>
    </row>
    <row r="966" spans="2:8" x14ac:dyDescent="0.55000000000000004">
      <c r="B966" s="20"/>
      <c r="C966" s="19" t="s">
        <v>1682</v>
      </c>
      <c r="D966" s="19" t="s">
        <v>1697</v>
      </c>
      <c r="E966" s="19" t="s">
        <v>1685</v>
      </c>
      <c r="F966" s="19" t="s">
        <v>1683</v>
      </c>
    </row>
    <row r="967" spans="2:8" x14ac:dyDescent="0.55000000000000004">
      <c r="B967" s="370" t="s">
        <v>4</v>
      </c>
      <c r="C967" s="371"/>
      <c r="D967" s="371"/>
      <c r="E967" s="371"/>
      <c r="F967" s="371"/>
    </row>
    <row r="968" spans="2:8" x14ac:dyDescent="0.55000000000000004">
      <c r="B968" t="s">
        <v>1681</v>
      </c>
      <c r="C968" s="8"/>
      <c r="E968" s="8"/>
      <c r="F968" s="8"/>
    </row>
    <row r="969" spans="2:8" ht="14.4" customHeight="1" x14ac:dyDescent="0.55000000000000004">
      <c r="B969" s="304" t="s">
        <v>1689</v>
      </c>
      <c r="C969" s="371" t="s">
        <v>1688</v>
      </c>
      <c r="D969" s="371" t="s">
        <v>1684</v>
      </c>
      <c r="E969" s="371" t="s">
        <v>1684</v>
      </c>
      <c r="F969" s="677" t="s">
        <v>1694</v>
      </c>
    </row>
    <row r="970" spans="2:8" ht="14.7" thickBot="1" x14ac:dyDescent="0.6">
      <c r="B970" s="10" t="s">
        <v>1690</v>
      </c>
      <c r="C970" s="8" t="s">
        <v>1688</v>
      </c>
      <c r="D970" s="8" t="s">
        <v>1684</v>
      </c>
      <c r="E970" s="8" t="s">
        <v>1691</v>
      </c>
      <c r="F970" s="678"/>
    </row>
    <row r="971" spans="2:8" ht="14.7" thickBot="1" x14ac:dyDescent="0.6">
      <c r="B971" s="305" t="s">
        <v>1643</v>
      </c>
      <c r="C971" s="372" t="s">
        <v>1687</v>
      </c>
      <c r="D971" s="372" t="s">
        <v>1695</v>
      </c>
      <c r="E971" s="372" t="s">
        <v>1721</v>
      </c>
      <c r="F971" s="373" t="s">
        <v>1699</v>
      </c>
    </row>
    <row r="972" spans="2:8" x14ac:dyDescent="0.55000000000000004">
      <c r="B972" t="s">
        <v>1645</v>
      </c>
      <c r="C972" s="8" t="s">
        <v>1686</v>
      </c>
      <c r="D972" s="8" t="s">
        <v>1692</v>
      </c>
      <c r="E972" s="8" t="s">
        <v>1692</v>
      </c>
      <c r="F972" s="8" t="s">
        <v>1696</v>
      </c>
    </row>
    <row r="973" spans="2:8" x14ac:dyDescent="0.55000000000000004">
      <c r="B973" s="173"/>
      <c r="C973" s="173"/>
      <c r="D973" s="173"/>
      <c r="E973" s="173"/>
      <c r="F973" s="173"/>
    </row>
    <row r="974" spans="2:8" ht="14.7" thickBot="1" x14ac:dyDescent="0.6">
      <c r="B974" s="9" t="s">
        <v>3</v>
      </c>
    </row>
    <row r="975" spans="2:8" ht="14.7" thickBot="1" x14ac:dyDescent="0.6">
      <c r="B975" s="305" t="s">
        <v>1693</v>
      </c>
      <c r="C975" s="372" t="s">
        <v>1687</v>
      </c>
      <c r="D975" s="372" t="s">
        <v>1720</v>
      </c>
      <c r="E975" s="372" t="s">
        <v>1719</v>
      </c>
      <c r="F975" s="373" t="s">
        <v>1698</v>
      </c>
    </row>
    <row r="976" spans="2:8" x14ac:dyDescent="0.55000000000000004">
      <c r="B976" t="s">
        <v>1722</v>
      </c>
    </row>
    <row r="978" spans="2:5" x14ac:dyDescent="0.55000000000000004">
      <c r="B978" t="s">
        <v>1656</v>
      </c>
    </row>
    <row r="979" spans="2:5" x14ac:dyDescent="0.55000000000000004">
      <c r="C979" t="s">
        <v>1657</v>
      </c>
    </row>
    <row r="980" spans="2:5" x14ac:dyDescent="0.55000000000000004">
      <c r="B980" t="s">
        <v>1664</v>
      </c>
    </row>
    <row r="981" spans="2:5" x14ac:dyDescent="0.55000000000000004">
      <c r="C981" t="s">
        <v>445</v>
      </c>
      <c r="D981">
        <v>1.5</v>
      </c>
    </row>
    <row r="982" spans="2:5" x14ac:dyDescent="0.55000000000000004">
      <c r="C982" t="s">
        <v>1665</v>
      </c>
      <c r="D982">
        <v>1.7</v>
      </c>
    </row>
    <row r="984" spans="2:5" x14ac:dyDescent="0.55000000000000004">
      <c r="B984" t="s">
        <v>1666</v>
      </c>
    </row>
    <row r="985" spans="2:5" x14ac:dyDescent="0.55000000000000004">
      <c r="C985" t="s">
        <v>1667</v>
      </c>
    </row>
    <row r="986" spans="2:5" x14ac:dyDescent="0.55000000000000004">
      <c r="C986" t="s">
        <v>1668</v>
      </c>
    </row>
    <row r="988" spans="2:5" x14ac:dyDescent="0.55000000000000004">
      <c r="B988" t="s">
        <v>1585</v>
      </c>
    </row>
    <row r="989" spans="2:5" x14ac:dyDescent="0.55000000000000004">
      <c r="C989" t="s">
        <v>1669</v>
      </c>
    </row>
    <row r="990" spans="2:5" x14ac:dyDescent="0.55000000000000004">
      <c r="C990" t="s">
        <v>1670</v>
      </c>
    </row>
    <row r="991" spans="2:5" x14ac:dyDescent="0.55000000000000004">
      <c r="C991" t="s">
        <v>1671</v>
      </c>
      <c r="D991" t="s">
        <v>1672</v>
      </c>
      <c r="E991" t="s">
        <v>1673</v>
      </c>
    </row>
    <row r="992" spans="2:5" x14ac:dyDescent="0.55000000000000004">
      <c r="B992" t="s">
        <v>1674</v>
      </c>
    </row>
    <row r="993" spans="2:4" x14ac:dyDescent="0.55000000000000004">
      <c r="C993" t="s">
        <v>1675</v>
      </c>
    </row>
    <row r="995" spans="2:4" x14ac:dyDescent="0.55000000000000004">
      <c r="B995" s="23" t="s">
        <v>4</v>
      </c>
    </row>
    <row r="996" spans="2:4" x14ac:dyDescent="0.55000000000000004">
      <c r="B996" t="s">
        <v>1760</v>
      </c>
    </row>
    <row r="997" spans="2:4" x14ac:dyDescent="0.55000000000000004">
      <c r="B997" t="s">
        <v>1761</v>
      </c>
    </row>
    <row r="998" spans="2:4" x14ac:dyDescent="0.55000000000000004">
      <c r="B998" t="s">
        <v>1762</v>
      </c>
    </row>
    <row r="1000" spans="2:4" x14ac:dyDescent="0.55000000000000004">
      <c r="B1000" s="23" t="s">
        <v>1160</v>
      </c>
    </row>
    <row r="1002" spans="2:4" x14ac:dyDescent="0.55000000000000004">
      <c r="B1002" t="s">
        <v>1776</v>
      </c>
    </row>
    <row r="1003" spans="2:4" x14ac:dyDescent="0.55000000000000004">
      <c r="C1003" t="s">
        <v>1787</v>
      </c>
    </row>
    <row r="1004" spans="2:4" x14ac:dyDescent="0.55000000000000004">
      <c r="C1004" t="s">
        <v>1788</v>
      </c>
    </row>
    <row r="1005" spans="2:4" x14ac:dyDescent="0.55000000000000004">
      <c r="C1005" t="s">
        <v>1789</v>
      </c>
    </row>
    <row r="1006" spans="2:4" x14ac:dyDescent="0.55000000000000004">
      <c r="C1006" t="s">
        <v>1790</v>
      </c>
    </row>
    <row r="1007" spans="2:4" x14ac:dyDescent="0.55000000000000004">
      <c r="D1007" t="s">
        <v>1792</v>
      </c>
    </row>
    <row r="1008" spans="2:4" x14ac:dyDescent="0.55000000000000004">
      <c r="C1008" t="s">
        <v>1796</v>
      </c>
    </row>
    <row r="1009" spans="2:4" x14ac:dyDescent="0.55000000000000004">
      <c r="D1009" t="s">
        <v>1797</v>
      </c>
    </row>
    <row r="1010" spans="2:4" x14ac:dyDescent="0.55000000000000004">
      <c r="B1010" t="s">
        <v>108</v>
      </c>
    </row>
    <row r="1011" spans="2:4" x14ac:dyDescent="0.55000000000000004">
      <c r="C1011" t="s">
        <v>1777</v>
      </c>
      <c r="D1011" t="s">
        <v>1778</v>
      </c>
    </row>
    <row r="1012" spans="2:4" x14ac:dyDescent="0.55000000000000004">
      <c r="C1012" t="s">
        <v>1779</v>
      </c>
    </row>
    <row r="1013" spans="2:4" x14ac:dyDescent="0.55000000000000004">
      <c r="B1013" t="s">
        <v>1781</v>
      </c>
    </row>
    <row r="1014" spans="2:4" x14ac:dyDescent="0.55000000000000004">
      <c r="B1014" t="s">
        <v>1780</v>
      </c>
    </row>
    <row r="1015" spans="2:4" x14ac:dyDescent="0.55000000000000004">
      <c r="C1015" t="s">
        <v>1783</v>
      </c>
    </row>
    <row r="1016" spans="2:4" x14ac:dyDescent="0.55000000000000004">
      <c r="C1016" t="s">
        <v>1782</v>
      </c>
    </row>
    <row r="1017" spans="2:4" x14ac:dyDescent="0.55000000000000004">
      <c r="B1017" t="s">
        <v>1798</v>
      </c>
    </row>
    <row r="1018" spans="2:4" x14ac:dyDescent="0.55000000000000004">
      <c r="C1018" t="s">
        <v>1799</v>
      </c>
    </row>
    <row r="1020" spans="2:4" x14ac:dyDescent="0.55000000000000004">
      <c r="B1020" s="23" t="s">
        <v>1831</v>
      </c>
    </row>
    <row r="1022" spans="2:4" x14ac:dyDescent="0.55000000000000004">
      <c r="B1022" t="s">
        <v>1832</v>
      </c>
    </row>
    <row r="1023" spans="2:4" x14ac:dyDescent="0.55000000000000004">
      <c r="C1023" t="s">
        <v>1833</v>
      </c>
    </row>
    <row r="1024" spans="2:4" x14ac:dyDescent="0.55000000000000004">
      <c r="B1024" t="s">
        <v>1834</v>
      </c>
    </row>
    <row r="1025" spans="2:4" x14ac:dyDescent="0.55000000000000004">
      <c r="C1025" t="s">
        <v>1835</v>
      </c>
    </row>
    <row r="1026" spans="2:4" x14ac:dyDescent="0.55000000000000004">
      <c r="B1026" t="s">
        <v>1836</v>
      </c>
    </row>
    <row r="1027" spans="2:4" x14ac:dyDescent="0.55000000000000004">
      <c r="B1027" t="s">
        <v>1837</v>
      </c>
    </row>
    <row r="1028" spans="2:4" x14ac:dyDescent="0.55000000000000004">
      <c r="C1028" t="s">
        <v>1838</v>
      </c>
    </row>
    <row r="1029" spans="2:4" x14ac:dyDescent="0.55000000000000004">
      <c r="B1029" t="s">
        <v>1839</v>
      </c>
    </row>
    <row r="1030" spans="2:4" x14ac:dyDescent="0.55000000000000004">
      <c r="C1030" t="s">
        <v>1840</v>
      </c>
    </row>
    <row r="1031" spans="2:4" x14ac:dyDescent="0.55000000000000004">
      <c r="C1031" t="s">
        <v>1841</v>
      </c>
    </row>
    <row r="1032" spans="2:4" x14ac:dyDescent="0.55000000000000004">
      <c r="B1032" t="s">
        <v>1842</v>
      </c>
    </row>
    <row r="1033" spans="2:4" x14ac:dyDescent="0.55000000000000004">
      <c r="C1033" t="s">
        <v>1843</v>
      </c>
    </row>
    <row r="1034" spans="2:4" x14ac:dyDescent="0.55000000000000004">
      <c r="C1034" t="s">
        <v>1846</v>
      </c>
    </row>
    <row r="1035" spans="2:4" x14ac:dyDescent="0.55000000000000004">
      <c r="D1035" t="s">
        <v>1844</v>
      </c>
    </row>
    <row r="1036" spans="2:4" x14ac:dyDescent="0.55000000000000004">
      <c r="D1036" t="s">
        <v>1845</v>
      </c>
    </row>
    <row r="1037" spans="2:4" x14ac:dyDescent="0.55000000000000004">
      <c r="B1037" t="s">
        <v>1847</v>
      </c>
    </row>
    <row r="1038" spans="2:4" x14ac:dyDescent="0.55000000000000004">
      <c r="C1038" t="s">
        <v>1848</v>
      </c>
    </row>
    <row r="1039" spans="2:4" x14ac:dyDescent="0.55000000000000004">
      <c r="B1039" t="s">
        <v>1849</v>
      </c>
    </row>
    <row r="1040" spans="2:4" x14ac:dyDescent="0.55000000000000004">
      <c r="C1040" t="s">
        <v>1850</v>
      </c>
    </row>
    <row r="1041" spans="2:3" x14ac:dyDescent="0.55000000000000004">
      <c r="C1041" t="s">
        <v>1851</v>
      </c>
    </row>
    <row r="1042" spans="2:3" x14ac:dyDescent="0.55000000000000004">
      <c r="B1042" t="s">
        <v>726</v>
      </c>
    </row>
    <row r="1044" spans="2:3" x14ac:dyDescent="0.55000000000000004">
      <c r="B1044" t="s">
        <v>1852</v>
      </c>
    </row>
    <row r="1046" spans="2:3" x14ac:dyDescent="0.55000000000000004">
      <c r="B1046" t="s">
        <v>1853</v>
      </c>
    </row>
    <row r="1047" spans="2:3" x14ac:dyDescent="0.55000000000000004">
      <c r="C1047" t="s">
        <v>1854</v>
      </c>
    </row>
    <row r="1048" spans="2:3" x14ac:dyDescent="0.55000000000000004">
      <c r="B1048" t="s">
        <v>1855</v>
      </c>
    </row>
    <row r="1050" spans="2:3" x14ac:dyDescent="0.55000000000000004">
      <c r="B1050" s="23" t="s">
        <v>1874</v>
      </c>
    </row>
    <row r="1052" spans="2:3" x14ac:dyDescent="0.55000000000000004">
      <c r="B1052" s="9" t="s">
        <v>1886</v>
      </c>
    </row>
    <row r="1053" spans="2:3" x14ac:dyDescent="0.55000000000000004">
      <c r="B1053" t="s">
        <v>1877</v>
      </c>
    </row>
    <row r="1054" spans="2:3" x14ac:dyDescent="0.55000000000000004">
      <c r="B1054" t="s">
        <v>1878</v>
      </c>
    </row>
    <row r="1055" spans="2:3" x14ac:dyDescent="0.55000000000000004">
      <c r="B1055" t="s">
        <v>1879</v>
      </c>
    </row>
    <row r="1056" spans="2:3" x14ac:dyDescent="0.55000000000000004">
      <c r="B1056" t="s">
        <v>1880</v>
      </c>
    </row>
    <row r="1058" spans="2:4" x14ac:dyDescent="0.55000000000000004">
      <c r="B1058" s="9" t="s">
        <v>1884</v>
      </c>
    </row>
    <row r="1059" spans="2:4" x14ac:dyDescent="0.55000000000000004">
      <c r="B1059" t="s">
        <v>1883</v>
      </c>
    </row>
    <row r="1060" spans="2:4" x14ac:dyDescent="0.55000000000000004">
      <c r="C1060" t="s">
        <v>1882</v>
      </c>
    </row>
    <row r="1061" spans="2:4" x14ac:dyDescent="0.55000000000000004">
      <c r="C1061" t="s">
        <v>1885</v>
      </c>
    </row>
    <row r="1063" spans="2:4" x14ac:dyDescent="0.55000000000000004">
      <c r="B1063" s="9" t="s">
        <v>1172</v>
      </c>
    </row>
    <row r="1065" spans="2:4" x14ac:dyDescent="0.55000000000000004">
      <c r="B1065" t="s">
        <v>256</v>
      </c>
    </row>
    <row r="1066" spans="2:4" x14ac:dyDescent="0.55000000000000004">
      <c r="C1066" t="s">
        <v>1887</v>
      </c>
    </row>
    <row r="1067" spans="2:4" x14ac:dyDescent="0.55000000000000004">
      <c r="C1067" t="s">
        <v>1890</v>
      </c>
    </row>
    <row r="1068" spans="2:4" x14ac:dyDescent="0.55000000000000004">
      <c r="C1068" t="s">
        <v>1891</v>
      </c>
    </row>
    <row r="1069" spans="2:4" x14ac:dyDescent="0.55000000000000004">
      <c r="D1069" t="s">
        <v>1892</v>
      </c>
    </row>
    <row r="1070" spans="2:4" x14ac:dyDescent="0.55000000000000004">
      <c r="D1070" t="s">
        <v>1893</v>
      </c>
    </row>
    <row r="1071" spans="2:4" x14ac:dyDescent="0.55000000000000004">
      <c r="C1071" t="s">
        <v>1894</v>
      </c>
    </row>
    <row r="1073" spans="2:4" x14ac:dyDescent="0.55000000000000004">
      <c r="B1073" t="s">
        <v>323</v>
      </c>
    </row>
    <row r="1074" spans="2:4" x14ac:dyDescent="0.55000000000000004">
      <c r="C1074" t="s">
        <v>1888</v>
      </c>
    </row>
    <row r="1075" spans="2:4" x14ac:dyDescent="0.55000000000000004">
      <c r="C1075" t="s">
        <v>1889</v>
      </c>
    </row>
    <row r="1077" spans="2:4" x14ac:dyDescent="0.55000000000000004">
      <c r="B1077" t="s">
        <v>1121</v>
      </c>
    </row>
    <row r="1078" spans="2:4" x14ac:dyDescent="0.55000000000000004">
      <c r="C1078" t="s">
        <v>1895</v>
      </c>
    </row>
    <row r="1079" spans="2:4" x14ac:dyDescent="0.55000000000000004">
      <c r="C1079" t="s">
        <v>1900</v>
      </c>
    </row>
    <row r="1080" spans="2:4" x14ac:dyDescent="0.55000000000000004">
      <c r="C1080" t="s">
        <v>1901</v>
      </c>
    </row>
    <row r="1081" spans="2:4" x14ac:dyDescent="0.55000000000000004">
      <c r="B1081" t="s">
        <v>182</v>
      </c>
    </row>
    <row r="1082" spans="2:4" x14ac:dyDescent="0.55000000000000004">
      <c r="C1082" t="s">
        <v>1896</v>
      </c>
    </row>
    <row r="1083" spans="2:4" x14ac:dyDescent="0.55000000000000004">
      <c r="C1083" t="s">
        <v>1899</v>
      </c>
    </row>
    <row r="1084" spans="2:4" x14ac:dyDescent="0.55000000000000004">
      <c r="D1084" t="s">
        <v>1897</v>
      </c>
    </row>
    <row r="1085" spans="2:4" x14ac:dyDescent="0.55000000000000004">
      <c r="D1085" t="s">
        <v>1898</v>
      </c>
    </row>
    <row r="1086" spans="2:4" x14ac:dyDescent="0.55000000000000004">
      <c r="C1086" t="s">
        <v>1902</v>
      </c>
    </row>
    <row r="1087" spans="2:4" x14ac:dyDescent="0.55000000000000004">
      <c r="C1087" t="s">
        <v>1903</v>
      </c>
    </row>
    <row r="1088" spans="2:4" x14ac:dyDescent="0.55000000000000004">
      <c r="D1088" t="s">
        <v>1904</v>
      </c>
    </row>
    <row r="1089" spans="2:4" x14ac:dyDescent="0.55000000000000004">
      <c r="D1089" t="s">
        <v>1905</v>
      </c>
    </row>
    <row r="1090" spans="2:4" x14ac:dyDescent="0.55000000000000004">
      <c r="C1090" t="s">
        <v>1906</v>
      </c>
    </row>
    <row r="1091" spans="2:4" x14ac:dyDescent="0.55000000000000004">
      <c r="B1091" t="s">
        <v>1907</v>
      </c>
    </row>
    <row r="1092" spans="2:4" x14ac:dyDescent="0.55000000000000004">
      <c r="C1092" t="s">
        <v>1908</v>
      </c>
    </row>
    <row r="1093" spans="2:4" x14ac:dyDescent="0.55000000000000004">
      <c r="B1093" t="s">
        <v>1909</v>
      </c>
    </row>
    <row r="1094" spans="2:4" x14ac:dyDescent="0.55000000000000004">
      <c r="C1094" t="s">
        <v>1910</v>
      </c>
    </row>
    <row r="1095" spans="2:4" x14ac:dyDescent="0.55000000000000004">
      <c r="C1095" t="s">
        <v>1911</v>
      </c>
    </row>
    <row r="1096" spans="2:4" x14ac:dyDescent="0.55000000000000004">
      <c r="B1096" t="s">
        <v>321</v>
      </c>
    </row>
    <row r="1097" spans="2:4" x14ac:dyDescent="0.55000000000000004">
      <c r="C1097" t="s">
        <v>1914</v>
      </c>
    </row>
    <row r="1098" spans="2:4" x14ac:dyDescent="0.55000000000000004">
      <c r="C1098" t="s">
        <v>1916</v>
      </c>
    </row>
    <row r="1099" spans="2:4" x14ac:dyDescent="0.55000000000000004">
      <c r="C1099" t="s">
        <v>1915</v>
      </c>
    </row>
    <row r="1101" spans="2:4" x14ac:dyDescent="0.55000000000000004">
      <c r="B1101" s="23" t="s">
        <v>1949</v>
      </c>
    </row>
    <row r="1102" spans="2:4" x14ac:dyDescent="0.55000000000000004">
      <c r="B1102" s="9"/>
    </row>
    <row r="1103" spans="2:4" x14ac:dyDescent="0.55000000000000004">
      <c r="B1103" s="9" t="s">
        <v>1934</v>
      </c>
    </row>
    <row r="1104" spans="2:4" x14ac:dyDescent="0.55000000000000004">
      <c r="B1104" s="9"/>
      <c r="C1104" t="s">
        <v>1935</v>
      </c>
    </row>
    <row r="1105" spans="2:4" x14ac:dyDescent="0.55000000000000004">
      <c r="B1105" s="9" t="s">
        <v>714</v>
      </c>
    </row>
    <row r="1106" spans="2:4" x14ac:dyDescent="0.55000000000000004">
      <c r="B1106" s="9"/>
      <c r="C1106" t="s">
        <v>1948</v>
      </c>
    </row>
    <row r="1107" spans="2:4" x14ac:dyDescent="0.55000000000000004">
      <c r="B1107" s="9"/>
      <c r="D1107" t="s">
        <v>1951</v>
      </c>
    </row>
    <row r="1108" spans="2:4" x14ac:dyDescent="0.55000000000000004">
      <c r="B1108" s="9"/>
      <c r="D1108" t="s">
        <v>1952</v>
      </c>
    </row>
    <row r="1109" spans="2:4" x14ac:dyDescent="0.55000000000000004">
      <c r="B1109" s="9"/>
      <c r="C1109" t="s">
        <v>1950</v>
      </c>
    </row>
    <row r="1110" spans="2:4" x14ac:dyDescent="0.55000000000000004">
      <c r="B1110" s="9"/>
    </row>
    <row r="1111" spans="2:4" x14ac:dyDescent="0.55000000000000004">
      <c r="B1111" s="9" t="s">
        <v>392</v>
      </c>
    </row>
    <row r="1112" spans="2:4" x14ac:dyDescent="0.55000000000000004">
      <c r="C1112" t="s">
        <v>1920</v>
      </c>
    </row>
    <row r="1113" spans="2:4" x14ac:dyDescent="0.55000000000000004">
      <c r="C1113" t="s">
        <v>1921</v>
      </c>
    </row>
    <row r="1114" spans="2:4" x14ac:dyDescent="0.55000000000000004">
      <c r="B1114" s="9" t="s">
        <v>5</v>
      </c>
    </row>
    <row r="1115" spans="2:4" x14ac:dyDescent="0.55000000000000004">
      <c r="C1115" t="s">
        <v>1932</v>
      </c>
    </row>
    <row r="1116" spans="2:4" x14ac:dyDescent="0.55000000000000004">
      <c r="C1116" t="s">
        <v>1679</v>
      </c>
    </row>
    <row r="1118" spans="2:4" x14ac:dyDescent="0.55000000000000004">
      <c r="B1118" s="23" t="s">
        <v>1956</v>
      </c>
    </row>
    <row r="1120" spans="2:4" x14ac:dyDescent="0.55000000000000004">
      <c r="B1120" s="9" t="s">
        <v>1957</v>
      </c>
    </row>
    <row r="1121" spans="2:4" x14ac:dyDescent="0.55000000000000004">
      <c r="B1121" s="9"/>
      <c r="C1121" t="s">
        <v>829</v>
      </c>
    </row>
    <row r="1122" spans="2:4" x14ac:dyDescent="0.55000000000000004">
      <c r="B1122" t="s">
        <v>1966</v>
      </c>
      <c r="C1122" t="s">
        <v>1958</v>
      </c>
      <c r="D1122" t="s">
        <v>1959</v>
      </c>
    </row>
    <row r="1123" spans="2:4" x14ac:dyDescent="0.55000000000000004">
      <c r="D1123" t="s">
        <v>1960</v>
      </c>
    </row>
    <row r="1124" spans="2:4" x14ac:dyDescent="0.55000000000000004">
      <c r="C1124" t="s">
        <v>1961</v>
      </c>
    </row>
    <row r="1125" spans="2:4" x14ac:dyDescent="0.55000000000000004">
      <c r="C1125" t="s">
        <v>1962</v>
      </c>
    </row>
    <row r="1126" spans="2:4" x14ac:dyDescent="0.55000000000000004">
      <c r="C1126" t="s">
        <v>1963</v>
      </c>
    </row>
    <row r="1127" spans="2:4" x14ac:dyDescent="0.55000000000000004">
      <c r="C1127" t="s">
        <v>1964</v>
      </c>
    </row>
    <row r="1128" spans="2:4" x14ac:dyDescent="0.55000000000000004">
      <c r="C1128" t="s">
        <v>1965</v>
      </c>
    </row>
    <row r="1130" spans="2:4" x14ac:dyDescent="0.55000000000000004">
      <c r="B1130" t="s">
        <v>1967</v>
      </c>
      <c r="C1130" t="s">
        <v>1968</v>
      </c>
    </row>
    <row r="1131" spans="2:4" x14ac:dyDescent="0.55000000000000004">
      <c r="C1131" t="s">
        <v>1969</v>
      </c>
    </row>
    <row r="1132" spans="2:4" x14ac:dyDescent="0.55000000000000004">
      <c r="C1132" t="s">
        <v>1970</v>
      </c>
    </row>
    <row r="1133" spans="2:4" x14ac:dyDescent="0.55000000000000004">
      <c r="B1133" t="s">
        <v>1971</v>
      </c>
    </row>
    <row r="1134" spans="2:4" x14ac:dyDescent="0.55000000000000004">
      <c r="C1134" t="s">
        <v>1972</v>
      </c>
    </row>
    <row r="1135" spans="2:4" x14ac:dyDescent="0.55000000000000004">
      <c r="B1135" t="s">
        <v>1973</v>
      </c>
    </row>
    <row r="1136" spans="2:4" x14ac:dyDescent="0.55000000000000004">
      <c r="C1136" t="s">
        <v>1974</v>
      </c>
    </row>
    <row r="1137" spans="2:5" x14ac:dyDescent="0.55000000000000004">
      <c r="D1137" t="s">
        <v>1978</v>
      </c>
    </row>
    <row r="1138" spans="2:5" x14ac:dyDescent="0.55000000000000004">
      <c r="C1138" t="s">
        <v>1975</v>
      </c>
    </row>
    <row r="1139" spans="2:5" x14ac:dyDescent="0.55000000000000004">
      <c r="D1139" t="s">
        <v>1979</v>
      </c>
    </row>
    <row r="1140" spans="2:5" x14ac:dyDescent="0.55000000000000004">
      <c r="D1140" t="s">
        <v>1980</v>
      </c>
    </row>
    <row r="1141" spans="2:5" x14ac:dyDescent="0.55000000000000004">
      <c r="D1141" t="s">
        <v>1981</v>
      </c>
    </row>
    <row r="1142" spans="2:5" x14ac:dyDescent="0.55000000000000004">
      <c r="E1142" t="s">
        <v>1982</v>
      </c>
    </row>
    <row r="1143" spans="2:5" x14ac:dyDescent="0.55000000000000004">
      <c r="B1143" t="s">
        <v>1679</v>
      </c>
    </row>
    <row r="1144" spans="2:5" x14ac:dyDescent="0.55000000000000004">
      <c r="C1144" t="s">
        <v>1983</v>
      </c>
    </row>
    <row r="1145" spans="2:5" x14ac:dyDescent="0.55000000000000004">
      <c r="C1145" t="s">
        <v>1984</v>
      </c>
    </row>
    <row r="1146" spans="2:5" x14ac:dyDescent="0.55000000000000004">
      <c r="C1146" t="s">
        <v>1987</v>
      </c>
    </row>
    <row r="1147" spans="2:5" x14ac:dyDescent="0.55000000000000004">
      <c r="C1147" t="s">
        <v>1988</v>
      </c>
    </row>
    <row r="1149" spans="2:5" x14ac:dyDescent="0.55000000000000004">
      <c r="B1149" t="s">
        <v>1976</v>
      </c>
    </row>
    <row r="1150" spans="2:5" x14ac:dyDescent="0.55000000000000004">
      <c r="C1150" t="s">
        <v>1977</v>
      </c>
    </row>
    <row r="1151" spans="2:5" x14ac:dyDescent="0.55000000000000004">
      <c r="B1151" t="s">
        <v>321</v>
      </c>
    </row>
    <row r="1152" spans="2:5" x14ac:dyDescent="0.55000000000000004">
      <c r="C1152" t="s">
        <v>1989</v>
      </c>
    </row>
    <row r="1153" spans="2:4" x14ac:dyDescent="0.55000000000000004">
      <c r="C1153" t="s">
        <v>1990</v>
      </c>
    </row>
    <row r="1154" spans="2:4" x14ac:dyDescent="0.55000000000000004">
      <c r="C1154" t="s">
        <v>1991</v>
      </c>
      <c r="D1154" t="s">
        <v>1992</v>
      </c>
    </row>
    <row r="1155" spans="2:4" x14ac:dyDescent="0.55000000000000004">
      <c r="C1155" t="s">
        <v>1993</v>
      </c>
    </row>
    <row r="1156" spans="2:4" x14ac:dyDescent="0.55000000000000004">
      <c r="D1156" t="s">
        <v>1997</v>
      </c>
    </row>
    <row r="1157" spans="2:4" x14ac:dyDescent="0.55000000000000004">
      <c r="D1157" t="s">
        <v>1994</v>
      </c>
    </row>
    <row r="1158" spans="2:4" x14ac:dyDescent="0.55000000000000004">
      <c r="D1158" t="s">
        <v>1995</v>
      </c>
    </row>
    <row r="1159" spans="2:4" x14ac:dyDescent="0.55000000000000004">
      <c r="D1159" t="s">
        <v>1996</v>
      </c>
    </row>
    <row r="1160" spans="2:4" x14ac:dyDescent="0.55000000000000004">
      <c r="C1160" t="s">
        <v>1998</v>
      </c>
    </row>
    <row r="1161" spans="2:4" x14ac:dyDescent="0.55000000000000004">
      <c r="C1161" s="8" t="s">
        <v>1802</v>
      </c>
      <c r="D1161" s="8" t="s">
        <v>1058</v>
      </c>
    </row>
    <row r="1162" spans="2:4" x14ac:dyDescent="0.55000000000000004">
      <c r="C1162" s="8">
        <v>-30</v>
      </c>
      <c r="D1162" s="8">
        <v>-30</v>
      </c>
    </row>
    <row r="1163" spans="2:4" x14ac:dyDescent="0.55000000000000004">
      <c r="C1163" t="s">
        <v>1999</v>
      </c>
    </row>
    <row r="1165" spans="2:4" x14ac:dyDescent="0.55000000000000004">
      <c r="C1165" t="s">
        <v>2000</v>
      </c>
    </row>
    <row r="1166" spans="2:4" x14ac:dyDescent="0.55000000000000004">
      <c r="B1166" t="s">
        <v>2002</v>
      </c>
    </row>
    <row r="1167" spans="2:4" x14ac:dyDescent="0.55000000000000004">
      <c r="C1167" s="4" t="s">
        <v>2003</v>
      </c>
    </row>
    <row r="1168" spans="2:4" x14ac:dyDescent="0.55000000000000004">
      <c r="C1168" t="s">
        <v>2004</v>
      </c>
    </row>
    <row r="1169" spans="3:5" x14ac:dyDescent="0.55000000000000004">
      <c r="C1169" t="s">
        <v>2005</v>
      </c>
    </row>
    <row r="1171" spans="3:5" x14ac:dyDescent="0.55000000000000004">
      <c r="C1171" s="18" t="s">
        <v>2006</v>
      </c>
    </row>
    <row r="1172" spans="3:5" x14ac:dyDescent="0.55000000000000004">
      <c r="C1172" t="s">
        <v>2007</v>
      </c>
    </row>
    <row r="1173" spans="3:5" x14ac:dyDescent="0.55000000000000004">
      <c r="C1173" s="9" t="s">
        <v>294</v>
      </c>
      <c r="D1173" t="s">
        <v>2008</v>
      </c>
    </row>
    <row r="1174" spans="3:5" x14ac:dyDescent="0.55000000000000004">
      <c r="D1174" t="s">
        <v>2009</v>
      </c>
    </row>
    <row r="1175" spans="3:5" x14ac:dyDescent="0.55000000000000004">
      <c r="D1175" t="s">
        <v>2010</v>
      </c>
    </row>
    <row r="1176" spans="3:5" x14ac:dyDescent="0.55000000000000004">
      <c r="C1176" s="9" t="s">
        <v>251</v>
      </c>
    </row>
    <row r="1177" spans="3:5" x14ac:dyDescent="0.55000000000000004">
      <c r="D1177" t="s">
        <v>2011</v>
      </c>
    </row>
    <row r="1178" spans="3:5" x14ac:dyDescent="0.55000000000000004">
      <c r="D1178" t="s">
        <v>2012</v>
      </c>
    </row>
    <row r="1179" spans="3:5" x14ac:dyDescent="0.55000000000000004">
      <c r="C1179" t="s">
        <v>2013</v>
      </c>
      <c r="E1179" t="s">
        <v>265</v>
      </c>
    </row>
    <row r="1180" spans="3:5" x14ac:dyDescent="0.55000000000000004">
      <c r="D1180" t="s">
        <v>2015</v>
      </c>
    </row>
    <row r="1181" spans="3:5" x14ac:dyDescent="0.55000000000000004">
      <c r="C1181" s="238">
        <v>7000</v>
      </c>
      <c r="E1181" t="s">
        <v>4</v>
      </c>
    </row>
    <row r="1182" spans="3:5" x14ac:dyDescent="0.55000000000000004">
      <c r="D1182" t="s">
        <v>2014</v>
      </c>
    </row>
    <row r="1183" spans="3:5" x14ac:dyDescent="0.55000000000000004">
      <c r="D1183" t="s">
        <v>2016</v>
      </c>
    </row>
    <row r="1184" spans="3:5" x14ac:dyDescent="0.55000000000000004">
      <c r="C1184" s="9" t="s">
        <v>449</v>
      </c>
    </row>
    <row r="1185" spans="2:5" x14ac:dyDescent="0.55000000000000004">
      <c r="D1185" t="s">
        <v>2017</v>
      </c>
    </row>
    <row r="1186" spans="2:5" x14ac:dyDescent="0.55000000000000004">
      <c r="E1186" t="s">
        <v>2018</v>
      </c>
    </row>
    <row r="1187" spans="2:5" x14ac:dyDescent="0.55000000000000004">
      <c r="D1187" t="s">
        <v>2019</v>
      </c>
    </row>
    <row r="1188" spans="2:5" x14ac:dyDescent="0.55000000000000004">
      <c r="C1188" s="9" t="s">
        <v>2020</v>
      </c>
    </row>
    <row r="1189" spans="2:5" x14ac:dyDescent="0.55000000000000004">
      <c r="B1189" t="s">
        <v>2021</v>
      </c>
    </row>
    <row r="1190" spans="2:5" x14ac:dyDescent="0.55000000000000004">
      <c r="C1190" t="s">
        <v>2022</v>
      </c>
    </row>
    <row r="1191" spans="2:5" x14ac:dyDescent="0.55000000000000004">
      <c r="C1191" t="s">
        <v>2023</v>
      </c>
    </row>
    <row r="1192" spans="2:5" x14ac:dyDescent="0.55000000000000004">
      <c r="D1192" t="s">
        <v>2024</v>
      </c>
    </row>
    <row r="1193" spans="2:5" x14ac:dyDescent="0.55000000000000004">
      <c r="D1193" t="s">
        <v>2025</v>
      </c>
    </row>
    <row r="1194" spans="2:5" x14ac:dyDescent="0.55000000000000004">
      <c r="B1194" t="s">
        <v>392</v>
      </c>
    </row>
    <row r="1195" spans="2:5" x14ac:dyDescent="0.55000000000000004">
      <c r="C1195" t="s">
        <v>2026</v>
      </c>
    </row>
    <row r="1197" spans="2:5" x14ac:dyDescent="0.55000000000000004">
      <c r="C1197" t="s">
        <v>2027</v>
      </c>
    </row>
    <row r="1198" spans="2:5" x14ac:dyDescent="0.55000000000000004">
      <c r="C1198" t="s">
        <v>2028</v>
      </c>
    </row>
    <row r="1199" spans="2:5" x14ac:dyDescent="0.55000000000000004">
      <c r="C1199" t="s">
        <v>2029</v>
      </c>
    </row>
    <row r="1201" spans="2:3" x14ac:dyDescent="0.55000000000000004">
      <c r="C1201" t="s">
        <v>2030</v>
      </c>
    </row>
    <row r="1202" spans="2:3" x14ac:dyDescent="0.55000000000000004">
      <c r="B1202" t="s">
        <v>2031</v>
      </c>
    </row>
    <row r="1203" spans="2:3" x14ac:dyDescent="0.55000000000000004">
      <c r="B1203" t="s">
        <v>2032</v>
      </c>
    </row>
    <row r="1204" spans="2:3" x14ac:dyDescent="0.55000000000000004">
      <c r="C1204" t="s">
        <v>2033</v>
      </c>
    </row>
    <row r="1206" spans="2:3" x14ac:dyDescent="0.55000000000000004">
      <c r="B1206" s="23" t="s">
        <v>2139</v>
      </c>
    </row>
    <row r="1208" spans="2:3" x14ac:dyDescent="0.55000000000000004">
      <c r="B1208" t="s">
        <v>2153</v>
      </c>
    </row>
    <row r="1209" spans="2:3" x14ac:dyDescent="0.55000000000000004">
      <c r="B1209" s="9" t="s">
        <v>2161</v>
      </c>
    </row>
    <row r="1210" spans="2:3" x14ac:dyDescent="0.55000000000000004">
      <c r="C1210" t="s">
        <v>2162</v>
      </c>
    </row>
    <row r="1211" spans="2:3" x14ac:dyDescent="0.55000000000000004">
      <c r="C1211" s="18" t="s">
        <v>2166</v>
      </c>
    </row>
    <row r="1212" spans="2:3" x14ac:dyDescent="0.55000000000000004">
      <c r="B1212" t="s">
        <v>2150</v>
      </c>
    </row>
    <row r="1213" spans="2:3" x14ac:dyDescent="0.55000000000000004">
      <c r="B1213" t="s">
        <v>2151</v>
      </c>
    </row>
    <row r="1214" spans="2:3" x14ac:dyDescent="0.55000000000000004">
      <c r="C1214" t="s">
        <v>2152</v>
      </c>
    </row>
    <row r="1215" spans="2:3" x14ac:dyDescent="0.55000000000000004">
      <c r="B1215" t="s">
        <v>2145</v>
      </c>
    </row>
    <row r="1216" spans="2:3" x14ac:dyDescent="0.55000000000000004">
      <c r="C1216" t="s">
        <v>2149</v>
      </c>
    </row>
    <row r="1217" spans="2:3" x14ac:dyDescent="0.55000000000000004">
      <c r="B1217" t="s">
        <v>2140</v>
      </c>
    </row>
    <row r="1218" spans="2:3" x14ac:dyDescent="0.55000000000000004">
      <c r="B1218" t="s">
        <v>2141</v>
      </c>
    </row>
    <row r="1219" spans="2:3" x14ac:dyDescent="0.55000000000000004">
      <c r="B1219" t="s">
        <v>2142</v>
      </c>
    </row>
    <row r="1220" spans="2:3" x14ac:dyDescent="0.55000000000000004">
      <c r="B1220" t="s">
        <v>392</v>
      </c>
    </row>
    <row r="1221" spans="2:3" x14ac:dyDescent="0.55000000000000004">
      <c r="C1221" t="s">
        <v>2143</v>
      </c>
    </row>
    <row r="1222" spans="2:3" x14ac:dyDescent="0.55000000000000004">
      <c r="C1222" t="s">
        <v>2144</v>
      </c>
    </row>
    <row r="1223" spans="2:3" x14ac:dyDescent="0.55000000000000004">
      <c r="B1223" t="s">
        <v>2146</v>
      </c>
    </row>
    <row r="1224" spans="2:3" x14ac:dyDescent="0.55000000000000004">
      <c r="B1224" t="s">
        <v>2147</v>
      </c>
    </row>
    <row r="1225" spans="2:3" x14ac:dyDescent="0.55000000000000004">
      <c r="C1225" t="s">
        <v>2148</v>
      </c>
    </row>
    <row r="1227" spans="2:3" x14ac:dyDescent="0.55000000000000004">
      <c r="B1227" s="23" t="s">
        <v>2154</v>
      </c>
    </row>
    <row r="1229" spans="2:3" x14ac:dyDescent="0.55000000000000004">
      <c r="B1229" t="s">
        <v>2157</v>
      </c>
      <c r="C1229" t="s">
        <v>2158</v>
      </c>
    </row>
    <row r="1230" spans="2:3" x14ac:dyDescent="0.55000000000000004">
      <c r="C1230" t="s">
        <v>2155</v>
      </c>
    </row>
    <row r="1231" spans="2:3" x14ac:dyDescent="0.55000000000000004">
      <c r="C1231" t="s">
        <v>2156</v>
      </c>
    </row>
    <row r="1232" spans="2:3" x14ac:dyDescent="0.55000000000000004">
      <c r="C1232" t="s">
        <v>2159</v>
      </c>
    </row>
    <row r="1233" spans="2:3" x14ac:dyDescent="0.55000000000000004">
      <c r="B1233" t="s">
        <v>2160</v>
      </c>
    </row>
    <row r="1235" spans="2:3" x14ac:dyDescent="0.55000000000000004">
      <c r="B1235" s="23" t="s">
        <v>1172</v>
      </c>
    </row>
    <row r="1237" spans="2:3" x14ac:dyDescent="0.55000000000000004">
      <c r="B1237" t="s">
        <v>2163</v>
      </c>
    </row>
    <row r="1238" spans="2:3" x14ac:dyDescent="0.55000000000000004">
      <c r="C1238" t="s">
        <v>2167</v>
      </c>
    </row>
    <row r="1239" spans="2:3" x14ac:dyDescent="0.55000000000000004">
      <c r="C1239" t="s">
        <v>2168</v>
      </c>
    </row>
    <row r="1240" spans="2:3" x14ac:dyDescent="0.55000000000000004">
      <c r="B1240" t="s">
        <v>2164</v>
      </c>
    </row>
    <row r="1241" spans="2:3" x14ac:dyDescent="0.55000000000000004">
      <c r="C1241" t="s">
        <v>2165</v>
      </c>
    </row>
    <row r="1242" spans="2:3" x14ac:dyDescent="0.55000000000000004">
      <c r="B1242" t="s">
        <v>2169</v>
      </c>
    </row>
    <row r="1244" spans="2:3" x14ac:dyDescent="0.55000000000000004">
      <c r="B1244" t="s">
        <v>2170</v>
      </c>
    </row>
    <row r="1245" spans="2:3" x14ac:dyDescent="0.55000000000000004">
      <c r="C1245" t="s">
        <v>2171</v>
      </c>
    </row>
    <row r="1246" spans="2:3" x14ac:dyDescent="0.55000000000000004">
      <c r="C1246" t="s">
        <v>2172</v>
      </c>
    </row>
    <row r="1247" spans="2:3" x14ac:dyDescent="0.55000000000000004">
      <c r="C1247" t="s">
        <v>2173</v>
      </c>
    </row>
    <row r="1248" spans="2:3" x14ac:dyDescent="0.55000000000000004">
      <c r="C1248" t="s">
        <v>2174</v>
      </c>
    </row>
    <row r="1249" spans="2:4" x14ac:dyDescent="0.55000000000000004">
      <c r="B1249" t="s">
        <v>182</v>
      </c>
    </row>
    <row r="1250" spans="2:4" x14ac:dyDescent="0.55000000000000004">
      <c r="C1250" t="s">
        <v>2175</v>
      </c>
    </row>
    <row r="1251" spans="2:4" x14ac:dyDescent="0.55000000000000004">
      <c r="D1251" t="s">
        <v>2176</v>
      </c>
    </row>
    <row r="1252" spans="2:4" x14ac:dyDescent="0.55000000000000004">
      <c r="B1252" t="s">
        <v>392</v>
      </c>
    </row>
    <row r="1253" spans="2:4" x14ac:dyDescent="0.55000000000000004">
      <c r="C1253" t="s">
        <v>2177</v>
      </c>
    </row>
    <row r="1254" spans="2:4" x14ac:dyDescent="0.55000000000000004">
      <c r="C1254" t="s">
        <v>2178</v>
      </c>
    </row>
    <row r="1255" spans="2:4" x14ac:dyDescent="0.55000000000000004">
      <c r="C1255" t="s">
        <v>2179</v>
      </c>
    </row>
    <row r="1256" spans="2:4" x14ac:dyDescent="0.55000000000000004">
      <c r="C1256" t="s">
        <v>2180</v>
      </c>
    </row>
    <row r="1257" spans="2:4" x14ac:dyDescent="0.55000000000000004">
      <c r="B1257" t="s">
        <v>892</v>
      </c>
    </row>
    <row r="1258" spans="2:4" x14ac:dyDescent="0.55000000000000004">
      <c r="C1258" t="s">
        <v>2181</v>
      </c>
    </row>
    <row r="1259" spans="2:4" x14ac:dyDescent="0.55000000000000004">
      <c r="B1259" t="s">
        <v>392</v>
      </c>
    </row>
    <row r="1260" spans="2:4" x14ac:dyDescent="0.55000000000000004">
      <c r="C1260" s="384">
        <v>43586</v>
      </c>
    </row>
    <row r="1261" spans="2:4" x14ac:dyDescent="0.55000000000000004">
      <c r="C1261" t="s">
        <v>2182</v>
      </c>
    </row>
    <row r="1262" spans="2:4" x14ac:dyDescent="0.55000000000000004">
      <c r="B1262" t="s">
        <v>2169</v>
      </c>
    </row>
    <row r="1263" spans="2:4" x14ac:dyDescent="0.55000000000000004">
      <c r="C1263" t="s">
        <v>2183</v>
      </c>
    </row>
    <row r="1264" spans="2:4" x14ac:dyDescent="0.55000000000000004">
      <c r="C1264" t="s">
        <v>2184</v>
      </c>
    </row>
    <row r="1265" spans="2:4" x14ac:dyDescent="0.55000000000000004">
      <c r="B1265" t="s">
        <v>2185</v>
      </c>
    </row>
    <row r="1267" spans="2:4" x14ac:dyDescent="0.55000000000000004">
      <c r="B1267" t="s">
        <v>2186</v>
      </c>
    </row>
    <row r="1268" spans="2:4" x14ac:dyDescent="0.55000000000000004">
      <c r="C1268" t="s">
        <v>2187</v>
      </c>
    </row>
    <row r="1269" spans="2:4" x14ac:dyDescent="0.55000000000000004">
      <c r="D1269" t="s">
        <v>2189</v>
      </c>
    </row>
    <row r="1270" spans="2:4" x14ac:dyDescent="0.55000000000000004">
      <c r="D1270" t="s">
        <v>2188</v>
      </c>
    </row>
    <row r="1271" spans="2:4" x14ac:dyDescent="0.55000000000000004">
      <c r="B1271" t="s">
        <v>182</v>
      </c>
    </row>
    <row r="1272" spans="2:4" x14ac:dyDescent="0.55000000000000004">
      <c r="C1272" t="s">
        <v>2190</v>
      </c>
    </row>
    <row r="1273" spans="2:4" x14ac:dyDescent="0.55000000000000004">
      <c r="C1273" t="s">
        <v>2191</v>
      </c>
    </row>
    <row r="1274" spans="2:4" x14ac:dyDescent="0.55000000000000004">
      <c r="B1274" t="s">
        <v>2192</v>
      </c>
    </row>
    <row r="1276" spans="2:4" x14ac:dyDescent="0.55000000000000004">
      <c r="B1276" s="504">
        <v>44848</v>
      </c>
    </row>
    <row r="1278" spans="2:4" x14ac:dyDescent="0.55000000000000004">
      <c r="B1278" t="s">
        <v>2231</v>
      </c>
    </row>
    <row r="1279" spans="2:4" x14ac:dyDescent="0.55000000000000004">
      <c r="B1279" t="s">
        <v>2232</v>
      </c>
    </row>
    <row r="1280" spans="2:4" x14ac:dyDescent="0.55000000000000004">
      <c r="C1280" s="10" t="s">
        <v>2233</v>
      </c>
    </row>
    <row r="1281" spans="2:5" x14ac:dyDescent="0.55000000000000004">
      <c r="C1281" s="10" t="s">
        <v>2234</v>
      </c>
    </row>
    <row r="1282" spans="2:5" x14ac:dyDescent="0.55000000000000004">
      <c r="B1282" t="s">
        <v>2235</v>
      </c>
    </row>
    <row r="1283" spans="2:5" x14ac:dyDescent="0.55000000000000004">
      <c r="C1283" t="s">
        <v>2236</v>
      </c>
    </row>
    <row r="1284" spans="2:5" x14ac:dyDescent="0.55000000000000004">
      <c r="C1284" t="s">
        <v>2237</v>
      </c>
    </row>
    <row r="1285" spans="2:5" x14ac:dyDescent="0.55000000000000004">
      <c r="C1285" t="s">
        <v>2238</v>
      </c>
    </row>
    <row r="1286" spans="2:5" x14ac:dyDescent="0.55000000000000004">
      <c r="C1286" t="s">
        <v>2239</v>
      </c>
    </row>
    <row r="1287" spans="2:5" x14ac:dyDescent="0.55000000000000004">
      <c r="B1287" t="s">
        <v>2240</v>
      </c>
    </row>
    <row r="1288" spans="2:5" x14ac:dyDescent="0.55000000000000004">
      <c r="B1288" t="s">
        <v>392</v>
      </c>
    </row>
    <row r="1289" spans="2:5" x14ac:dyDescent="0.55000000000000004">
      <c r="C1289" t="s">
        <v>2243</v>
      </c>
    </row>
    <row r="1290" spans="2:5" x14ac:dyDescent="0.55000000000000004">
      <c r="D1290" t="s">
        <v>2241</v>
      </c>
    </row>
    <row r="1291" spans="2:5" x14ac:dyDescent="0.55000000000000004">
      <c r="D1291" t="s">
        <v>2242</v>
      </c>
    </row>
    <row r="1292" spans="2:5" x14ac:dyDescent="0.55000000000000004">
      <c r="E1292" t="s">
        <v>2244</v>
      </c>
    </row>
    <row r="1293" spans="2:5" x14ac:dyDescent="0.55000000000000004">
      <c r="C1293" t="s">
        <v>2245</v>
      </c>
    </row>
    <row r="1294" spans="2:5" x14ac:dyDescent="0.55000000000000004">
      <c r="B1294" t="s">
        <v>392</v>
      </c>
    </row>
    <row r="1295" spans="2:5" x14ac:dyDescent="0.55000000000000004">
      <c r="C1295" t="s">
        <v>2275</v>
      </c>
    </row>
    <row r="1296" spans="2:5" x14ac:dyDescent="0.55000000000000004">
      <c r="C1296" t="s">
        <v>2333</v>
      </c>
    </row>
    <row r="1297" spans="2:4" x14ac:dyDescent="0.55000000000000004">
      <c r="C1297" t="s">
        <v>2276</v>
      </c>
    </row>
    <row r="1298" spans="2:4" x14ac:dyDescent="0.55000000000000004">
      <c r="C1298" t="s">
        <v>2277</v>
      </c>
    </row>
    <row r="1299" spans="2:4" x14ac:dyDescent="0.55000000000000004">
      <c r="D1299" t="s">
        <v>2278</v>
      </c>
    </row>
    <row r="1300" spans="2:4" x14ac:dyDescent="0.55000000000000004">
      <c r="C1300" t="s">
        <v>2279</v>
      </c>
    </row>
    <row r="1301" spans="2:4" x14ac:dyDescent="0.55000000000000004">
      <c r="C1301" t="s">
        <v>2280</v>
      </c>
    </row>
    <row r="1302" spans="2:4" x14ac:dyDescent="0.55000000000000004">
      <c r="C1302" t="s">
        <v>2281</v>
      </c>
    </row>
    <row r="1303" spans="2:4" x14ac:dyDescent="0.55000000000000004">
      <c r="C1303" t="s">
        <v>2282</v>
      </c>
    </row>
    <row r="1304" spans="2:4" x14ac:dyDescent="0.55000000000000004">
      <c r="C1304" t="s">
        <v>2286</v>
      </c>
    </row>
    <row r="1305" spans="2:4" x14ac:dyDescent="0.55000000000000004">
      <c r="D1305" t="s">
        <v>2287</v>
      </c>
    </row>
    <row r="1306" spans="2:4" x14ac:dyDescent="0.55000000000000004">
      <c r="B1306" t="s">
        <v>2283</v>
      </c>
    </row>
    <row r="1307" spans="2:4" x14ac:dyDescent="0.55000000000000004">
      <c r="C1307" t="s">
        <v>2284</v>
      </c>
    </row>
    <row r="1308" spans="2:4" x14ac:dyDescent="0.55000000000000004">
      <c r="C1308" t="s">
        <v>2285</v>
      </c>
    </row>
    <row r="1309" spans="2:4" x14ac:dyDescent="0.55000000000000004">
      <c r="B1309" t="s">
        <v>2246</v>
      </c>
    </row>
    <row r="1310" spans="2:4" x14ac:dyDescent="0.55000000000000004">
      <c r="C1310" t="s">
        <v>2247</v>
      </c>
    </row>
    <row r="1311" spans="2:4" x14ac:dyDescent="0.55000000000000004">
      <c r="B1311" t="s">
        <v>1110</v>
      </c>
      <c r="C1311" t="s">
        <v>2248</v>
      </c>
    </row>
    <row r="1312" spans="2:4" x14ac:dyDescent="0.55000000000000004">
      <c r="B1312" t="s">
        <v>2249</v>
      </c>
    </row>
    <row r="1313" spans="2:4" x14ac:dyDescent="0.55000000000000004">
      <c r="C1313" t="s">
        <v>2250</v>
      </c>
    </row>
    <row r="1314" spans="2:4" x14ac:dyDescent="0.55000000000000004">
      <c r="B1314" t="s">
        <v>2253</v>
      </c>
    </row>
    <row r="1315" spans="2:4" x14ac:dyDescent="0.55000000000000004">
      <c r="C1315" t="s">
        <v>2252</v>
      </c>
    </row>
    <row r="1316" spans="2:4" x14ac:dyDescent="0.55000000000000004">
      <c r="C1316" t="s">
        <v>2251</v>
      </c>
    </row>
    <row r="1317" spans="2:4" x14ac:dyDescent="0.55000000000000004">
      <c r="C1317" t="s">
        <v>2254</v>
      </c>
    </row>
    <row r="1318" spans="2:4" x14ac:dyDescent="0.55000000000000004">
      <c r="D1318" t="s">
        <v>2255</v>
      </c>
    </row>
    <row r="1319" spans="2:4" x14ac:dyDescent="0.55000000000000004">
      <c r="D1319" t="s">
        <v>2256</v>
      </c>
    </row>
    <row r="1320" spans="2:4" x14ac:dyDescent="0.55000000000000004">
      <c r="D1320" t="s">
        <v>2257</v>
      </c>
    </row>
    <row r="1321" spans="2:4" x14ac:dyDescent="0.55000000000000004">
      <c r="B1321" t="s">
        <v>2258</v>
      </c>
    </row>
    <row r="1322" spans="2:4" x14ac:dyDescent="0.55000000000000004">
      <c r="C1322" t="s">
        <v>2259</v>
      </c>
    </row>
    <row r="1323" spans="2:4" x14ac:dyDescent="0.55000000000000004">
      <c r="D1323" t="s">
        <v>2260</v>
      </c>
    </row>
    <row r="1324" spans="2:4" x14ac:dyDescent="0.55000000000000004">
      <c r="D1324" t="s">
        <v>2261</v>
      </c>
    </row>
    <row r="1325" spans="2:4" x14ac:dyDescent="0.55000000000000004">
      <c r="B1325" t="s">
        <v>2262</v>
      </c>
    </row>
    <row r="1326" spans="2:4" x14ac:dyDescent="0.55000000000000004">
      <c r="C1326" t="s">
        <v>2263</v>
      </c>
    </row>
    <row r="1327" spans="2:4" x14ac:dyDescent="0.55000000000000004">
      <c r="C1327" t="s">
        <v>2264</v>
      </c>
    </row>
    <row r="1328" spans="2:4" x14ac:dyDescent="0.55000000000000004">
      <c r="D1328" t="s">
        <v>2265</v>
      </c>
    </row>
    <row r="1329" spans="2:4" x14ac:dyDescent="0.55000000000000004">
      <c r="B1329" t="s">
        <v>2266</v>
      </c>
    </row>
    <row r="1330" spans="2:4" x14ac:dyDescent="0.55000000000000004">
      <c r="C1330" t="s">
        <v>2267</v>
      </c>
    </row>
    <row r="1331" spans="2:4" x14ac:dyDescent="0.55000000000000004">
      <c r="B1331" t="s">
        <v>2268</v>
      </c>
    </row>
    <row r="1332" spans="2:4" x14ac:dyDescent="0.55000000000000004">
      <c r="C1332" t="s">
        <v>2269</v>
      </c>
    </row>
    <row r="1333" spans="2:4" x14ac:dyDescent="0.55000000000000004">
      <c r="B1333" t="s">
        <v>2270</v>
      </c>
    </row>
    <row r="1334" spans="2:4" x14ac:dyDescent="0.55000000000000004">
      <c r="C1334" t="s">
        <v>2271</v>
      </c>
    </row>
    <row r="1335" spans="2:4" x14ac:dyDescent="0.55000000000000004">
      <c r="D1335" t="s">
        <v>2274</v>
      </c>
    </row>
    <row r="1336" spans="2:4" x14ac:dyDescent="0.55000000000000004">
      <c r="C1336" t="s">
        <v>2272</v>
      </c>
    </row>
    <row r="1337" spans="2:4" x14ac:dyDescent="0.55000000000000004">
      <c r="B1337" t="s">
        <v>2273</v>
      </c>
    </row>
    <row r="1339" spans="2:4" x14ac:dyDescent="0.55000000000000004">
      <c r="B1339" t="s">
        <v>389</v>
      </c>
    </row>
    <row r="1340" spans="2:4" x14ac:dyDescent="0.55000000000000004">
      <c r="C1340" t="s">
        <v>2288</v>
      </c>
      <c r="D1340" t="s">
        <v>2289</v>
      </c>
    </row>
    <row r="1341" spans="2:4" x14ac:dyDescent="0.55000000000000004">
      <c r="C1341" s="238">
        <v>603</v>
      </c>
    </row>
    <row r="1342" spans="2:4" x14ac:dyDescent="0.55000000000000004">
      <c r="C1342" t="s">
        <v>2290</v>
      </c>
    </row>
    <row r="1343" spans="2:4" x14ac:dyDescent="0.55000000000000004">
      <c r="C1343" t="s">
        <v>2291</v>
      </c>
    </row>
    <row r="1344" spans="2:4" x14ac:dyDescent="0.55000000000000004">
      <c r="B1344" t="s">
        <v>2169</v>
      </c>
    </row>
    <row r="1345" spans="2:5" x14ac:dyDescent="0.55000000000000004">
      <c r="C1345" t="s">
        <v>2292</v>
      </c>
    </row>
    <row r="1346" spans="2:5" x14ac:dyDescent="0.55000000000000004">
      <c r="B1346" t="s">
        <v>2293</v>
      </c>
    </row>
    <row r="1347" spans="2:5" x14ac:dyDescent="0.55000000000000004">
      <c r="C1347" t="s">
        <v>2294</v>
      </c>
    </row>
    <row r="1348" spans="2:5" x14ac:dyDescent="0.55000000000000004">
      <c r="B1348" t="s">
        <v>323</v>
      </c>
    </row>
    <row r="1349" spans="2:5" x14ac:dyDescent="0.55000000000000004">
      <c r="C1349" t="s">
        <v>2295</v>
      </c>
    </row>
    <row r="1350" spans="2:5" x14ac:dyDescent="0.55000000000000004">
      <c r="C1350" t="s">
        <v>2296</v>
      </c>
    </row>
    <row r="1351" spans="2:5" x14ac:dyDescent="0.55000000000000004">
      <c r="C1351" t="s">
        <v>2297</v>
      </c>
    </row>
    <row r="1352" spans="2:5" x14ac:dyDescent="0.55000000000000004">
      <c r="D1352" t="s">
        <v>2298</v>
      </c>
    </row>
    <row r="1353" spans="2:5" x14ac:dyDescent="0.55000000000000004">
      <c r="B1353" s="238" t="s">
        <v>449</v>
      </c>
    </row>
    <row r="1354" spans="2:5" x14ac:dyDescent="0.55000000000000004">
      <c r="C1354" t="s">
        <v>2300</v>
      </c>
      <c r="E1354" t="s">
        <v>2301</v>
      </c>
    </row>
    <row r="1355" spans="2:5" x14ac:dyDescent="0.55000000000000004">
      <c r="B1355" t="s">
        <v>2299</v>
      </c>
    </row>
    <row r="1356" spans="2:5" x14ac:dyDescent="0.55000000000000004">
      <c r="C1356" t="s">
        <v>2302</v>
      </c>
    </row>
    <row r="1357" spans="2:5" x14ac:dyDescent="0.55000000000000004">
      <c r="C1357" s="238">
        <v>2023</v>
      </c>
      <c r="D1357" t="s">
        <v>2303</v>
      </c>
    </row>
    <row r="1358" spans="2:5" x14ac:dyDescent="0.55000000000000004">
      <c r="C1358" s="238">
        <v>2024</v>
      </c>
      <c r="D1358" t="s">
        <v>2304</v>
      </c>
    </row>
    <row r="1359" spans="2:5" x14ac:dyDescent="0.55000000000000004">
      <c r="B1359" t="s">
        <v>2305</v>
      </c>
    </row>
    <row r="1360" spans="2:5" x14ac:dyDescent="0.55000000000000004">
      <c r="C1360" t="s">
        <v>2306</v>
      </c>
    </row>
    <row r="1361" spans="2:3" x14ac:dyDescent="0.55000000000000004">
      <c r="B1361" t="s">
        <v>2307</v>
      </c>
    </row>
    <row r="1362" spans="2:3" x14ac:dyDescent="0.55000000000000004">
      <c r="C1362" t="s">
        <v>2308</v>
      </c>
    </row>
    <row r="1363" spans="2:3" x14ac:dyDescent="0.55000000000000004">
      <c r="C1363" t="s">
        <v>2309</v>
      </c>
    </row>
    <row r="1364" spans="2:3" x14ac:dyDescent="0.55000000000000004">
      <c r="B1364" t="s">
        <v>28</v>
      </c>
    </row>
    <row r="1365" spans="2:3" x14ac:dyDescent="0.55000000000000004">
      <c r="C1365" t="s">
        <v>2310</v>
      </c>
    </row>
    <row r="1366" spans="2:3" x14ac:dyDescent="0.55000000000000004">
      <c r="C1366" t="s">
        <v>2312</v>
      </c>
    </row>
    <row r="1367" spans="2:3" x14ac:dyDescent="0.55000000000000004">
      <c r="C1367" t="s">
        <v>2311</v>
      </c>
    </row>
    <row r="1369" spans="2:3" x14ac:dyDescent="0.55000000000000004">
      <c r="C1369" t="s">
        <v>2313</v>
      </c>
    </row>
    <row r="1370" spans="2:3" x14ac:dyDescent="0.55000000000000004">
      <c r="B1370" t="s">
        <v>2314</v>
      </c>
    </row>
    <row r="1371" spans="2:3" x14ac:dyDescent="0.55000000000000004">
      <c r="C1371" t="s">
        <v>2315</v>
      </c>
    </row>
    <row r="1372" spans="2:3" x14ac:dyDescent="0.55000000000000004">
      <c r="C1372" t="s">
        <v>2316</v>
      </c>
    </row>
    <row r="1373" spans="2:3" x14ac:dyDescent="0.55000000000000004">
      <c r="C1373" t="s">
        <v>2317</v>
      </c>
    </row>
    <row r="1374" spans="2:3" x14ac:dyDescent="0.55000000000000004">
      <c r="B1374" t="s">
        <v>2318</v>
      </c>
    </row>
    <row r="1375" spans="2:3" x14ac:dyDescent="0.55000000000000004">
      <c r="C1375" t="s">
        <v>2319</v>
      </c>
    </row>
    <row r="1376" spans="2:3" x14ac:dyDescent="0.55000000000000004">
      <c r="C1376" t="s">
        <v>2320</v>
      </c>
    </row>
    <row r="1377" spans="2:4" x14ac:dyDescent="0.55000000000000004">
      <c r="B1377" t="s">
        <v>2321</v>
      </c>
    </row>
    <row r="1378" spans="2:4" x14ac:dyDescent="0.55000000000000004">
      <c r="C1378" t="s">
        <v>2322</v>
      </c>
    </row>
    <row r="1379" spans="2:4" x14ac:dyDescent="0.55000000000000004">
      <c r="B1379" s="9" t="s">
        <v>2326</v>
      </c>
    </row>
    <row r="1380" spans="2:4" x14ac:dyDescent="0.55000000000000004">
      <c r="B1380" t="s">
        <v>2323</v>
      </c>
    </row>
    <row r="1381" spans="2:4" x14ac:dyDescent="0.55000000000000004">
      <c r="B1381" t="s">
        <v>2324</v>
      </c>
    </row>
    <row r="1382" spans="2:4" x14ac:dyDescent="0.55000000000000004">
      <c r="B1382" t="s">
        <v>2325</v>
      </c>
    </row>
    <row r="1384" spans="2:4" x14ac:dyDescent="0.55000000000000004">
      <c r="B1384" t="s">
        <v>250</v>
      </c>
      <c r="C1384" t="s">
        <v>2327</v>
      </c>
    </row>
    <row r="1386" spans="2:4" x14ac:dyDescent="0.55000000000000004">
      <c r="B1386" s="9" t="s">
        <v>1956</v>
      </c>
    </row>
    <row r="1387" spans="2:4" x14ac:dyDescent="0.55000000000000004">
      <c r="B1387" t="s">
        <v>2328</v>
      </c>
    </row>
    <row r="1388" spans="2:4" x14ac:dyDescent="0.55000000000000004">
      <c r="B1388" t="s">
        <v>2329</v>
      </c>
      <c r="C1388" t="s">
        <v>2330</v>
      </c>
    </row>
    <row r="1389" spans="2:4" x14ac:dyDescent="0.55000000000000004">
      <c r="D1389" t="s">
        <v>2332</v>
      </c>
    </row>
    <row r="1390" spans="2:4" x14ac:dyDescent="0.55000000000000004">
      <c r="C1390" t="s">
        <v>2331</v>
      </c>
    </row>
    <row r="1392" spans="2:4" x14ac:dyDescent="0.55000000000000004">
      <c r="B1392" s="23" t="s">
        <v>2342</v>
      </c>
    </row>
    <row r="1394" spans="2:5" x14ac:dyDescent="0.55000000000000004">
      <c r="B1394" t="s">
        <v>2343</v>
      </c>
      <c r="E1394" t="s">
        <v>2344</v>
      </c>
    </row>
    <row r="1395" spans="2:5" x14ac:dyDescent="0.55000000000000004">
      <c r="C1395" t="s">
        <v>264</v>
      </c>
      <c r="D1395" t="s">
        <v>2418</v>
      </c>
    </row>
    <row r="1396" spans="2:5" x14ac:dyDescent="0.55000000000000004">
      <c r="D1396" t="s">
        <v>2419</v>
      </c>
    </row>
    <row r="1397" spans="2:5" x14ac:dyDescent="0.55000000000000004">
      <c r="D1397" t="s">
        <v>2420</v>
      </c>
    </row>
    <row r="1398" spans="2:5" x14ac:dyDescent="0.55000000000000004">
      <c r="C1398" t="s">
        <v>392</v>
      </c>
    </row>
    <row r="1399" spans="2:5" x14ac:dyDescent="0.55000000000000004">
      <c r="D1399" t="s">
        <v>2421</v>
      </c>
    </row>
    <row r="1400" spans="2:5" x14ac:dyDescent="0.55000000000000004">
      <c r="D1400" t="s">
        <v>2422</v>
      </c>
    </row>
    <row r="1401" spans="2:5" x14ac:dyDescent="0.55000000000000004">
      <c r="C1401" t="s">
        <v>2423</v>
      </c>
    </row>
    <row r="1402" spans="2:5" x14ac:dyDescent="0.55000000000000004">
      <c r="C1402" t="s">
        <v>2424</v>
      </c>
    </row>
    <row r="1403" spans="2:5" x14ac:dyDescent="0.55000000000000004">
      <c r="C1403" t="s">
        <v>2425</v>
      </c>
    </row>
    <row r="1404" spans="2:5" x14ac:dyDescent="0.55000000000000004">
      <c r="B1404" t="s">
        <v>2426</v>
      </c>
    </row>
    <row r="1405" spans="2:5" x14ac:dyDescent="0.55000000000000004">
      <c r="C1405" t="s">
        <v>2427</v>
      </c>
    </row>
    <row r="1406" spans="2:5" x14ac:dyDescent="0.55000000000000004">
      <c r="C1406" t="s">
        <v>2428</v>
      </c>
    </row>
    <row r="1407" spans="2:5" x14ac:dyDescent="0.55000000000000004">
      <c r="C1407" t="s">
        <v>2429</v>
      </c>
    </row>
    <row r="1408" spans="2:5" x14ac:dyDescent="0.55000000000000004">
      <c r="C1408" t="s">
        <v>2430</v>
      </c>
    </row>
    <row r="1409" spans="2:5" x14ac:dyDescent="0.55000000000000004">
      <c r="C1409" t="s">
        <v>2431</v>
      </c>
    </row>
    <row r="1410" spans="2:5" x14ac:dyDescent="0.55000000000000004">
      <c r="D1410" t="s">
        <v>2432</v>
      </c>
    </row>
    <row r="1411" spans="2:5" x14ac:dyDescent="0.55000000000000004">
      <c r="D1411" t="s">
        <v>2433</v>
      </c>
    </row>
    <row r="1412" spans="2:5" x14ac:dyDescent="0.55000000000000004">
      <c r="C1412" t="s">
        <v>2434</v>
      </c>
    </row>
    <row r="1413" spans="2:5" x14ac:dyDescent="0.55000000000000004">
      <c r="D1413" t="s">
        <v>2435</v>
      </c>
    </row>
    <row r="1414" spans="2:5" x14ac:dyDescent="0.55000000000000004">
      <c r="D1414" t="s">
        <v>2436</v>
      </c>
    </row>
    <row r="1415" spans="2:5" x14ac:dyDescent="0.55000000000000004">
      <c r="D1415" t="s">
        <v>2437</v>
      </c>
    </row>
    <row r="1416" spans="2:5" x14ac:dyDescent="0.55000000000000004">
      <c r="D1416" t="s">
        <v>2438</v>
      </c>
    </row>
    <row r="1417" spans="2:5" x14ac:dyDescent="0.55000000000000004">
      <c r="E1417" t="s">
        <v>2439</v>
      </c>
    </row>
    <row r="1418" spans="2:5" x14ac:dyDescent="0.55000000000000004">
      <c r="E1418" t="s">
        <v>2440</v>
      </c>
    </row>
    <row r="1419" spans="2:5" x14ac:dyDescent="0.55000000000000004">
      <c r="B1419" t="s">
        <v>1679</v>
      </c>
    </row>
    <row r="1420" spans="2:5" x14ac:dyDescent="0.55000000000000004">
      <c r="B1420" t="s">
        <v>821</v>
      </c>
    </row>
    <row r="1421" spans="2:5" x14ac:dyDescent="0.55000000000000004">
      <c r="B1421" t="s">
        <v>2345</v>
      </c>
    </row>
    <row r="1423" spans="2:5" x14ac:dyDescent="0.55000000000000004">
      <c r="B1423" t="s">
        <v>2346</v>
      </c>
    </row>
    <row r="1425" spans="2:4" x14ac:dyDescent="0.55000000000000004">
      <c r="B1425" t="s">
        <v>2347</v>
      </c>
    </row>
    <row r="1426" spans="2:4" x14ac:dyDescent="0.55000000000000004">
      <c r="B1426" t="s">
        <v>2348</v>
      </c>
    </row>
    <row r="1427" spans="2:4" x14ac:dyDescent="0.55000000000000004">
      <c r="B1427" t="s">
        <v>2349</v>
      </c>
    </row>
    <row r="1428" spans="2:4" x14ac:dyDescent="0.55000000000000004">
      <c r="C1428" t="s">
        <v>2350</v>
      </c>
    </row>
    <row r="1429" spans="2:4" x14ac:dyDescent="0.55000000000000004">
      <c r="D1429" t="s">
        <v>2351</v>
      </c>
    </row>
    <row r="1431" spans="2:4" x14ac:dyDescent="0.55000000000000004">
      <c r="C1431" t="s">
        <v>2352</v>
      </c>
    </row>
    <row r="1432" spans="2:4" x14ac:dyDescent="0.55000000000000004">
      <c r="C1432" t="s">
        <v>0</v>
      </c>
    </row>
    <row r="1433" spans="2:4" x14ac:dyDescent="0.55000000000000004">
      <c r="B1433" t="s">
        <v>2353</v>
      </c>
    </row>
    <row r="1434" spans="2:4" x14ac:dyDescent="0.55000000000000004">
      <c r="B1434" t="s">
        <v>2354</v>
      </c>
    </row>
    <row r="1436" spans="2:4" x14ac:dyDescent="0.55000000000000004">
      <c r="B1436" t="s">
        <v>2359</v>
      </c>
    </row>
    <row r="1437" spans="2:4" x14ac:dyDescent="0.55000000000000004">
      <c r="C1437" t="s">
        <v>2355</v>
      </c>
    </row>
    <row r="1438" spans="2:4" x14ac:dyDescent="0.55000000000000004">
      <c r="C1438" t="s">
        <v>2356</v>
      </c>
    </row>
    <row r="1439" spans="2:4" x14ac:dyDescent="0.55000000000000004">
      <c r="C1439" t="s">
        <v>2357</v>
      </c>
    </row>
    <row r="1440" spans="2:4" x14ac:dyDescent="0.55000000000000004">
      <c r="C1440" t="s">
        <v>2358</v>
      </c>
    </row>
    <row r="1441" spans="2:5" x14ac:dyDescent="0.55000000000000004">
      <c r="B1441" t="s">
        <v>1033</v>
      </c>
    </row>
    <row r="1442" spans="2:5" x14ac:dyDescent="0.55000000000000004">
      <c r="C1442" t="s">
        <v>2360</v>
      </c>
    </row>
    <row r="1443" spans="2:5" x14ac:dyDescent="0.55000000000000004">
      <c r="C1443" t="s">
        <v>2361</v>
      </c>
    </row>
    <row r="1444" spans="2:5" x14ac:dyDescent="0.55000000000000004">
      <c r="B1444" t="s">
        <v>2362</v>
      </c>
    </row>
    <row r="1445" spans="2:5" x14ac:dyDescent="0.55000000000000004">
      <c r="C1445" t="s">
        <v>2364</v>
      </c>
    </row>
    <row r="1446" spans="2:5" x14ac:dyDescent="0.55000000000000004">
      <c r="D1446" t="s">
        <v>2363</v>
      </c>
    </row>
    <row r="1447" spans="2:5" x14ac:dyDescent="0.55000000000000004">
      <c r="D1447" t="s">
        <v>2365</v>
      </c>
    </row>
    <row r="1448" spans="2:5" x14ac:dyDescent="0.55000000000000004">
      <c r="D1448" t="s">
        <v>2366</v>
      </c>
    </row>
    <row r="1449" spans="2:5" x14ac:dyDescent="0.55000000000000004">
      <c r="C1449" t="s">
        <v>2367</v>
      </c>
    </row>
    <row r="1450" spans="2:5" x14ac:dyDescent="0.55000000000000004">
      <c r="C1450" t="s">
        <v>718</v>
      </c>
    </row>
    <row r="1451" spans="2:5" x14ac:dyDescent="0.55000000000000004">
      <c r="B1451" t="s">
        <v>2368</v>
      </c>
    </row>
    <row r="1452" spans="2:5" x14ac:dyDescent="0.55000000000000004">
      <c r="C1452" t="s">
        <v>2369</v>
      </c>
    </row>
    <row r="1453" spans="2:5" x14ac:dyDescent="0.55000000000000004">
      <c r="C1453" t="s">
        <v>2370</v>
      </c>
    </row>
    <row r="1454" spans="2:5" x14ac:dyDescent="0.55000000000000004">
      <c r="C1454" t="s">
        <v>2371</v>
      </c>
    </row>
    <row r="1455" spans="2:5" x14ac:dyDescent="0.55000000000000004">
      <c r="C1455" t="s">
        <v>2374</v>
      </c>
      <c r="D1455" t="s">
        <v>2375</v>
      </c>
      <c r="E1455" t="s">
        <v>2376</v>
      </c>
    </row>
    <row r="1456" spans="2:5" x14ac:dyDescent="0.55000000000000004">
      <c r="D1456" t="s">
        <v>2377</v>
      </c>
      <c r="E1456" t="s">
        <v>2378</v>
      </c>
    </row>
    <row r="1457" spans="2:4" x14ac:dyDescent="0.55000000000000004">
      <c r="C1457" t="s">
        <v>2379</v>
      </c>
    </row>
    <row r="1458" spans="2:4" x14ac:dyDescent="0.55000000000000004">
      <c r="B1458" t="s">
        <v>1814</v>
      </c>
    </row>
    <row r="1459" spans="2:4" x14ac:dyDescent="0.55000000000000004">
      <c r="C1459" t="s">
        <v>2372</v>
      </c>
    </row>
    <row r="1460" spans="2:4" x14ac:dyDescent="0.55000000000000004">
      <c r="C1460" t="s">
        <v>2373</v>
      </c>
    </row>
    <row r="1461" spans="2:4" x14ac:dyDescent="0.55000000000000004">
      <c r="B1461" s="238">
        <v>2023</v>
      </c>
    </row>
    <row r="1462" spans="2:4" x14ac:dyDescent="0.55000000000000004">
      <c r="C1462" t="s">
        <v>2380</v>
      </c>
    </row>
    <row r="1463" spans="2:4" x14ac:dyDescent="0.55000000000000004">
      <c r="C1463" t="s">
        <v>2381</v>
      </c>
    </row>
    <row r="1464" spans="2:4" x14ac:dyDescent="0.55000000000000004">
      <c r="C1464" t="s">
        <v>2392</v>
      </c>
    </row>
    <row r="1465" spans="2:4" x14ac:dyDescent="0.55000000000000004">
      <c r="C1465" t="s">
        <v>2382</v>
      </c>
    </row>
    <row r="1466" spans="2:4" x14ac:dyDescent="0.55000000000000004">
      <c r="C1466" t="s">
        <v>2383</v>
      </c>
    </row>
    <row r="1467" spans="2:4" x14ac:dyDescent="0.55000000000000004">
      <c r="C1467" t="s">
        <v>2389</v>
      </c>
    </row>
    <row r="1468" spans="2:4" x14ac:dyDescent="0.55000000000000004">
      <c r="D1468" t="s">
        <v>2390</v>
      </c>
    </row>
    <row r="1469" spans="2:4" x14ac:dyDescent="0.55000000000000004">
      <c r="D1469" t="s">
        <v>2391</v>
      </c>
    </row>
    <row r="1470" spans="2:4" x14ac:dyDescent="0.55000000000000004">
      <c r="D1470" t="s">
        <v>2393</v>
      </c>
    </row>
    <row r="1471" spans="2:4" x14ac:dyDescent="0.55000000000000004">
      <c r="C1471" t="s">
        <v>2394</v>
      </c>
    </row>
    <row r="1472" spans="2:4" x14ac:dyDescent="0.55000000000000004">
      <c r="D1472" t="s">
        <v>2397</v>
      </c>
    </row>
    <row r="1473" spans="3:5" x14ac:dyDescent="0.55000000000000004">
      <c r="D1473" t="s">
        <v>2395</v>
      </c>
    </row>
    <row r="1474" spans="3:5" x14ac:dyDescent="0.55000000000000004">
      <c r="D1474" t="s">
        <v>2396</v>
      </c>
    </row>
    <row r="1475" spans="3:5" x14ac:dyDescent="0.55000000000000004">
      <c r="C1475" t="s">
        <v>2398</v>
      </c>
    </row>
    <row r="1476" spans="3:5" x14ac:dyDescent="0.55000000000000004">
      <c r="D1476" t="s">
        <v>2399</v>
      </c>
    </row>
    <row r="1477" spans="3:5" x14ac:dyDescent="0.55000000000000004">
      <c r="D1477" t="s">
        <v>2400</v>
      </c>
    </row>
    <row r="1478" spans="3:5" x14ac:dyDescent="0.55000000000000004">
      <c r="C1478" t="s">
        <v>2401</v>
      </c>
    </row>
    <row r="1479" spans="3:5" x14ac:dyDescent="0.55000000000000004">
      <c r="D1479" t="s">
        <v>2402</v>
      </c>
    </row>
    <row r="1480" spans="3:5" x14ac:dyDescent="0.55000000000000004">
      <c r="C1480" t="s">
        <v>2403</v>
      </c>
    </row>
    <row r="1481" spans="3:5" x14ac:dyDescent="0.55000000000000004">
      <c r="D1481">
        <v>2022</v>
      </c>
      <c r="E1481" t="s">
        <v>2404</v>
      </c>
    </row>
    <row r="1482" spans="3:5" x14ac:dyDescent="0.55000000000000004">
      <c r="D1482">
        <v>2023</v>
      </c>
      <c r="E1482" t="s">
        <v>2405</v>
      </c>
    </row>
    <row r="1483" spans="3:5" x14ac:dyDescent="0.55000000000000004">
      <c r="D1483">
        <v>2024</v>
      </c>
      <c r="E1483" t="s">
        <v>2458</v>
      </c>
    </row>
    <row r="1484" spans="3:5" x14ac:dyDescent="0.55000000000000004">
      <c r="D1484">
        <v>2025</v>
      </c>
      <c r="E1484" t="s">
        <v>2454</v>
      </c>
    </row>
    <row r="1485" spans="3:5" x14ac:dyDescent="0.55000000000000004">
      <c r="E1485" t="s">
        <v>2455</v>
      </c>
    </row>
    <row r="1486" spans="3:5" x14ac:dyDescent="0.55000000000000004">
      <c r="E1486" t="s">
        <v>2456</v>
      </c>
    </row>
    <row r="1487" spans="3:5" x14ac:dyDescent="0.55000000000000004">
      <c r="E1487" t="s">
        <v>2457</v>
      </c>
    </row>
    <row r="1488" spans="3:5" x14ac:dyDescent="0.55000000000000004">
      <c r="C1488" t="s">
        <v>323</v>
      </c>
    </row>
    <row r="1489" spans="2:4" x14ac:dyDescent="0.55000000000000004">
      <c r="D1489" t="s">
        <v>2406</v>
      </c>
    </row>
    <row r="1490" spans="2:4" x14ac:dyDescent="0.55000000000000004">
      <c r="C1490" t="s">
        <v>2407</v>
      </c>
    </row>
    <row r="1491" spans="2:4" x14ac:dyDescent="0.55000000000000004">
      <c r="C1491" t="s">
        <v>2408</v>
      </c>
    </row>
    <row r="1492" spans="2:4" x14ac:dyDescent="0.55000000000000004">
      <c r="B1492" t="s">
        <v>2409</v>
      </c>
    </row>
    <row r="1493" spans="2:4" x14ac:dyDescent="0.55000000000000004">
      <c r="C1493" t="s">
        <v>2410</v>
      </c>
      <c r="D1493" t="s">
        <v>2411</v>
      </c>
    </row>
    <row r="1494" spans="2:4" x14ac:dyDescent="0.55000000000000004">
      <c r="D1494" t="s">
        <v>2412</v>
      </c>
    </row>
    <row r="1495" spans="2:4" x14ac:dyDescent="0.55000000000000004">
      <c r="D1495" t="s">
        <v>2414</v>
      </c>
    </row>
    <row r="1496" spans="2:4" x14ac:dyDescent="0.55000000000000004">
      <c r="D1496" t="s">
        <v>2413</v>
      </c>
    </row>
    <row r="1497" spans="2:4" x14ac:dyDescent="0.55000000000000004">
      <c r="C1497" t="s">
        <v>2415</v>
      </c>
    </row>
    <row r="1498" spans="2:4" x14ac:dyDescent="0.55000000000000004">
      <c r="C1498" t="s">
        <v>2416</v>
      </c>
    </row>
    <row r="1499" spans="2:4" x14ac:dyDescent="0.55000000000000004">
      <c r="C1499" t="s">
        <v>2417</v>
      </c>
    </row>
    <row r="1501" spans="2:4" x14ac:dyDescent="0.55000000000000004">
      <c r="B1501" t="s">
        <v>392</v>
      </c>
    </row>
    <row r="1502" spans="2:4" x14ac:dyDescent="0.55000000000000004">
      <c r="C1502" t="s">
        <v>2384</v>
      </c>
    </row>
    <row r="1503" spans="2:4" x14ac:dyDescent="0.55000000000000004">
      <c r="D1503" t="s">
        <v>2385</v>
      </c>
    </row>
    <row r="1504" spans="2:4" x14ac:dyDescent="0.55000000000000004">
      <c r="B1504" t="s">
        <v>28</v>
      </c>
    </row>
    <row r="1505" spans="2:5" x14ac:dyDescent="0.55000000000000004">
      <c r="C1505" t="s">
        <v>2386</v>
      </c>
    </row>
    <row r="1506" spans="2:5" x14ac:dyDescent="0.55000000000000004">
      <c r="C1506" t="s">
        <v>2387</v>
      </c>
    </row>
    <row r="1507" spans="2:5" x14ac:dyDescent="0.55000000000000004">
      <c r="E1507" t="s">
        <v>2388</v>
      </c>
    </row>
    <row r="1509" spans="2:5" x14ac:dyDescent="0.55000000000000004">
      <c r="B1509" s="238">
        <v>2023</v>
      </c>
    </row>
    <row r="1510" spans="2:5" x14ac:dyDescent="0.55000000000000004">
      <c r="B1510" s="238"/>
      <c r="C1510" t="s">
        <v>2449</v>
      </c>
    </row>
    <row r="1511" spans="2:5" x14ac:dyDescent="0.55000000000000004">
      <c r="C1511" t="s">
        <v>2450</v>
      </c>
    </row>
    <row r="1512" spans="2:5" x14ac:dyDescent="0.55000000000000004">
      <c r="C1512" t="s">
        <v>2451</v>
      </c>
    </row>
    <row r="1513" spans="2:5" x14ac:dyDescent="0.55000000000000004">
      <c r="D1513" t="s">
        <v>2452</v>
      </c>
    </row>
    <row r="1514" spans="2:5" x14ac:dyDescent="0.55000000000000004">
      <c r="D1514" t="s">
        <v>2453</v>
      </c>
    </row>
    <row r="1515" spans="2:5" x14ac:dyDescent="0.55000000000000004">
      <c r="B1515" s="238">
        <v>2024</v>
      </c>
    </row>
    <row r="1516" spans="2:5" x14ac:dyDescent="0.55000000000000004">
      <c r="C1516" t="s">
        <v>2441</v>
      </c>
    </row>
    <row r="1517" spans="2:5" x14ac:dyDescent="0.55000000000000004">
      <c r="D1517" t="s">
        <v>2442</v>
      </c>
    </row>
    <row r="1518" spans="2:5" x14ac:dyDescent="0.55000000000000004">
      <c r="D1518" t="s">
        <v>2443</v>
      </c>
    </row>
    <row r="1519" spans="2:5" x14ac:dyDescent="0.55000000000000004">
      <c r="D1519" t="s">
        <v>2444</v>
      </c>
    </row>
    <row r="1520" spans="2:5" x14ac:dyDescent="0.55000000000000004">
      <c r="D1520" t="s">
        <v>2445</v>
      </c>
    </row>
    <row r="1521" spans="2:5" x14ac:dyDescent="0.55000000000000004">
      <c r="E1521" s="507">
        <v>2024</v>
      </c>
    </row>
    <row r="1522" spans="2:5" x14ac:dyDescent="0.55000000000000004">
      <c r="E1522" t="s">
        <v>2446</v>
      </c>
    </row>
    <row r="1523" spans="2:5" x14ac:dyDescent="0.55000000000000004">
      <c r="E1523" t="s">
        <v>2447</v>
      </c>
    </row>
    <row r="1524" spans="2:5" x14ac:dyDescent="0.55000000000000004">
      <c r="E1524" t="s">
        <v>2448</v>
      </c>
    </row>
    <row r="1525" spans="2:5" x14ac:dyDescent="0.55000000000000004">
      <c r="B1525" t="s">
        <v>2459</v>
      </c>
    </row>
    <row r="1526" spans="2:5" x14ac:dyDescent="0.55000000000000004">
      <c r="B1526" t="s">
        <v>392</v>
      </c>
    </row>
    <row r="1527" spans="2:5" x14ac:dyDescent="0.55000000000000004">
      <c r="C1527" t="s">
        <v>2462</v>
      </c>
      <c r="E1527" t="s">
        <v>2460</v>
      </c>
    </row>
    <row r="1528" spans="2:5" x14ac:dyDescent="0.55000000000000004">
      <c r="D1528" s="11">
        <v>2.1999999999999999E-2</v>
      </c>
      <c r="E1528" s="2">
        <f>D1528*12</f>
        <v>0.26400000000000001</v>
      </c>
    </row>
    <row r="1529" spans="2:5" x14ac:dyDescent="0.55000000000000004">
      <c r="C1529" t="s">
        <v>2463</v>
      </c>
    </row>
    <row r="1531" spans="2:5" x14ac:dyDescent="0.55000000000000004">
      <c r="C1531" t="s">
        <v>2461</v>
      </c>
    </row>
    <row r="1532" spans="2:5" x14ac:dyDescent="0.55000000000000004">
      <c r="E1532" s="8" t="s">
        <v>2464</v>
      </c>
    </row>
    <row r="1534" spans="2:5" x14ac:dyDescent="0.55000000000000004">
      <c r="B1534" s="9" t="s">
        <v>2495</v>
      </c>
    </row>
    <row r="1536" spans="2:5" x14ac:dyDescent="0.55000000000000004">
      <c r="B1536" t="s">
        <v>2496</v>
      </c>
    </row>
    <row r="1537" spans="2:4" x14ac:dyDescent="0.55000000000000004">
      <c r="B1537" t="s">
        <v>2497</v>
      </c>
    </row>
    <row r="1538" spans="2:4" x14ac:dyDescent="0.55000000000000004">
      <c r="C1538" t="s">
        <v>2498</v>
      </c>
    </row>
    <row r="1539" spans="2:4" x14ac:dyDescent="0.55000000000000004">
      <c r="C1539" t="s">
        <v>2499</v>
      </c>
    </row>
    <row r="1540" spans="2:4" x14ac:dyDescent="0.55000000000000004">
      <c r="B1540" s="238">
        <v>2023</v>
      </c>
    </row>
    <row r="1541" spans="2:4" x14ac:dyDescent="0.55000000000000004">
      <c r="C1541" t="s">
        <v>2500</v>
      </c>
    </row>
    <row r="1542" spans="2:4" x14ac:dyDescent="0.55000000000000004">
      <c r="B1542" t="s">
        <v>1635</v>
      </c>
    </row>
    <row r="1543" spans="2:4" x14ac:dyDescent="0.55000000000000004">
      <c r="C1543" t="s">
        <v>2501</v>
      </c>
    </row>
    <row r="1544" spans="2:4" x14ac:dyDescent="0.55000000000000004">
      <c r="C1544" t="s">
        <v>2502</v>
      </c>
    </row>
    <row r="1545" spans="2:4" x14ac:dyDescent="0.55000000000000004">
      <c r="C1545" t="s">
        <v>2503</v>
      </c>
    </row>
    <row r="1546" spans="2:4" x14ac:dyDescent="0.55000000000000004">
      <c r="B1546" t="s">
        <v>2504</v>
      </c>
    </row>
    <row r="1547" spans="2:4" x14ac:dyDescent="0.55000000000000004">
      <c r="C1547" t="s">
        <v>2505</v>
      </c>
    </row>
    <row r="1548" spans="2:4" x14ac:dyDescent="0.55000000000000004">
      <c r="D1548" t="s">
        <v>2506</v>
      </c>
    </row>
    <row r="1549" spans="2:4" x14ac:dyDescent="0.55000000000000004">
      <c r="D1549" t="s">
        <v>2507</v>
      </c>
    </row>
    <row r="1550" spans="2:4" x14ac:dyDescent="0.55000000000000004">
      <c r="C1550" t="s">
        <v>2508</v>
      </c>
    </row>
    <row r="1552" spans="2:4" x14ac:dyDescent="0.55000000000000004">
      <c r="B1552" s="9" t="s">
        <v>2514</v>
      </c>
    </row>
    <row r="1553" spans="2:10" x14ac:dyDescent="0.55000000000000004">
      <c r="B1553" s="9"/>
    </row>
    <row r="1554" spans="2:10" x14ac:dyDescent="0.55000000000000004">
      <c r="B1554" t="s">
        <v>2523</v>
      </c>
    </row>
    <row r="1556" spans="2:10" x14ac:dyDescent="0.55000000000000004">
      <c r="B1556" t="s">
        <v>1033</v>
      </c>
    </row>
    <row r="1557" spans="2:10" x14ac:dyDescent="0.55000000000000004">
      <c r="C1557" t="s">
        <v>2515</v>
      </c>
    </row>
    <row r="1558" spans="2:10" x14ac:dyDescent="0.55000000000000004">
      <c r="B1558" t="s">
        <v>2516</v>
      </c>
    </row>
    <row r="1559" spans="2:10" x14ac:dyDescent="0.55000000000000004">
      <c r="C1559" t="s">
        <v>2517</v>
      </c>
    </row>
    <row r="1560" spans="2:10" x14ac:dyDescent="0.55000000000000004">
      <c r="B1560" t="s">
        <v>2518</v>
      </c>
    </row>
    <row r="1561" spans="2:10" x14ac:dyDescent="0.55000000000000004">
      <c r="C1561" t="s">
        <v>763</v>
      </c>
      <c r="H1561">
        <v>100</v>
      </c>
      <c r="I1561">
        <f>(1+J1561)*H1561</f>
        <v>110.00000000000001</v>
      </c>
      <c r="J1561" s="2">
        <v>0.1</v>
      </c>
    </row>
    <row r="1562" spans="2:10" x14ac:dyDescent="0.55000000000000004">
      <c r="B1562" t="s">
        <v>2519</v>
      </c>
      <c r="H1562">
        <f>H1561-H1563</f>
        <v>90</v>
      </c>
      <c r="I1562" s="4">
        <f>(1+J1562)*H1562</f>
        <v>97.2</v>
      </c>
      <c r="J1562" s="2">
        <v>0.08</v>
      </c>
    </row>
    <row r="1563" spans="2:10" x14ac:dyDescent="0.55000000000000004">
      <c r="C1563" t="s">
        <v>2520</v>
      </c>
      <c r="H1563">
        <v>10</v>
      </c>
      <c r="I1563" s="4">
        <f>I1561-I1562</f>
        <v>12.800000000000011</v>
      </c>
      <c r="J1563" s="2">
        <f>I1563/H1563-1</f>
        <v>0.28000000000000114</v>
      </c>
    </row>
    <row r="1564" spans="2:10" x14ac:dyDescent="0.55000000000000004">
      <c r="B1564" t="s">
        <v>1802</v>
      </c>
    </row>
    <row r="1565" spans="2:10" x14ac:dyDescent="0.55000000000000004">
      <c r="C1565" t="s">
        <v>2521</v>
      </c>
    </row>
    <row r="1566" spans="2:10" x14ac:dyDescent="0.55000000000000004">
      <c r="C1566" t="s">
        <v>2522</v>
      </c>
    </row>
    <row r="1567" spans="2:10" x14ac:dyDescent="0.55000000000000004">
      <c r="B1567" t="s">
        <v>2524</v>
      </c>
    </row>
    <row r="1568" spans="2:10" x14ac:dyDescent="0.55000000000000004">
      <c r="C1568" t="s">
        <v>2526</v>
      </c>
    </row>
    <row r="1569" spans="2:3" x14ac:dyDescent="0.55000000000000004">
      <c r="C1569" t="s">
        <v>2527</v>
      </c>
    </row>
    <row r="1570" spans="2:3" x14ac:dyDescent="0.55000000000000004">
      <c r="C1570" t="s">
        <v>2528</v>
      </c>
    </row>
    <row r="1571" spans="2:3" x14ac:dyDescent="0.55000000000000004">
      <c r="B1571" t="s">
        <v>2525</v>
      </c>
    </row>
    <row r="1573" spans="2:3" x14ac:dyDescent="0.55000000000000004">
      <c r="B1573" t="s">
        <v>32</v>
      </c>
    </row>
    <row r="1574" spans="2:3" x14ac:dyDescent="0.55000000000000004">
      <c r="C1574" t="s">
        <v>2529</v>
      </c>
    </row>
    <row r="1576" spans="2:3" x14ac:dyDescent="0.55000000000000004">
      <c r="B1576" s="23" t="s">
        <v>2545</v>
      </c>
    </row>
    <row r="1578" spans="2:3" x14ac:dyDescent="0.55000000000000004">
      <c r="B1578" t="s">
        <v>1585</v>
      </c>
    </row>
    <row r="1579" spans="2:3" x14ac:dyDescent="0.55000000000000004">
      <c r="C1579" t="s">
        <v>2546</v>
      </c>
    </row>
    <row r="1580" spans="2:3" x14ac:dyDescent="0.55000000000000004">
      <c r="B1580" t="s">
        <v>2559</v>
      </c>
    </row>
    <row r="1581" spans="2:3" x14ac:dyDescent="0.55000000000000004">
      <c r="C1581" t="s">
        <v>2560</v>
      </c>
    </row>
    <row r="1582" spans="2:3" x14ac:dyDescent="0.55000000000000004">
      <c r="C1582" t="s">
        <v>2561</v>
      </c>
    </row>
    <row r="1584" spans="2:3" x14ac:dyDescent="0.55000000000000004">
      <c r="B1584" s="244">
        <v>45017</v>
      </c>
    </row>
    <row r="1586" spans="2:4" x14ac:dyDescent="0.55000000000000004">
      <c r="B1586" t="s">
        <v>2575</v>
      </c>
    </row>
    <row r="1587" spans="2:4" x14ac:dyDescent="0.55000000000000004">
      <c r="C1587" t="s">
        <v>2574</v>
      </c>
    </row>
    <row r="1588" spans="2:4" x14ac:dyDescent="0.55000000000000004">
      <c r="C1588" t="s">
        <v>2576</v>
      </c>
    </row>
    <row r="1589" spans="2:4" x14ac:dyDescent="0.55000000000000004">
      <c r="C1589" t="s">
        <v>2577</v>
      </c>
    </row>
    <row r="1590" spans="2:4" x14ac:dyDescent="0.55000000000000004">
      <c r="C1590" t="s">
        <v>2578</v>
      </c>
    </row>
    <row r="1592" spans="2:4" x14ac:dyDescent="0.55000000000000004">
      <c r="C1592" t="s">
        <v>2579</v>
      </c>
    </row>
    <row r="1593" spans="2:4" x14ac:dyDescent="0.55000000000000004">
      <c r="C1593" t="s">
        <v>2580</v>
      </c>
    </row>
    <row r="1594" spans="2:4" x14ac:dyDescent="0.55000000000000004">
      <c r="D1594" t="s">
        <v>2581</v>
      </c>
    </row>
    <row r="1595" spans="2:4" x14ac:dyDescent="0.55000000000000004">
      <c r="B1595" t="s">
        <v>2582</v>
      </c>
    </row>
    <row r="1596" spans="2:4" x14ac:dyDescent="0.55000000000000004">
      <c r="C1596" t="s">
        <v>2583</v>
      </c>
    </row>
    <row r="1597" spans="2:4" x14ac:dyDescent="0.55000000000000004">
      <c r="B1597" t="s">
        <v>251</v>
      </c>
    </row>
    <row r="1598" spans="2:4" x14ac:dyDescent="0.55000000000000004">
      <c r="C1598" t="s">
        <v>2584</v>
      </c>
    </row>
    <row r="1599" spans="2:4" x14ac:dyDescent="0.55000000000000004">
      <c r="C1599" t="s">
        <v>2585</v>
      </c>
    </row>
    <row r="1600" spans="2:4" x14ac:dyDescent="0.55000000000000004">
      <c r="C1600" t="s">
        <v>2586</v>
      </c>
    </row>
    <row r="1601" spans="2:4" x14ac:dyDescent="0.55000000000000004">
      <c r="B1601" t="s">
        <v>2587</v>
      </c>
    </row>
    <row r="1602" spans="2:4" x14ac:dyDescent="0.55000000000000004">
      <c r="C1602" t="s">
        <v>2588</v>
      </c>
    </row>
    <row r="1603" spans="2:4" x14ac:dyDescent="0.55000000000000004">
      <c r="C1603" t="s">
        <v>2589</v>
      </c>
    </row>
    <row r="1604" spans="2:4" x14ac:dyDescent="0.55000000000000004">
      <c r="C1604" t="s">
        <v>2590</v>
      </c>
    </row>
    <row r="1606" spans="2:4" x14ac:dyDescent="0.55000000000000004">
      <c r="C1606" t="s">
        <v>2591</v>
      </c>
    </row>
    <row r="1607" spans="2:4" x14ac:dyDescent="0.55000000000000004">
      <c r="C1607" t="s">
        <v>2593</v>
      </c>
    </row>
    <row r="1608" spans="2:4" x14ac:dyDescent="0.55000000000000004">
      <c r="B1608" t="s">
        <v>2592</v>
      </c>
    </row>
    <row r="1610" spans="2:4" x14ac:dyDescent="0.55000000000000004">
      <c r="B1610" t="s">
        <v>2169</v>
      </c>
    </row>
    <row r="1611" spans="2:4" x14ac:dyDescent="0.55000000000000004">
      <c r="C1611" t="s">
        <v>2594</v>
      </c>
    </row>
    <row r="1612" spans="2:4" x14ac:dyDescent="0.55000000000000004">
      <c r="C1612" t="s">
        <v>2595</v>
      </c>
    </row>
    <row r="1614" spans="2:4" x14ac:dyDescent="0.55000000000000004">
      <c r="C1614" t="s">
        <v>2596</v>
      </c>
    </row>
    <row r="1615" spans="2:4" x14ac:dyDescent="0.55000000000000004">
      <c r="D1615" t="s">
        <v>2597</v>
      </c>
    </row>
    <row r="1616" spans="2:4" x14ac:dyDescent="0.55000000000000004">
      <c r="D1616" t="s">
        <v>2598</v>
      </c>
    </row>
    <row r="1617" spans="2:6" x14ac:dyDescent="0.55000000000000004">
      <c r="D1617" t="s">
        <v>2599</v>
      </c>
      <c r="E1617" t="s">
        <v>2600</v>
      </c>
    </row>
    <row r="1618" spans="2:6" x14ac:dyDescent="0.55000000000000004">
      <c r="E1618" t="s">
        <v>2601</v>
      </c>
      <c r="F1618" t="s">
        <v>2603</v>
      </c>
    </row>
    <row r="1619" spans="2:6" x14ac:dyDescent="0.55000000000000004">
      <c r="E1619" t="s">
        <v>665</v>
      </c>
      <c r="F1619" t="s">
        <v>2602</v>
      </c>
    </row>
    <row r="1620" spans="2:6" x14ac:dyDescent="0.55000000000000004">
      <c r="D1620" t="s">
        <v>2604</v>
      </c>
    </row>
    <row r="1621" spans="2:6" x14ac:dyDescent="0.55000000000000004">
      <c r="E1621" t="s">
        <v>2605</v>
      </c>
    </row>
    <row r="1622" spans="2:6" x14ac:dyDescent="0.55000000000000004">
      <c r="C1622" t="s">
        <v>2606</v>
      </c>
    </row>
    <row r="1623" spans="2:6" x14ac:dyDescent="0.55000000000000004">
      <c r="D1623" t="s">
        <v>2607</v>
      </c>
    </row>
    <row r="1624" spans="2:6" x14ac:dyDescent="0.55000000000000004">
      <c r="E1624" t="s">
        <v>2610</v>
      </c>
    </row>
    <row r="1625" spans="2:6" x14ac:dyDescent="0.55000000000000004">
      <c r="F1625" t="s">
        <v>2611</v>
      </c>
    </row>
    <row r="1626" spans="2:6" x14ac:dyDescent="0.55000000000000004">
      <c r="F1626" t="s">
        <v>2612</v>
      </c>
    </row>
    <row r="1627" spans="2:6" x14ac:dyDescent="0.55000000000000004">
      <c r="D1627" t="s">
        <v>2608</v>
      </c>
    </row>
    <row r="1628" spans="2:6" x14ac:dyDescent="0.55000000000000004">
      <c r="D1628" t="s">
        <v>2609</v>
      </c>
    </row>
    <row r="1629" spans="2:6" x14ac:dyDescent="0.55000000000000004">
      <c r="B1629" t="s">
        <v>2613</v>
      </c>
    </row>
    <row r="1630" spans="2:6" x14ac:dyDescent="0.55000000000000004">
      <c r="C1630" t="s">
        <v>1440</v>
      </c>
    </row>
    <row r="1631" spans="2:6" x14ac:dyDescent="0.55000000000000004">
      <c r="C1631" t="s">
        <v>2614</v>
      </c>
    </row>
    <row r="1632" spans="2:6" x14ac:dyDescent="0.55000000000000004">
      <c r="D1632" t="s">
        <v>2615</v>
      </c>
    </row>
    <row r="1633" spans="2:6" x14ac:dyDescent="0.55000000000000004">
      <c r="D1633" s="2">
        <v>0.17</v>
      </c>
      <c r="E1633" t="s">
        <v>2616</v>
      </c>
      <c r="F1633" t="s">
        <v>2618</v>
      </c>
    </row>
    <row r="1634" spans="2:6" x14ac:dyDescent="0.55000000000000004">
      <c r="D1634" s="2">
        <v>0.56999999999999995</v>
      </c>
      <c r="E1634" t="s">
        <v>2617</v>
      </c>
      <c r="F1634" t="s">
        <v>2376</v>
      </c>
    </row>
    <row r="1635" spans="2:6" x14ac:dyDescent="0.55000000000000004">
      <c r="D1635" s="2">
        <f>100%-D1633-D1634</f>
        <v>0.26</v>
      </c>
      <c r="F1635" t="s">
        <v>665</v>
      </c>
    </row>
    <row r="1636" spans="2:6" x14ac:dyDescent="0.55000000000000004">
      <c r="C1636" t="s">
        <v>2619</v>
      </c>
    </row>
    <row r="1637" spans="2:6" x14ac:dyDescent="0.55000000000000004">
      <c r="B1637" t="s">
        <v>2620</v>
      </c>
    </row>
    <row r="1638" spans="2:6" x14ac:dyDescent="0.55000000000000004">
      <c r="C1638" t="s">
        <v>2621</v>
      </c>
    </row>
    <row r="1639" spans="2:6" x14ac:dyDescent="0.55000000000000004">
      <c r="C1639" t="s">
        <v>2622</v>
      </c>
    </row>
    <row r="1640" spans="2:6" x14ac:dyDescent="0.55000000000000004">
      <c r="B1640" t="s">
        <v>679</v>
      </c>
    </row>
    <row r="1641" spans="2:6" x14ac:dyDescent="0.55000000000000004">
      <c r="C1641" t="s">
        <v>2623</v>
      </c>
    </row>
    <row r="1642" spans="2:6" x14ac:dyDescent="0.55000000000000004">
      <c r="C1642" t="s">
        <v>2624</v>
      </c>
    </row>
    <row r="1643" spans="2:6" x14ac:dyDescent="0.55000000000000004">
      <c r="B1643" t="s">
        <v>323</v>
      </c>
    </row>
    <row r="1644" spans="2:6" x14ac:dyDescent="0.55000000000000004">
      <c r="C1644" t="s">
        <v>2627</v>
      </c>
    </row>
    <row r="1645" spans="2:6" x14ac:dyDescent="0.55000000000000004">
      <c r="C1645" t="s">
        <v>2625</v>
      </c>
    </row>
    <row r="1646" spans="2:6" x14ac:dyDescent="0.55000000000000004">
      <c r="C1646" t="s">
        <v>2626</v>
      </c>
    </row>
    <row r="1647" spans="2:6" x14ac:dyDescent="0.55000000000000004">
      <c r="B1647" t="s">
        <v>392</v>
      </c>
    </row>
    <row r="1648" spans="2:6" x14ac:dyDescent="0.55000000000000004">
      <c r="C1648" t="s">
        <v>2628</v>
      </c>
    </row>
    <row r="1649" spans="2:5" x14ac:dyDescent="0.55000000000000004">
      <c r="B1649" t="s">
        <v>2367</v>
      </c>
    </row>
    <row r="1650" spans="2:5" x14ac:dyDescent="0.55000000000000004">
      <c r="C1650" t="s">
        <v>2629</v>
      </c>
    </row>
    <row r="1651" spans="2:5" x14ac:dyDescent="0.55000000000000004">
      <c r="C1651" t="s">
        <v>2630</v>
      </c>
    </row>
    <row r="1652" spans="2:5" x14ac:dyDescent="0.55000000000000004">
      <c r="C1652" t="s">
        <v>2631</v>
      </c>
    </row>
    <row r="1653" spans="2:5" x14ac:dyDescent="0.55000000000000004">
      <c r="D1653" t="s">
        <v>2632</v>
      </c>
    </row>
    <row r="1654" spans="2:5" x14ac:dyDescent="0.55000000000000004">
      <c r="B1654" t="s">
        <v>2299</v>
      </c>
    </row>
    <row r="1655" spans="2:5" x14ac:dyDescent="0.55000000000000004">
      <c r="C1655" t="s">
        <v>2633</v>
      </c>
    </row>
    <row r="1656" spans="2:5" x14ac:dyDescent="0.55000000000000004">
      <c r="C1656" t="s">
        <v>2634</v>
      </c>
    </row>
    <row r="1657" spans="2:5" x14ac:dyDescent="0.55000000000000004">
      <c r="B1657" t="s">
        <v>32</v>
      </c>
    </row>
    <row r="1658" spans="2:5" x14ac:dyDescent="0.55000000000000004">
      <c r="C1658" t="s">
        <v>2635</v>
      </c>
    </row>
    <row r="1659" spans="2:5" x14ac:dyDescent="0.55000000000000004">
      <c r="C1659" t="s">
        <v>2636</v>
      </c>
    </row>
    <row r="1660" spans="2:5" x14ac:dyDescent="0.55000000000000004">
      <c r="C1660" t="s">
        <v>2637</v>
      </c>
    </row>
    <row r="1661" spans="2:5" x14ac:dyDescent="0.55000000000000004">
      <c r="D1661" t="s">
        <v>2638</v>
      </c>
    </row>
    <row r="1662" spans="2:5" x14ac:dyDescent="0.55000000000000004">
      <c r="C1662" t="s">
        <v>2640</v>
      </c>
      <c r="D1662" t="s">
        <v>2641</v>
      </c>
      <c r="E1662" t="s">
        <v>27</v>
      </c>
    </row>
    <row r="1663" spans="2:5" x14ac:dyDescent="0.55000000000000004">
      <c r="C1663" t="s">
        <v>2639</v>
      </c>
      <c r="D1663" t="s">
        <v>2643</v>
      </c>
      <c r="E1663" t="s">
        <v>2642</v>
      </c>
    </row>
    <row r="1664" spans="2:5" x14ac:dyDescent="0.55000000000000004">
      <c r="E1664" t="s">
        <v>2644</v>
      </c>
    </row>
    <row r="1665" spans="2:4" x14ac:dyDescent="0.55000000000000004">
      <c r="C1665" t="s">
        <v>2645</v>
      </c>
    </row>
    <row r="1666" spans="2:4" x14ac:dyDescent="0.55000000000000004">
      <c r="D1666" t="s">
        <v>2646</v>
      </c>
    </row>
    <row r="1668" spans="2:4" x14ac:dyDescent="0.55000000000000004">
      <c r="B1668" s="23" t="s">
        <v>2647</v>
      </c>
    </row>
    <row r="1670" spans="2:4" x14ac:dyDescent="0.55000000000000004">
      <c r="B1670" t="s">
        <v>2648</v>
      </c>
    </row>
    <row r="1671" spans="2:4" x14ac:dyDescent="0.55000000000000004">
      <c r="B1671" t="s">
        <v>2649</v>
      </c>
    </row>
    <row r="1672" spans="2:4" x14ac:dyDescent="0.55000000000000004">
      <c r="C1672" t="s">
        <v>2651</v>
      </c>
    </row>
    <row r="1673" spans="2:4" x14ac:dyDescent="0.55000000000000004">
      <c r="D1673" t="s">
        <v>2654</v>
      </c>
    </row>
    <row r="1674" spans="2:4" x14ac:dyDescent="0.55000000000000004">
      <c r="C1674" t="s">
        <v>1924</v>
      </c>
    </row>
    <row r="1675" spans="2:4" x14ac:dyDescent="0.55000000000000004">
      <c r="D1675" t="s">
        <v>2655</v>
      </c>
    </row>
    <row r="1676" spans="2:4" x14ac:dyDescent="0.55000000000000004">
      <c r="C1676" t="s">
        <v>1913</v>
      </c>
    </row>
    <row r="1677" spans="2:4" x14ac:dyDescent="0.55000000000000004">
      <c r="D1677" t="s">
        <v>2652</v>
      </c>
    </row>
    <row r="1678" spans="2:4" x14ac:dyDescent="0.55000000000000004">
      <c r="D1678" t="s">
        <v>2653</v>
      </c>
    </row>
    <row r="1680" spans="2:4" x14ac:dyDescent="0.55000000000000004">
      <c r="B1680" t="s">
        <v>2650</v>
      </c>
    </row>
    <row r="1682" spans="1:3" x14ac:dyDescent="0.55000000000000004">
      <c r="B1682" s="23" t="s">
        <v>1172</v>
      </c>
    </row>
    <row r="1684" spans="1:3" x14ac:dyDescent="0.55000000000000004">
      <c r="B1684" t="s">
        <v>462</v>
      </c>
    </row>
    <row r="1685" spans="1:3" x14ac:dyDescent="0.55000000000000004">
      <c r="C1685" t="s">
        <v>2681</v>
      </c>
    </row>
    <row r="1686" spans="1:3" x14ac:dyDescent="0.55000000000000004">
      <c r="C1686" t="s">
        <v>2659</v>
      </c>
    </row>
    <row r="1687" spans="1:3" x14ac:dyDescent="0.55000000000000004">
      <c r="C1687" t="s">
        <v>2660</v>
      </c>
    </row>
    <row r="1688" spans="1:3" x14ac:dyDescent="0.55000000000000004">
      <c r="A1688" t="s">
        <v>1187</v>
      </c>
      <c r="C1688" t="s">
        <v>2707</v>
      </c>
    </row>
    <row r="1689" spans="1:3" x14ac:dyDescent="0.55000000000000004">
      <c r="B1689" t="s">
        <v>251</v>
      </c>
    </row>
    <row r="1690" spans="1:3" x14ac:dyDescent="0.55000000000000004">
      <c r="C1690" t="s">
        <v>2682</v>
      </c>
    </row>
    <row r="1691" spans="1:3" x14ac:dyDescent="0.55000000000000004">
      <c r="C1691" t="s">
        <v>2694</v>
      </c>
    </row>
    <row r="1692" spans="1:3" x14ac:dyDescent="0.55000000000000004">
      <c r="B1692" t="s">
        <v>2661</v>
      </c>
    </row>
    <row r="1693" spans="1:3" x14ac:dyDescent="0.55000000000000004">
      <c r="C1693" t="s">
        <v>2664</v>
      </c>
    </row>
    <row r="1694" spans="1:3" x14ac:dyDescent="0.55000000000000004">
      <c r="A1694" t="s">
        <v>1187</v>
      </c>
      <c r="C1694" t="s">
        <v>2663</v>
      </c>
    </row>
    <row r="1695" spans="1:3" x14ac:dyDescent="0.55000000000000004">
      <c r="B1695" t="s">
        <v>2662</v>
      </c>
    </row>
    <row r="1696" spans="1:3" x14ac:dyDescent="0.55000000000000004">
      <c r="C1696" t="s">
        <v>2685</v>
      </c>
    </row>
    <row r="1697" spans="1:4" x14ac:dyDescent="0.55000000000000004">
      <c r="C1697" t="s">
        <v>2669</v>
      </c>
    </row>
    <row r="1698" spans="1:4" x14ac:dyDescent="0.55000000000000004">
      <c r="B1698" t="s">
        <v>392</v>
      </c>
    </row>
    <row r="1699" spans="1:4" x14ac:dyDescent="0.55000000000000004">
      <c r="C1699" t="s">
        <v>2686</v>
      </c>
    </row>
    <row r="1700" spans="1:4" x14ac:dyDescent="0.55000000000000004">
      <c r="C1700" t="s">
        <v>2688</v>
      </c>
    </row>
    <row r="1701" spans="1:4" x14ac:dyDescent="0.55000000000000004">
      <c r="A1701" t="s">
        <v>1187</v>
      </c>
      <c r="D1701" t="s">
        <v>2687</v>
      </c>
    </row>
    <row r="1702" spans="1:4" x14ac:dyDescent="0.55000000000000004">
      <c r="D1702" t="s">
        <v>2683</v>
      </c>
    </row>
    <row r="1703" spans="1:4" x14ac:dyDescent="0.55000000000000004">
      <c r="C1703" t="s">
        <v>2680</v>
      </c>
    </row>
    <row r="1704" spans="1:4" x14ac:dyDescent="0.55000000000000004">
      <c r="C1704" t="s">
        <v>2689</v>
      </c>
    </row>
    <row r="1705" spans="1:4" x14ac:dyDescent="0.55000000000000004">
      <c r="B1705" t="s">
        <v>2665</v>
      </c>
    </row>
    <row r="1706" spans="1:4" x14ac:dyDescent="0.55000000000000004">
      <c r="C1706" t="s">
        <v>2666</v>
      </c>
    </row>
    <row r="1707" spans="1:4" x14ac:dyDescent="0.55000000000000004">
      <c r="C1707" t="s">
        <v>2667</v>
      </c>
    </row>
    <row r="1708" spans="1:4" x14ac:dyDescent="0.55000000000000004">
      <c r="C1708" t="s">
        <v>2668</v>
      </c>
    </row>
    <row r="1709" spans="1:4" x14ac:dyDescent="0.55000000000000004">
      <c r="B1709" t="s">
        <v>2670</v>
      </c>
    </row>
    <row r="1710" spans="1:4" x14ac:dyDescent="0.55000000000000004">
      <c r="C1710" t="s">
        <v>2671</v>
      </c>
    </row>
    <row r="1711" spans="1:4" x14ac:dyDescent="0.55000000000000004">
      <c r="C1711" t="s">
        <v>2672</v>
      </c>
    </row>
    <row r="1712" spans="1:4" x14ac:dyDescent="0.55000000000000004">
      <c r="B1712" t="s">
        <v>2673</v>
      </c>
    </row>
    <row r="1713" spans="1:4" x14ac:dyDescent="0.55000000000000004">
      <c r="C1713" t="s">
        <v>2674</v>
      </c>
    </row>
    <row r="1714" spans="1:4" x14ac:dyDescent="0.55000000000000004">
      <c r="D1714" t="s">
        <v>2677</v>
      </c>
    </row>
    <row r="1715" spans="1:4" x14ac:dyDescent="0.55000000000000004">
      <c r="D1715" t="s">
        <v>2678</v>
      </c>
    </row>
    <row r="1716" spans="1:4" x14ac:dyDescent="0.55000000000000004">
      <c r="C1716" t="s">
        <v>2679</v>
      </c>
    </row>
    <row r="1717" spans="1:4" x14ac:dyDescent="0.55000000000000004">
      <c r="B1717" t="s">
        <v>2675</v>
      </c>
    </row>
    <row r="1718" spans="1:4" x14ac:dyDescent="0.55000000000000004">
      <c r="C1718" t="s">
        <v>2676</v>
      </c>
    </row>
    <row r="1719" spans="1:4" x14ac:dyDescent="0.55000000000000004">
      <c r="A1719" t="s">
        <v>1187</v>
      </c>
      <c r="B1719" t="s">
        <v>2709</v>
      </c>
    </row>
    <row r="1720" spans="1:4" x14ac:dyDescent="0.55000000000000004">
      <c r="C1720" t="s">
        <v>2710</v>
      </c>
    </row>
    <row r="1722" spans="1:4" x14ac:dyDescent="0.55000000000000004">
      <c r="B1722" s="9" t="s">
        <v>2154</v>
      </c>
    </row>
    <row r="1723" spans="1:4" x14ac:dyDescent="0.55000000000000004">
      <c r="B1723" t="s">
        <v>1121</v>
      </c>
    </row>
    <row r="1724" spans="1:4" x14ac:dyDescent="0.55000000000000004">
      <c r="C1724" t="s">
        <v>2684</v>
      </c>
    </row>
    <row r="1725" spans="1:4" x14ac:dyDescent="0.55000000000000004">
      <c r="B1725" t="s">
        <v>2690</v>
      </c>
    </row>
    <row r="1726" spans="1:4" x14ac:dyDescent="0.55000000000000004">
      <c r="C1726" t="s">
        <v>2691</v>
      </c>
    </row>
    <row r="1727" spans="1:4" x14ac:dyDescent="0.55000000000000004">
      <c r="B1727" t="s">
        <v>2692</v>
      </c>
    </row>
    <row r="1729" spans="2:3" x14ac:dyDescent="0.55000000000000004">
      <c r="B1729" t="s">
        <v>2693</v>
      </c>
    </row>
    <row r="1731" spans="2:3" x14ac:dyDescent="0.55000000000000004">
      <c r="B1731" t="s">
        <v>2695</v>
      </c>
    </row>
    <row r="1733" spans="2:3" x14ac:dyDescent="0.55000000000000004">
      <c r="B1733" t="s">
        <v>2696</v>
      </c>
    </row>
    <row r="1734" spans="2:3" x14ac:dyDescent="0.55000000000000004">
      <c r="C1734" t="s">
        <v>2697</v>
      </c>
    </row>
    <row r="1735" spans="2:3" x14ac:dyDescent="0.55000000000000004">
      <c r="B1735" t="s">
        <v>2698</v>
      </c>
    </row>
    <row r="1737" spans="2:3" x14ac:dyDescent="0.55000000000000004">
      <c r="B1737" t="s">
        <v>2699</v>
      </c>
    </row>
    <row r="1738" spans="2:3" x14ac:dyDescent="0.55000000000000004">
      <c r="C1738" t="s">
        <v>2701</v>
      </c>
    </row>
    <row r="1739" spans="2:3" x14ac:dyDescent="0.55000000000000004">
      <c r="B1739" t="s">
        <v>2094</v>
      </c>
    </row>
    <row r="1740" spans="2:3" x14ac:dyDescent="0.55000000000000004">
      <c r="C1740" t="s">
        <v>2700</v>
      </c>
    </row>
    <row r="1741" spans="2:3" x14ac:dyDescent="0.55000000000000004">
      <c r="B1741" t="s">
        <v>2702</v>
      </c>
    </row>
    <row r="1742" spans="2:3" x14ac:dyDescent="0.55000000000000004">
      <c r="C1742" t="s">
        <v>2705</v>
      </c>
    </row>
    <row r="1743" spans="2:3" x14ac:dyDescent="0.55000000000000004">
      <c r="C1743" t="s">
        <v>2706</v>
      </c>
    </row>
    <row r="1744" spans="2:3" x14ac:dyDescent="0.55000000000000004">
      <c r="B1744" t="s">
        <v>2703</v>
      </c>
    </row>
    <row r="1745" spans="2:4" x14ac:dyDescent="0.55000000000000004">
      <c r="C1745" t="s">
        <v>2704</v>
      </c>
    </row>
    <row r="1746" spans="2:4" x14ac:dyDescent="0.55000000000000004">
      <c r="B1746" t="s">
        <v>2708</v>
      </c>
    </row>
    <row r="1748" spans="2:4" x14ac:dyDescent="0.55000000000000004">
      <c r="B1748" t="s">
        <v>2711</v>
      </c>
    </row>
    <row r="1750" spans="2:4" x14ac:dyDescent="0.55000000000000004">
      <c r="B1750" t="s">
        <v>2712</v>
      </c>
    </row>
    <row r="1752" spans="2:4" x14ac:dyDescent="0.55000000000000004">
      <c r="B1752" s="23" t="s">
        <v>2735</v>
      </c>
    </row>
    <row r="1754" spans="2:4" x14ac:dyDescent="0.55000000000000004">
      <c r="B1754" t="s">
        <v>2737</v>
      </c>
      <c r="C1754" s="2">
        <v>0.1</v>
      </c>
      <c r="D1754" t="s">
        <v>1058</v>
      </c>
    </row>
    <row r="1755" spans="2:4" x14ac:dyDescent="0.55000000000000004">
      <c r="C1755" s="2">
        <v>0.16</v>
      </c>
      <c r="D1755" t="s">
        <v>1802</v>
      </c>
    </row>
    <row r="1756" spans="2:4" x14ac:dyDescent="0.55000000000000004">
      <c r="B1756" t="s">
        <v>2738</v>
      </c>
    </row>
    <row r="1757" spans="2:4" x14ac:dyDescent="0.55000000000000004">
      <c r="C1757" t="s">
        <v>2778</v>
      </c>
    </row>
    <row r="1759" spans="2:4" x14ac:dyDescent="0.55000000000000004">
      <c r="B1759" t="s">
        <v>2739</v>
      </c>
    </row>
    <row r="1760" spans="2:4" x14ac:dyDescent="0.55000000000000004">
      <c r="B1760" t="s">
        <v>2740</v>
      </c>
    </row>
    <row r="1762" spans="2:5" x14ac:dyDescent="0.55000000000000004">
      <c r="B1762" t="s">
        <v>2741</v>
      </c>
    </row>
    <row r="1763" spans="2:5" x14ac:dyDescent="0.55000000000000004">
      <c r="C1763" t="s">
        <v>2742</v>
      </c>
    </row>
    <row r="1764" spans="2:5" x14ac:dyDescent="0.55000000000000004">
      <c r="C1764" t="s">
        <v>2743</v>
      </c>
      <c r="E1764" t="s">
        <v>2744</v>
      </c>
    </row>
    <row r="1765" spans="2:5" x14ac:dyDescent="0.55000000000000004">
      <c r="B1765" t="s">
        <v>2747</v>
      </c>
    </row>
    <row r="1767" spans="2:5" x14ac:dyDescent="0.55000000000000004">
      <c r="B1767" s="9" t="s">
        <v>2154</v>
      </c>
    </row>
    <row r="1769" spans="2:5" x14ac:dyDescent="0.55000000000000004">
      <c r="B1769" t="s">
        <v>2745</v>
      </c>
      <c r="C1769" s="11">
        <v>8.5000000000000006E-2</v>
      </c>
    </row>
    <row r="1770" spans="2:5" x14ac:dyDescent="0.55000000000000004">
      <c r="C1770" s="367" t="s">
        <v>2748</v>
      </c>
    </row>
    <row r="1771" spans="2:5" x14ac:dyDescent="0.55000000000000004">
      <c r="B1771" t="s">
        <v>2746</v>
      </c>
    </row>
    <row r="1772" spans="2:5" x14ac:dyDescent="0.55000000000000004">
      <c r="B1772" s="18" t="s">
        <v>2749</v>
      </c>
    </row>
    <row r="1774" spans="2:5" x14ac:dyDescent="0.55000000000000004">
      <c r="B1774" s="23" t="s">
        <v>1172</v>
      </c>
    </row>
    <row r="1775" spans="2:5" x14ac:dyDescent="0.55000000000000004">
      <c r="B1775" t="s">
        <v>2750</v>
      </c>
    </row>
    <row r="1776" spans="2:5" x14ac:dyDescent="0.55000000000000004">
      <c r="C1776" t="s">
        <v>2751</v>
      </c>
    </row>
    <row r="1777" spans="2:4" x14ac:dyDescent="0.55000000000000004">
      <c r="C1777" t="s">
        <v>2752</v>
      </c>
    </row>
    <row r="1778" spans="2:4" x14ac:dyDescent="0.55000000000000004">
      <c r="B1778" t="s">
        <v>462</v>
      </c>
    </row>
    <row r="1779" spans="2:4" x14ac:dyDescent="0.55000000000000004">
      <c r="C1779" t="s">
        <v>2753</v>
      </c>
    </row>
    <row r="1780" spans="2:4" x14ac:dyDescent="0.55000000000000004">
      <c r="C1780" t="s">
        <v>2754</v>
      </c>
    </row>
    <row r="1781" spans="2:4" x14ac:dyDescent="0.55000000000000004">
      <c r="C1781" t="s">
        <v>2755</v>
      </c>
    </row>
    <row r="1782" spans="2:4" x14ac:dyDescent="0.55000000000000004">
      <c r="C1782" t="s">
        <v>2756</v>
      </c>
    </row>
    <row r="1783" spans="2:4" x14ac:dyDescent="0.55000000000000004">
      <c r="C1783" t="s">
        <v>2757</v>
      </c>
    </row>
    <row r="1784" spans="2:4" x14ac:dyDescent="0.55000000000000004">
      <c r="B1784" t="s">
        <v>1011</v>
      </c>
    </row>
    <row r="1785" spans="2:4" x14ac:dyDescent="0.55000000000000004">
      <c r="C1785" t="s">
        <v>2758</v>
      </c>
    </row>
    <row r="1786" spans="2:4" x14ac:dyDescent="0.55000000000000004">
      <c r="D1786" t="s">
        <v>2760</v>
      </c>
    </row>
    <row r="1788" spans="2:4" x14ac:dyDescent="0.55000000000000004">
      <c r="C1788" t="s">
        <v>2759</v>
      </c>
    </row>
    <row r="1789" spans="2:4" x14ac:dyDescent="0.55000000000000004">
      <c r="D1789" t="s">
        <v>2761</v>
      </c>
    </row>
    <row r="1790" spans="2:4" x14ac:dyDescent="0.55000000000000004">
      <c r="D1790" t="s">
        <v>2762</v>
      </c>
    </row>
    <row r="1791" spans="2:4" x14ac:dyDescent="0.55000000000000004">
      <c r="B1791" t="s">
        <v>679</v>
      </c>
    </row>
    <row r="1792" spans="2:4" x14ac:dyDescent="0.55000000000000004">
      <c r="C1792" t="s">
        <v>2763</v>
      </c>
    </row>
    <row r="1793" spans="2:5" x14ac:dyDescent="0.55000000000000004">
      <c r="C1793" t="s">
        <v>2769</v>
      </c>
    </row>
    <row r="1795" spans="2:5" x14ac:dyDescent="0.55000000000000004">
      <c r="B1795" t="s">
        <v>2764</v>
      </c>
    </row>
    <row r="1796" spans="2:5" x14ac:dyDescent="0.55000000000000004">
      <c r="C1796" t="s">
        <v>2765</v>
      </c>
    </row>
    <row r="1797" spans="2:5" x14ac:dyDescent="0.55000000000000004">
      <c r="C1797" t="s">
        <v>2766</v>
      </c>
    </row>
    <row r="1798" spans="2:5" x14ac:dyDescent="0.55000000000000004">
      <c r="C1798" t="s">
        <v>2767</v>
      </c>
    </row>
    <row r="1799" spans="2:5" x14ac:dyDescent="0.55000000000000004">
      <c r="C1799" t="s">
        <v>2768</v>
      </c>
    </row>
    <row r="1800" spans="2:5" x14ac:dyDescent="0.55000000000000004">
      <c r="B1800" t="s">
        <v>2770</v>
      </c>
    </row>
    <row r="1801" spans="2:5" x14ac:dyDescent="0.55000000000000004">
      <c r="C1801" t="s">
        <v>2771</v>
      </c>
      <c r="E1801">
        <f>200*0.8</f>
        <v>160</v>
      </c>
    </row>
    <row r="1802" spans="2:5" x14ac:dyDescent="0.55000000000000004">
      <c r="B1802" t="s">
        <v>2772</v>
      </c>
    </row>
    <row r="1803" spans="2:5" x14ac:dyDescent="0.55000000000000004">
      <c r="C1803" t="s">
        <v>2773</v>
      </c>
    </row>
    <row r="1804" spans="2:5" x14ac:dyDescent="0.55000000000000004">
      <c r="B1804" t="s">
        <v>2774</v>
      </c>
    </row>
    <row r="1805" spans="2:5" x14ac:dyDescent="0.55000000000000004">
      <c r="C1805" t="s">
        <v>2775</v>
      </c>
    </row>
    <row r="1806" spans="2:5" x14ac:dyDescent="0.55000000000000004">
      <c r="C1806" t="s">
        <v>2776</v>
      </c>
    </row>
    <row r="1807" spans="2:5" x14ac:dyDescent="0.55000000000000004">
      <c r="C1807" t="s">
        <v>2777</v>
      </c>
    </row>
    <row r="1808" spans="2:5" x14ac:dyDescent="0.55000000000000004">
      <c r="B1808" t="s">
        <v>449</v>
      </c>
    </row>
    <row r="1809" spans="2:4" x14ac:dyDescent="0.55000000000000004">
      <c r="C1809" t="s">
        <v>2779</v>
      </c>
    </row>
    <row r="1810" spans="2:4" x14ac:dyDescent="0.55000000000000004">
      <c r="B1810" t="s">
        <v>1570</v>
      </c>
    </row>
    <row r="1811" spans="2:4" x14ac:dyDescent="0.55000000000000004">
      <c r="C1811" t="s">
        <v>2781</v>
      </c>
    </row>
    <row r="1812" spans="2:4" x14ac:dyDescent="0.55000000000000004">
      <c r="C1812" t="s">
        <v>2782</v>
      </c>
    </row>
    <row r="1813" spans="2:4" x14ac:dyDescent="0.55000000000000004">
      <c r="B1813" t="s">
        <v>1918</v>
      </c>
    </row>
    <row r="1814" spans="2:4" x14ac:dyDescent="0.55000000000000004">
      <c r="C1814" t="s">
        <v>2783</v>
      </c>
    </row>
    <row r="1815" spans="2:4" x14ac:dyDescent="0.55000000000000004">
      <c r="C1815" t="s">
        <v>2780</v>
      </c>
    </row>
    <row r="1816" spans="2:4" x14ac:dyDescent="0.55000000000000004">
      <c r="C1816" t="s">
        <v>2784</v>
      </c>
    </row>
    <row r="1817" spans="2:4" x14ac:dyDescent="0.55000000000000004">
      <c r="C1817" t="s">
        <v>2785</v>
      </c>
    </row>
    <row r="1818" spans="2:4" x14ac:dyDescent="0.55000000000000004">
      <c r="C1818" t="s">
        <v>2786</v>
      </c>
    </row>
    <row r="1819" spans="2:4" x14ac:dyDescent="0.55000000000000004">
      <c r="B1819" t="s">
        <v>2787</v>
      </c>
    </row>
    <row r="1820" spans="2:4" x14ac:dyDescent="0.55000000000000004">
      <c r="C1820" t="s">
        <v>2793</v>
      </c>
    </row>
    <row r="1821" spans="2:4" x14ac:dyDescent="0.55000000000000004">
      <c r="D1821" t="s">
        <v>2794</v>
      </c>
    </row>
    <row r="1822" spans="2:4" x14ac:dyDescent="0.55000000000000004">
      <c r="D1822" t="s">
        <v>2795</v>
      </c>
    </row>
    <row r="1823" spans="2:4" x14ac:dyDescent="0.55000000000000004">
      <c r="C1823" t="s">
        <v>2796</v>
      </c>
    </row>
    <row r="1825" spans="2:4" x14ac:dyDescent="0.55000000000000004">
      <c r="B1825" t="s">
        <v>2792</v>
      </c>
    </row>
    <row r="1827" spans="2:4" x14ac:dyDescent="0.55000000000000004">
      <c r="B1827" t="s">
        <v>2788</v>
      </c>
    </row>
    <row r="1828" spans="2:4" x14ac:dyDescent="0.55000000000000004">
      <c r="C1828" t="s">
        <v>2791</v>
      </c>
    </row>
    <row r="1829" spans="2:4" x14ac:dyDescent="0.55000000000000004">
      <c r="C1829" t="s">
        <v>2789</v>
      </c>
    </row>
    <row r="1830" spans="2:4" x14ac:dyDescent="0.55000000000000004">
      <c r="C1830" t="s">
        <v>2790</v>
      </c>
    </row>
    <row r="1832" spans="2:4" x14ac:dyDescent="0.55000000000000004">
      <c r="B1832" s="23" t="s">
        <v>2798</v>
      </c>
      <c r="C1832" t="s">
        <v>1110</v>
      </c>
    </row>
    <row r="1834" spans="2:4" x14ac:dyDescent="0.55000000000000004">
      <c r="B1834" t="s">
        <v>2799</v>
      </c>
    </row>
    <row r="1835" spans="2:4" x14ac:dyDescent="0.55000000000000004">
      <c r="C1835" s="292" t="s">
        <v>2809</v>
      </c>
    </row>
    <row r="1836" spans="2:4" x14ac:dyDescent="0.55000000000000004">
      <c r="C1836" s="292" t="s">
        <v>2810</v>
      </c>
    </row>
    <row r="1837" spans="2:4" x14ac:dyDescent="0.55000000000000004">
      <c r="C1837" s="292" t="s">
        <v>2811</v>
      </c>
    </row>
    <row r="1838" spans="2:4" x14ac:dyDescent="0.55000000000000004">
      <c r="C1838" s="292" t="s">
        <v>2812</v>
      </c>
    </row>
    <row r="1839" spans="2:4" x14ac:dyDescent="0.55000000000000004">
      <c r="C1839" s="292"/>
      <c r="D1839" s="292" t="s">
        <v>2813</v>
      </c>
    </row>
    <row r="1840" spans="2:4" x14ac:dyDescent="0.55000000000000004">
      <c r="C1840" s="292" t="s">
        <v>2814</v>
      </c>
      <c r="D1840" s="292"/>
    </row>
    <row r="1841" spans="3:7" x14ac:dyDescent="0.55000000000000004">
      <c r="C1841" s="292"/>
      <c r="D1841" s="292" t="s">
        <v>2815</v>
      </c>
    </row>
    <row r="1842" spans="3:7" x14ac:dyDescent="0.55000000000000004">
      <c r="C1842" s="292"/>
      <c r="D1842" s="292" t="s">
        <v>2816</v>
      </c>
    </row>
    <row r="1843" spans="3:7" x14ac:dyDescent="0.55000000000000004">
      <c r="C1843" s="292" t="s">
        <v>2817</v>
      </c>
      <c r="D1843" s="292"/>
      <c r="G1843" s="292"/>
    </row>
    <row r="1844" spans="3:7" x14ac:dyDescent="0.55000000000000004">
      <c r="C1844" s="292"/>
      <c r="D1844" s="292" t="s">
        <v>265</v>
      </c>
      <c r="E1844" t="s">
        <v>2882</v>
      </c>
      <c r="G1844" s="292"/>
    </row>
    <row r="1845" spans="3:7" x14ac:dyDescent="0.55000000000000004">
      <c r="C1845" s="292"/>
      <c r="D1845" s="292" t="s">
        <v>264</v>
      </c>
      <c r="E1845" t="s">
        <v>2883</v>
      </c>
      <c r="G1845" s="292"/>
    </row>
    <row r="1846" spans="3:7" x14ac:dyDescent="0.55000000000000004">
      <c r="C1846" s="292"/>
      <c r="D1846" s="292"/>
      <c r="F1846" t="s">
        <v>2880</v>
      </c>
      <c r="G1846" s="292"/>
    </row>
    <row r="1847" spans="3:7" x14ac:dyDescent="0.55000000000000004">
      <c r="C1847" s="292"/>
      <c r="D1847" s="292"/>
      <c r="F1847" t="s">
        <v>2881</v>
      </c>
      <c r="G1847" s="292"/>
    </row>
    <row r="1848" spans="3:7" x14ac:dyDescent="0.55000000000000004">
      <c r="C1848" s="292"/>
      <c r="D1848" t="s">
        <v>2884</v>
      </c>
      <c r="E1848" s="581">
        <f>Quarts!Y165/1000</f>
        <v>4.0675675675675675</v>
      </c>
      <c r="G1848" s="292"/>
    </row>
    <row r="1849" spans="3:7" x14ac:dyDescent="0.55000000000000004">
      <c r="C1849" s="292"/>
      <c r="D1849" s="292" t="s">
        <v>2818</v>
      </c>
    </row>
    <row r="1850" spans="3:7" x14ac:dyDescent="0.55000000000000004">
      <c r="C1850" s="292"/>
      <c r="D1850" s="292"/>
      <c r="E1850" s="292" t="s">
        <v>2850</v>
      </c>
    </row>
    <row r="1851" spans="3:7" x14ac:dyDescent="0.55000000000000004">
      <c r="C1851" s="292"/>
      <c r="D1851" s="292"/>
      <c r="E1851" s="292" t="s">
        <v>2851</v>
      </c>
    </row>
    <row r="1852" spans="3:7" x14ac:dyDescent="0.55000000000000004">
      <c r="C1852" s="292"/>
      <c r="D1852" s="292"/>
      <c r="E1852" s="292" t="s">
        <v>2852</v>
      </c>
    </row>
    <row r="1853" spans="3:7" x14ac:dyDescent="0.55000000000000004">
      <c r="C1853" s="292"/>
      <c r="D1853" s="292"/>
      <c r="E1853" s="292"/>
      <c r="F1853" s="292" t="s">
        <v>2853</v>
      </c>
    </row>
    <row r="1854" spans="3:7" x14ac:dyDescent="0.55000000000000004">
      <c r="C1854" s="292"/>
      <c r="D1854" s="292"/>
      <c r="E1854" s="292"/>
      <c r="F1854" s="292" t="s">
        <v>2854</v>
      </c>
    </row>
    <row r="1855" spans="3:7" x14ac:dyDescent="0.55000000000000004">
      <c r="C1855" s="292"/>
      <c r="D1855" s="292" t="s">
        <v>2819</v>
      </c>
    </row>
    <row r="1856" spans="3:7" x14ac:dyDescent="0.55000000000000004">
      <c r="C1856" s="292" t="s">
        <v>2820</v>
      </c>
      <c r="D1856" s="292"/>
    </row>
    <row r="1857" spans="3:7" x14ac:dyDescent="0.55000000000000004">
      <c r="C1857" s="292"/>
      <c r="D1857" s="292" t="s">
        <v>2855</v>
      </c>
    </row>
    <row r="1858" spans="3:7" x14ac:dyDescent="0.55000000000000004">
      <c r="C1858" s="292"/>
      <c r="D1858" s="292" t="s">
        <v>2821</v>
      </c>
    </row>
    <row r="1859" spans="3:7" x14ac:dyDescent="0.55000000000000004">
      <c r="C1859" s="292"/>
      <c r="D1859" s="292" t="s">
        <v>2822</v>
      </c>
    </row>
    <row r="1860" spans="3:7" x14ac:dyDescent="0.55000000000000004">
      <c r="C1860" s="292"/>
      <c r="D1860" s="292" t="s">
        <v>2823</v>
      </c>
    </row>
    <row r="1861" spans="3:7" x14ac:dyDescent="0.55000000000000004">
      <c r="C1861" s="292"/>
      <c r="D1861" s="292" t="s">
        <v>2824</v>
      </c>
    </row>
    <row r="1862" spans="3:7" x14ac:dyDescent="0.55000000000000004">
      <c r="C1862" s="292"/>
      <c r="D1862" s="292"/>
      <c r="E1862" s="292" t="s">
        <v>2825</v>
      </c>
    </row>
    <row r="1863" spans="3:7" x14ac:dyDescent="0.55000000000000004">
      <c r="C1863" s="292"/>
      <c r="D1863" s="292"/>
      <c r="E1863" s="292" t="s">
        <v>2826</v>
      </c>
    </row>
    <row r="1864" spans="3:7" x14ac:dyDescent="0.55000000000000004">
      <c r="C1864" s="292"/>
      <c r="D1864" s="292" t="s">
        <v>2827</v>
      </c>
      <c r="E1864" s="292"/>
    </row>
    <row r="1865" spans="3:7" x14ac:dyDescent="0.55000000000000004">
      <c r="C1865" s="292"/>
      <c r="D1865" s="292"/>
      <c r="E1865" s="292" t="s">
        <v>2828</v>
      </c>
    </row>
    <row r="1866" spans="3:7" x14ac:dyDescent="0.55000000000000004">
      <c r="C1866" s="292"/>
      <c r="D1866" s="292"/>
      <c r="E1866" s="292" t="s">
        <v>2829</v>
      </c>
    </row>
    <row r="1867" spans="3:7" x14ac:dyDescent="0.55000000000000004">
      <c r="C1867" s="292"/>
      <c r="D1867" s="292"/>
      <c r="E1867" s="292"/>
      <c r="F1867" s="292" t="s">
        <v>2831</v>
      </c>
      <c r="G1867" s="292" t="s">
        <v>772</v>
      </c>
    </row>
    <row r="1868" spans="3:7" x14ac:dyDescent="0.55000000000000004">
      <c r="C1868" s="292"/>
      <c r="D1868" s="292"/>
      <c r="E1868" s="292"/>
      <c r="F1868" s="292" t="s">
        <v>2832</v>
      </c>
      <c r="G1868" s="292" t="s">
        <v>2833</v>
      </c>
    </row>
    <row r="1869" spans="3:7" x14ac:dyDescent="0.55000000000000004">
      <c r="C1869" s="292"/>
      <c r="D1869" s="292" t="s">
        <v>2830</v>
      </c>
      <c r="E1869" s="292"/>
    </row>
    <row r="1870" spans="3:7" x14ac:dyDescent="0.55000000000000004">
      <c r="C1870" s="292" t="s">
        <v>2834</v>
      </c>
      <c r="D1870" s="292"/>
      <c r="E1870" s="292"/>
    </row>
    <row r="1871" spans="3:7" x14ac:dyDescent="0.55000000000000004">
      <c r="C1871" s="292"/>
      <c r="D1871" s="292" t="s">
        <v>2835</v>
      </c>
      <c r="E1871" s="292"/>
    </row>
    <row r="1872" spans="3:7" x14ac:dyDescent="0.55000000000000004">
      <c r="C1872" s="292"/>
      <c r="D1872" s="292" t="s">
        <v>2836</v>
      </c>
      <c r="E1872" s="292"/>
    </row>
    <row r="1873" spans="2:5" x14ac:dyDescent="0.55000000000000004">
      <c r="C1873" s="292" t="s">
        <v>2856</v>
      </c>
      <c r="D1873" s="292"/>
      <c r="E1873" s="292"/>
    </row>
    <row r="1874" spans="2:5" x14ac:dyDescent="0.55000000000000004">
      <c r="C1874" s="292"/>
      <c r="D1874" s="292" t="s">
        <v>2857</v>
      </c>
      <c r="E1874" s="292"/>
    </row>
    <row r="1875" spans="2:5" x14ac:dyDescent="0.55000000000000004">
      <c r="C1875" s="292"/>
      <c r="D1875" s="292" t="s">
        <v>2858</v>
      </c>
      <c r="E1875" s="292"/>
    </row>
    <row r="1876" spans="2:5" x14ac:dyDescent="0.55000000000000004">
      <c r="C1876" t="s">
        <v>2808</v>
      </c>
    </row>
    <row r="1878" spans="2:5" x14ac:dyDescent="0.55000000000000004">
      <c r="B1878" t="s">
        <v>2800</v>
      </c>
    </row>
    <row r="1879" spans="2:5" x14ac:dyDescent="0.55000000000000004">
      <c r="C1879" s="292" t="s">
        <v>2837</v>
      </c>
    </row>
    <row r="1880" spans="2:5" x14ac:dyDescent="0.55000000000000004">
      <c r="C1880" s="292"/>
      <c r="D1880" s="292" t="s">
        <v>2838</v>
      </c>
    </row>
    <row r="1881" spans="2:5" x14ac:dyDescent="0.55000000000000004">
      <c r="C1881" s="292" t="s">
        <v>1110</v>
      </c>
      <c r="D1881" s="292" t="s">
        <v>2839</v>
      </c>
    </row>
    <row r="1882" spans="2:5" x14ac:dyDescent="0.55000000000000004">
      <c r="C1882" s="292"/>
      <c r="D1882" s="292"/>
      <c r="E1882" s="292" t="s">
        <v>2840</v>
      </c>
    </row>
    <row r="1883" spans="2:5" x14ac:dyDescent="0.55000000000000004">
      <c r="C1883" s="292"/>
      <c r="D1883" s="292" t="s">
        <v>2841</v>
      </c>
    </row>
    <row r="1884" spans="2:5" x14ac:dyDescent="0.55000000000000004">
      <c r="C1884" s="292" t="s">
        <v>2842</v>
      </c>
      <c r="D1884" s="292"/>
    </row>
    <row r="1885" spans="2:5" x14ac:dyDescent="0.55000000000000004">
      <c r="C1885" s="292"/>
      <c r="D1885" s="292" t="s">
        <v>2843</v>
      </c>
    </row>
    <row r="1886" spans="2:5" x14ac:dyDescent="0.55000000000000004">
      <c r="C1886" s="292"/>
      <c r="D1886" s="292" t="s">
        <v>2845</v>
      </c>
    </row>
    <row r="1887" spans="2:5" x14ac:dyDescent="0.55000000000000004">
      <c r="C1887" s="292"/>
      <c r="D1887" s="292"/>
      <c r="E1887" s="292" t="s">
        <v>2844</v>
      </c>
    </row>
    <row r="1888" spans="2:5" x14ac:dyDescent="0.55000000000000004">
      <c r="C1888" s="292"/>
      <c r="D1888" s="292" t="s">
        <v>2846</v>
      </c>
      <c r="E1888" s="292"/>
    </row>
    <row r="1889" spans="2:6" x14ac:dyDescent="0.55000000000000004">
      <c r="C1889" s="292"/>
      <c r="D1889" s="292"/>
      <c r="E1889" s="292" t="s">
        <v>2847</v>
      </c>
    </row>
    <row r="1890" spans="2:6" x14ac:dyDescent="0.55000000000000004">
      <c r="C1890" s="292"/>
      <c r="D1890" s="292" t="s">
        <v>2848</v>
      </c>
      <c r="E1890" s="292"/>
    </row>
    <row r="1891" spans="2:6" x14ac:dyDescent="0.55000000000000004">
      <c r="C1891" s="292" t="s">
        <v>2849</v>
      </c>
      <c r="D1891" s="292"/>
      <c r="E1891" s="292"/>
    </row>
    <row r="1892" spans="2:6" x14ac:dyDescent="0.55000000000000004">
      <c r="C1892" s="292"/>
      <c r="D1892" s="292"/>
      <c r="E1892" s="292"/>
    </row>
    <row r="1893" spans="2:6" x14ac:dyDescent="0.55000000000000004">
      <c r="B1893" t="s">
        <v>2801</v>
      </c>
    </row>
    <row r="1894" spans="2:6" x14ac:dyDescent="0.55000000000000004">
      <c r="B1894" t="s">
        <v>2802</v>
      </c>
    </row>
    <row r="1895" spans="2:6" x14ac:dyDescent="0.55000000000000004">
      <c r="C1895" t="s">
        <v>2803</v>
      </c>
    </row>
    <row r="1896" spans="2:6" x14ac:dyDescent="0.55000000000000004">
      <c r="D1896">
        <v>2022</v>
      </c>
      <c r="E1896" t="s">
        <v>2404</v>
      </c>
      <c r="F1896" s="4">
        <f>-SUM(Quarts!W69:Z69)</f>
        <v>1130.215080200865</v>
      </c>
    </row>
    <row r="1897" spans="2:6" x14ac:dyDescent="0.55000000000000004">
      <c r="D1897">
        <v>2023</v>
      </c>
      <c r="E1897" t="s">
        <v>2405</v>
      </c>
      <c r="F1897" s="4">
        <f>-SUM(Quarts!AA69:AD69)</f>
        <v>1355</v>
      </c>
    </row>
    <row r="1898" spans="2:6" x14ac:dyDescent="0.55000000000000004">
      <c r="D1898">
        <v>2024</v>
      </c>
      <c r="E1898" t="s">
        <v>2458</v>
      </c>
      <c r="F1898" s="4">
        <f>-SUM(Quarts!AE69:AH69)</f>
        <v>1773.5470645841904</v>
      </c>
    </row>
    <row r="1899" spans="2:6" x14ac:dyDescent="0.55000000000000004">
      <c r="D1899">
        <v>2025</v>
      </c>
      <c r="E1899" t="s">
        <v>2454</v>
      </c>
    </row>
    <row r="1900" spans="2:6" x14ac:dyDescent="0.55000000000000004">
      <c r="E1900" t="s">
        <v>2455</v>
      </c>
    </row>
    <row r="1901" spans="2:6" x14ac:dyDescent="0.55000000000000004">
      <c r="E1901" t="s">
        <v>2456</v>
      </c>
    </row>
    <row r="1902" spans="2:6" x14ac:dyDescent="0.55000000000000004">
      <c r="E1902" t="s">
        <v>2457</v>
      </c>
    </row>
    <row r="1903" spans="2:6" x14ac:dyDescent="0.55000000000000004">
      <c r="D1903" s="292" t="s">
        <v>2868</v>
      </c>
    </row>
    <row r="1904" spans="2:6" x14ac:dyDescent="0.55000000000000004">
      <c r="D1904" s="292"/>
      <c r="E1904" s="292" t="s">
        <v>2870</v>
      </c>
    </row>
    <row r="1905" spans="2:5" x14ac:dyDescent="0.55000000000000004">
      <c r="D1905" s="292"/>
      <c r="E1905" s="292" t="s">
        <v>2871</v>
      </c>
    </row>
    <row r="1906" spans="2:5" x14ac:dyDescent="0.55000000000000004">
      <c r="D1906" s="292"/>
      <c r="E1906" s="292" t="s">
        <v>2872</v>
      </c>
    </row>
    <row r="1907" spans="2:5" x14ac:dyDescent="0.55000000000000004">
      <c r="D1907" s="292"/>
      <c r="E1907" s="292" t="s">
        <v>2875</v>
      </c>
    </row>
    <row r="1908" spans="2:5" x14ac:dyDescent="0.55000000000000004">
      <c r="D1908" s="292" t="s">
        <v>2869</v>
      </c>
    </row>
    <row r="1910" spans="2:5" x14ac:dyDescent="0.55000000000000004">
      <c r="B1910" t="s">
        <v>2169</v>
      </c>
    </row>
    <row r="1911" spans="2:5" x14ac:dyDescent="0.55000000000000004">
      <c r="B1911" t="s">
        <v>2804</v>
      </c>
      <c r="C1911" s="292" t="s">
        <v>2862</v>
      </c>
    </row>
    <row r="1912" spans="2:5" x14ac:dyDescent="0.55000000000000004">
      <c r="C1912" s="292"/>
      <c r="D1912" s="292" t="s">
        <v>2863</v>
      </c>
    </row>
    <row r="1913" spans="2:5" x14ac:dyDescent="0.55000000000000004">
      <c r="C1913" s="292" t="s">
        <v>2859</v>
      </c>
    </row>
    <row r="1914" spans="2:5" x14ac:dyDescent="0.55000000000000004">
      <c r="C1914" s="292" t="s">
        <v>2860</v>
      </c>
    </row>
    <row r="1915" spans="2:5" x14ac:dyDescent="0.55000000000000004">
      <c r="C1915" s="292" t="s">
        <v>2861</v>
      </c>
    </row>
    <row r="1916" spans="2:5" x14ac:dyDescent="0.55000000000000004">
      <c r="C1916" s="292"/>
      <c r="D1916" s="292" t="s">
        <v>2864</v>
      </c>
    </row>
    <row r="1917" spans="2:5" x14ac:dyDescent="0.55000000000000004">
      <c r="C1917" s="292"/>
      <c r="D1917" s="292" t="s">
        <v>2865</v>
      </c>
    </row>
    <row r="1918" spans="2:5" x14ac:dyDescent="0.55000000000000004">
      <c r="C1918" s="292"/>
      <c r="E1918" s="292" t="s">
        <v>2873</v>
      </c>
    </row>
    <row r="1919" spans="2:5" x14ac:dyDescent="0.55000000000000004">
      <c r="C1919" s="292"/>
      <c r="D1919" s="292" t="s">
        <v>2874</v>
      </c>
    </row>
    <row r="1920" spans="2:5" x14ac:dyDescent="0.55000000000000004">
      <c r="C1920" s="292" t="s">
        <v>2866</v>
      </c>
      <c r="D1920" s="292"/>
    </row>
    <row r="1921" spans="2:5" x14ac:dyDescent="0.55000000000000004">
      <c r="C1921" s="292" t="s">
        <v>2867</v>
      </c>
      <c r="D1921" s="292"/>
    </row>
    <row r="1923" spans="2:5" x14ac:dyDescent="0.55000000000000004">
      <c r="B1923" t="s">
        <v>321</v>
      </c>
    </row>
    <row r="1924" spans="2:5" x14ac:dyDescent="0.55000000000000004">
      <c r="C1924" s="292" t="s">
        <v>2876</v>
      </c>
    </row>
    <row r="1925" spans="2:5" x14ac:dyDescent="0.55000000000000004">
      <c r="C1925" s="292" t="s">
        <v>2877</v>
      </c>
    </row>
    <row r="1926" spans="2:5" x14ac:dyDescent="0.55000000000000004">
      <c r="D1926" s="292" t="s">
        <v>2878</v>
      </c>
    </row>
    <row r="1927" spans="2:5" x14ac:dyDescent="0.55000000000000004">
      <c r="C1927" s="292" t="s">
        <v>2879</v>
      </c>
    </row>
    <row r="1929" spans="2:5" x14ac:dyDescent="0.55000000000000004">
      <c r="B1929" s="23" t="s">
        <v>2893</v>
      </c>
    </row>
    <row r="1931" spans="2:5" x14ac:dyDescent="0.55000000000000004">
      <c r="B1931" t="s">
        <v>2894</v>
      </c>
    </row>
    <row r="1932" spans="2:5" x14ac:dyDescent="0.55000000000000004">
      <c r="B1932" t="s">
        <v>2895</v>
      </c>
    </row>
    <row r="1933" spans="2:5" x14ac:dyDescent="0.55000000000000004">
      <c r="B1933" t="s">
        <v>2896</v>
      </c>
    </row>
    <row r="1935" spans="2:5" x14ac:dyDescent="0.55000000000000004">
      <c r="B1935" s="23" t="s">
        <v>1172</v>
      </c>
    </row>
    <row r="1936" spans="2:5" x14ac:dyDescent="0.55000000000000004">
      <c r="D1936" t="s">
        <v>1814</v>
      </c>
      <c r="E1936" t="s">
        <v>4</v>
      </c>
    </row>
    <row r="1937" spans="1:4" x14ac:dyDescent="0.55000000000000004">
      <c r="B1937" t="s">
        <v>2943</v>
      </c>
      <c r="C1937" t="s">
        <v>1570</v>
      </c>
      <c r="D1937" t="s">
        <v>2946</v>
      </c>
    </row>
    <row r="1938" spans="1:4" x14ac:dyDescent="0.55000000000000004">
      <c r="C1938" t="s">
        <v>2889</v>
      </c>
      <c r="D1938" t="s">
        <v>2944</v>
      </c>
    </row>
    <row r="1939" spans="1:4" x14ac:dyDescent="0.55000000000000004">
      <c r="C1939" t="s">
        <v>2888</v>
      </c>
      <c r="D1939" t="s">
        <v>2945</v>
      </c>
    </row>
    <row r="1940" spans="1:4" x14ac:dyDescent="0.55000000000000004">
      <c r="A1940" t="s">
        <v>3000</v>
      </c>
    </row>
    <row r="1941" spans="1:4" x14ac:dyDescent="0.55000000000000004">
      <c r="B1941" t="s">
        <v>3007</v>
      </c>
    </row>
    <row r="1942" spans="1:4" x14ac:dyDescent="0.55000000000000004">
      <c r="B1942" t="s">
        <v>3008</v>
      </c>
    </row>
    <row r="1943" spans="1:4" x14ac:dyDescent="0.55000000000000004">
      <c r="B1943" t="s">
        <v>3009</v>
      </c>
    </row>
    <row r="1945" spans="1:4" x14ac:dyDescent="0.55000000000000004">
      <c r="B1945" t="s">
        <v>2962</v>
      </c>
    </row>
    <row r="1946" spans="1:4" x14ac:dyDescent="0.55000000000000004">
      <c r="B1946" t="s">
        <v>2947</v>
      </c>
    </row>
    <row r="1947" spans="1:4" x14ac:dyDescent="0.55000000000000004">
      <c r="B1947" t="s">
        <v>2955</v>
      </c>
    </row>
    <row r="1949" spans="1:4" x14ac:dyDescent="0.55000000000000004">
      <c r="B1949" t="s">
        <v>2940</v>
      </c>
    </row>
    <row r="1950" spans="1:4" x14ac:dyDescent="0.55000000000000004">
      <c r="B1950" t="s">
        <v>2941</v>
      </c>
    </row>
    <row r="1951" spans="1:4" x14ac:dyDescent="0.55000000000000004">
      <c r="C1951" t="s">
        <v>2942</v>
      </c>
    </row>
    <row r="1952" spans="1:4" x14ac:dyDescent="0.55000000000000004">
      <c r="B1952" t="s">
        <v>182</v>
      </c>
    </row>
    <row r="1953" spans="2:4" x14ac:dyDescent="0.55000000000000004">
      <c r="C1953" t="s">
        <v>2952</v>
      </c>
    </row>
    <row r="1954" spans="2:4" x14ac:dyDescent="0.55000000000000004">
      <c r="C1954" t="s">
        <v>2948</v>
      </c>
    </row>
    <row r="1955" spans="2:4" x14ac:dyDescent="0.55000000000000004">
      <c r="B1955" t="s">
        <v>2950</v>
      </c>
    </row>
    <row r="1956" spans="2:4" x14ac:dyDescent="0.55000000000000004">
      <c r="C1956" t="s">
        <v>2951</v>
      </c>
    </row>
    <row r="1957" spans="2:4" x14ac:dyDescent="0.55000000000000004">
      <c r="B1957" t="s">
        <v>2953</v>
      </c>
    </row>
    <row r="1958" spans="2:4" x14ac:dyDescent="0.55000000000000004">
      <c r="C1958" t="s">
        <v>2954</v>
      </c>
    </row>
    <row r="1960" spans="2:4" x14ac:dyDescent="0.55000000000000004">
      <c r="B1960" s="23" t="s">
        <v>1172</v>
      </c>
    </row>
    <row r="1961" spans="2:4" x14ac:dyDescent="0.55000000000000004">
      <c r="B1961" s="23"/>
    </row>
    <row r="1962" spans="2:4" x14ac:dyDescent="0.55000000000000004">
      <c r="B1962" t="s">
        <v>256</v>
      </c>
    </row>
    <row r="1963" spans="2:4" x14ac:dyDescent="0.55000000000000004">
      <c r="C1963" t="s">
        <v>2956</v>
      </c>
    </row>
    <row r="1964" spans="2:4" x14ac:dyDescent="0.55000000000000004">
      <c r="C1964" t="s">
        <v>2958</v>
      </c>
    </row>
    <row r="1965" spans="2:4" x14ac:dyDescent="0.55000000000000004">
      <c r="D1965" t="s">
        <v>2963</v>
      </c>
    </row>
    <row r="1966" spans="2:4" x14ac:dyDescent="0.55000000000000004">
      <c r="D1966" t="s">
        <v>2964</v>
      </c>
    </row>
    <row r="1967" spans="2:4" x14ac:dyDescent="0.55000000000000004">
      <c r="C1967" t="s">
        <v>2959</v>
      </c>
    </row>
    <row r="1968" spans="2:4" x14ac:dyDescent="0.55000000000000004">
      <c r="C1968" t="s">
        <v>2960</v>
      </c>
    </row>
    <row r="1969" spans="2:5" x14ac:dyDescent="0.55000000000000004">
      <c r="B1969" t="s">
        <v>2957</v>
      </c>
    </row>
    <row r="1970" spans="2:5" x14ac:dyDescent="0.55000000000000004">
      <c r="C1970" t="s">
        <v>2961</v>
      </c>
    </row>
    <row r="1971" spans="2:5" x14ac:dyDescent="0.55000000000000004">
      <c r="B1971" t="s">
        <v>2965</v>
      </c>
    </row>
    <row r="1972" spans="2:5" x14ac:dyDescent="0.55000000000000004">
      <c r="C1972" t="s">
        <v>2966</v>
      </c>
    </row>
    <row r="1973" spans="2:5" x14ac:dyDescent="0.55000000000000004">
      <c r="C1973" t="s">
        <v>1059</v>
      </c>
    </row>
    <row r="1974" spans="2:5" x14ac:dyDescent="0.55000000000000004">
      <c r="D1974" t="s">
        <v>2967</v>
      </c>
    </row>
    <row r="1975" spans="2:5" x14ac:dyDescent="0.55000000000000004">
      <c r="B1975" t="s">
        <v>2968</v>
      </c>
    </row>
    <row r="1977" spans="2:5" x14ac:dyDescent="0.55000000000000004">
      <c r="B1977" t="s">
        <v>182</v>
      </c>
    </row>
    <row r="1978" spans="2:5" x14ac:dyDescent="0.55000000000000004">
      <c r="C1978" t="s">
        <v>2969</v>
      </c>
    </row>
    <row r="1979" spans="2:5" x14ac:dyDescent="0.55000000000000004">
      <c r="C1979" t="s">
        <v>2970</v>
      </c>
    </row>
    <row r="1980" spans="2:5" x14ac:dyDescent="0.55000000000000004">
      <c r="C1980" t="s">
        <v>2971</v>
      </c>
    </row>
    <row r="1981" spans="2:5" x14ac:dyDescent="0.55000000000000004">
      <c r="D1981" t="s">
        <v>2972</v>
      </c>
    </row>
    <row r="1982" spans="2:5" x14ac:dyDescent="0.55000000000000004">
      <c r="D1982" t="s">
        <v>2973</v>
      </c>
    </row>
    <row r="1983" spans="2:5" x14ac:dyDescent="0.55000000000000004">
      <c r="D1983" t="s">
        <v>2974</v>
      </c>
    </row>
    <row r="1984" spans="2:5" x14ac:dyDescent="0.55000000000000004">
      <c r="E1984" t="s">
        <v>2978</v>
      </c>
    </row>
    <row r="1985" spans="2:5" x14ac:dyDescent="0.55000000000000004">
      <c r="E1985" t="s">
        <v>2979</v>
      </c>
    </row>
    <row r="1986" spans="2:5" x14ac:dyDescent="0.55000000000000004">
      <c r="D1986" t="s">
        <v>2975</v>
      </c>
    </row>
    <row r="1987" spans="2:5" x14ac:dyDescent="0.55000000000000004">
      <c r="B1987" t="s">
        <v>1183</v>
      </c>
    </row>
    <row r="1988" spans="2:5" x14ac:dyDescent="0.55000000000000004">
      <c r="C1988" t="s">
        <v>2976</v>
      </c>
    </row>
    <row r="1989" spans="2:5" x14ac:dyDescent="0.55000000000000004">
      <c r="B1989" t="s">
        <v>449</v>
      </c>
    </row>
    <row r="1990" spans="2:5" x14ac:dyDescent="0.55000000000000004">
      <c r="C1990" t="s">
        <v>2977</v>
      </c>
    </row>
    <row r="1991" spans="2:5" x14ac:dyDescent="0.55000000000000004">
      <c r="C1991" t="s">
        <v>2980</v>
      </c>
    </row>
    <row r="1992" spans="2:5" x14ac:dyDescent="0.55000000000000004">
      <c r="C1992" t="s">
        <v>2981</v>
      </c>
    </row>
    <row r="1993" spans="2:5" x14ac:dyDescent="0.55000000000000004">
      <c r="B1993" t="s">
        <v>2982</v>
      </c>
    </row>
    <row r="1994" spans="2:5" x14ac:dyDescent="0.55000000000000004">
      <c r="C1994" t="s">
        <v>2984</v>
      </c>
    </row>
    <row r="1995" spans="2:5" x14ac:dyDescent="0.55000000000000004">
      <c r="C1995" t="s">
        <v>2985</v>
      </c>
    </row>
    <row r="1996" spans="2:5" x14ac:dyDescent="0.55000000000000004">
      <c r="C1996" t="s">
        <v>2986</v>
      </c>
    </row>
    <row r="1997" spans="2:5" x14ac:dyDescent="0.55000000000000004">
      <c r="B1997" t="s">
        <v>2983</v>
      </c>
    </row>
    <row r="1998" spans="2:5" x14ac:dyDescent="0.55000000000000004">
      <c r="C1998" t="s">
        <v>2987</v>
      </c>
    </row>
    <row r="1999" spans="2:5" x14ac:dyDescent="0.55000000000000004">
      <c r="B1999" t="s">
        <v>2988</v>
      </c>
    </row>
    <row r="2000" spans="2:5" x14ac:dyDescent="0.55000000000000004">
      <c r="C2000" t="s">
        <v>2989</v>
      </c>
    </row>
    <row r="2001" spans="1:4" x14ac:dyDescent="0.55000000000000004">
      <c r="C2001" t="s">
        <v>2990</v>
      </c>
    </row>
    <row r="2002" spans="1:4" x14ac:dyDescent="0.55000000000000004">
      <c r="B2002" t="s">
        <v>2991</v>
      </c>
    </row>
    <row r="2003" spans="1:4" x14ac:dyDescent="0.55000000000000004">
      <c r="C2003" t="s">
        <v>2992</v>
      </c>
    </row>
    <row r="2004" spans="1:4" x14ac:dyDescent="0.55000000000000004">
      <c r="C2004" t="s">
        <v>2993</v>
      </c>
    </row>
    <row r="2005" spans="1:4" x14ac:dyDescent="0.55000000000000004">
      <c r="C2005" t="s">
        <v>2994</v>
      </c>
    </row>
    <row r="2006" spans="1:4" x14ac:dyDescent="0.55000000000000004">
      <c r="B2006" t="s">
        <v>2094</v>
      </c>
    </row>
    <row r="2007" spans="1:4" x14ac:dyDescent="0.55000000000000004">
      <c r="C2007" t="s">
        <v>2995</v>
      </c>
    </row>
    <row r="2008" spans="1:4" x14ac:dyDescent="0.55000000000000004">
      <c r="C2008" t="s">
        <v>2998</v>
      </c>
    </row>
    <row r="2009" spans="1:4" x14ac:dyDescent="0.55000000000000004">
      <c r="D2009" t="s">
        <v>3006</v>
      </c>
    </row>
    <row r="2010" spans="1:4" x14ac:dyDescent="0.55000000000000004">
      <c r="A2010" t="s">
        <v>3001</v>
      </c>
    </row>
    <row r="2011" spans="1:4" x14ac:dyDescent="0.55000000000000004">
      <c r="A2011" t="s">
        <v>3000</v>
      </c>
      <c r="C2011" t="s">
        <v>2999</v>
      </c>
    </row>
    <row r="2012" spans="1:4" x14ac:dyDescent="0.55000000000000004">
      <c r="B2012" t="s">
        <v>2996</v>
      </c>
    </row>
    <row r="2013" spans="1:4" x14ac:dyDescent="0.55000000000000004">
      <c r="C2013" t="s">
        <v>3002</v>
      </c>
    </row>
    <row r="2014" spans="1:4" x14ac:dyDescent="0.55000000000000004">
      <c r="B2014" s="238">
        <v>2024</v>
      </c>
    </row>
    <row r="2015" spans="1:4" x14ac:dyDescent="0.55000000000000004">
      <c r="C2015" t="s">
        <v>2997</v>
      </c>
    </row>
    <row r="2016" spans="1:4" x14ac:dyDescent="0.55000000000000004">
      <c r="D2016" t="s">
        <v>3003</v>
      </c>
    </row>
    <row r="2017" spans="1:4" x14ac:dyDescent="0.55000000000000004">
      <c r="D2017" t="s">
        <v>3004</v>
      </c>
    </row>
    <row r="2018" spans="1:4" x14ac:dyDescent="0.55000000000000004">
      <c r="A2018" t="s">
        <v>3000</v>
      </c>
      <c r="B2018" t="s">
        <v>3005</v>
      </c>
    </row>
    <row r="2020" spans="1:4" x14ac:dyDescent="0.55000000000000004">
      <c r="B2020" t="s">
        <v>3010</v>
      </c>
    </row>
    <row r="2022" spans="1:4" x14ac:dyDescent="0.55000000000000004">
      <c r="B2022" t="s">
        <v>3011</v>
      </c>
    </row>
    <row r="2024" spans="1:4" x14ac:dyDescent="0.55000000000000004">
      <c r="A2024" t="s">
        <v>1187</v>
      </c>
      <c r="B2024" t="s">
        <v>3012</v>
      </c>
    </row>
    <row r="2025" spans="1:4" x14ac:dyDescent="0.55000000000000004">
      <c r="D2025" t="s">
        <v>3013</v>
      </c>
    </row>
    <row r="2026" spans="1:4" x14ac:dyDescent="0.55000000000000004">
      <c r="B2026" t="s">
        <v>3014</v>
      </c>
    </row>
    <row r="2028" spans="1:4" x14ac:dyDescent="0.55000000000000004">
      <c r="B2028" t="s">
        <v>382</v>
      </c>
    </row>
    <row r="2029" spans="1:4" x14ac:dyDescent="0.55000000000000004">
      <c r="C2029" s="238">
        <v>2024</v>
      </c>
      <c r="D2029" t="s">
        <v>3015</v>
      </c>
    </row>
    <row r="2030" spans="1:4" x14ac:dyDescent="0.55000000000000004">
      <c r="C2030" t="s">
        <v>3016</v>
      </c>
      <c r="D2030" t="s">
        <v>3017</v>
      </c>
    </row>
    <row r="2031" spans="1:4" x14ac:dyDescent="0.55000000000000004">
      <c r="B2031" t="s">
        <v>3018</v>
      </c>
    </row>
    <row r="2033" spans="2:5" x14ac:dyDescent="0.55000000000000004">
      <c r="B2033" t="s">
        <v>3019</v>
      </c>
    </row>
    <row r="2034" spans="2:5" x14ac:dyDescent="0.55000000000000004">
      <c r="C2034" t="s">
        <v>3020</v>
      </c>
    </row>
    <row r="2035" spans="2:5" x14ac:dyDescent="0.55000000000000004">
      <c r="C2035" t="s">
        <v>3021</v>
      </c>
    </row>
    <row r="2036" spans="2:5" x14ac:dyDescent="0.55000000000000004">
      <c r="C2036" t="s">
        <v>3022</v>
      </c>
    </row>
    <row r="2037" spans="2:5" x14ac:dyDescent="0.55000000000000004">
      <c r="B2037" t="s">
        <v>3023</v>
      </c>
    </row>
    <row r="2038" spans="2:5" x14ac:dyDescent="0.55000000000000004">
      <c r="C2038" t="s">
        <v>3024</v>
      </c>
    </row>
    <row r="2039" spans="2:5" x14ac:dyDescent="0.55000000000000004">
      <c r="B2039" t="s">
        <v>3025</v>
      </c>
    </row>
    <row r="2040" spans="2:5" x14ac:dyDescent="0.55000000000000004">
      <c r="C2040" t="s">
        <v>3026</v>
      </c>
    </row>
    <row r="2041" spans="2:5" x14ac:dyDescent="0.55000000000000004">
      <c r="C2041" t="s">
        <v>3027</v>
      </c>
    </row>
    <row r="2042" spans="2:5" x14ac:dyDescent="0.55000000000000004">
      <c r="C2042" t="s">
        <v>3028</v>
      </c>
    </row>
    <row r="2044" spans="2:5" x14ac:dyDescent="0.55000000000000004">
      <c r="B2044" s="23" t="s">
        <v>3034</v>
      </c>
    </row>
    <row r="2046" spans="2:5" x14ac:dyDescent="0.55000000000000004">
      <c r="B2046" t="s">
        <v>2947</v>
      </c>
      <c r="D2046" s="239" t="s">
        <v>3</v>
      </c>
      <c r="E2046" s="239" t="s">
        <v>4</v>
      </c>
    </row>
    <row r="2047" spans="2:5" x14ac:dyDescent="0.55000000000000004">
      <c r="C2047" s="8" t="s">
        <v>239</v>
      </c>
      <c r="D2047" s="8" t="s">
        <v>3036</v>
      </c>
    </row>
    <row r="2048" spans="2:5" x14ac:dyDescent="0.55000000000000004">
      <c r="B2048" t="s">
        <v>1570</v>
      </c>
      <c r="C2048" s="366">
        <v>0.18</v>
      </c>
      <c r="D2048" s="8" t="s">
        <v>3035</v>
      </c>
      <c r="E2048" s="8" t="s">
        <v>3040</v>
      </c>
    </row>
    <row r="2049" spans="2:5" x14ac:dyDescent="0.55000000000000004">
      <c r="C2049" s="366"/>
      <c r="D2049" s="8" t="s">
        <v>3039</v>
      </c>
    </row>
    <row r="2050" spans="2:5" x14ac:dyDescent="0.55000000000000004">
      <c r="B2050" t="s">
        <v>1918</v>
      </c>
      <c r="C2050" s="366">
        <v>0.09</v>
      </c>
      <c r="D2050" s="8" t="s">
        <v>3037</v>
      </c>
      <c r="E2050" s="8" t="s">
        <v>3041</v>
      </c>
    </row>
    <row r="2051" spans="2:5" x14ac:dyDescent="0.55000000000000004">
      <c r="B2051" s="1" t="s">
        <v>2888</v>
      </c>
      <c r="C2051" s="591">
        <v>0.03</v>
      </c>
      <c r="D2051" s="234" t="s">
        <v>3038</v>
      </c>
      <c r="E2051" s="1"/>
    </row>
    <row r="2052" spans="2:5" x14ac:dyDescent="0.55000000000000004">
      <c r="B2052" t="s">
        <v>3045</v>
      </c>
      <c r="D2052" s="8" t="s">
        <v>3046</v>
      </c>
    </row>
    <row r="2053" spans="2:5" x14ac:dyDescent="0.55000000000000004">
      <c r="B2053" t="s">
        <v>1458</v>
      </c>
      <c r="D2053" s="8" t="s">
        <v>3047</v>
      </c>
      <c r="E2053" s="590" t="s">
        <v>3044</v>
      </c>
    </row>
    <row r="2055" spans="2:5" x14ac:dyDescent="0.55000000000000004">
      <c r="B2055" t="s">
        <v>462</v>
      </c>
    </row>
    <row r="2056" spans="2:5" x14ac:dyDescent="0.55000000000000004">
      <c r="C2056" t="s">
        <v>3043</v>
      </c>
    </row>
    <row r="2057" spans="2:5" x14ac:dyDescent="0.55000000000000004">
      <c r="C2057" t="s">
        <v>3042</v>
      </c>
    </row>
    <row r="2058" spans="2:5" x14ac:dyDescent="0.55000000000000004">
      <c r="B2058" t="s">
        <v>3053</v>
      </c>
    </row>
    <row r="2060" spans="2:5" x14ac:dyDescent="0.55000000000000004">
      <c r="B2060" t="s">
        <v>182</v>
      </c>
    </row>
    <row r="2061" spans="2:5" x14ac:dyDescent="0.55000000000000004">
      <c r="B2061" t="s">
        <v>343</v>
      </c>
    </row>
    <row r="2062" spans="2:5" x14ac:dyDescent="0.55000000000000004">
      <c r="C2062" t="s">
        <v>3048</v>
      </c>
    </row>
    <row r="2063" spans="2:5" x14ac:dyDescent="0.55000000000000004">
      <c r="B2063" t="s">
        <v>3052</v>
      </c>
    </row>
    <row r="2064" spans="2:5" x14ac:dyDescent="0.55000000000000004">
      <c r="C2064" t="s">
        <v>3050</v>
      </c>
    </row>
    <row r="2065" spans="2:4" x14ac:dyDescent="0.55000000000000004">
      <c r="D2065" t="s">
        <v>3051</v>
      </c>
    </row>
    <row r="2067" spans="2:4" x14ac:dyDescent="0.55000000000000004">
      <c r="C2067" t="s">
        <v>3049</v>
      </c>
    </row>
    <row r="2068" spans="2:4" x14ac:dyDescent="0.55000000000000004">
      <c r="B2068" t="s">
        <v>2953</v>
      </c>
    </row>
    <row r="2070" spans="2:4" x14ac:dyDescent="0.55000000000000004">
      <c r="B2070" t="s">
        <v>3054</v>
      </c>
    </row>
    <row r="2072" spans="2:4" x14ac:dyDescent="0.55000000000000004">
      <c r="B2072" s="23" t="s">
        <v>462</v>
      </c>
    </row>
    <row r="2073" spans="2:4" x14ac:dyDescent="0.55000000000000004">
      <c r="B2073" t="s">
        <v>3057</v>
      </c>
    </row>
    <row r="2074" spans="2:4" x14ac:dyDescent="0.55000000000000004">
      <c r="B2074" t="s">
        <v>3055</v>
      </c>
    </row>
    <row r="2075" spans="2:4" x14ac:dyDescent="0.55000000000000004">
      <c r="C2075" t="s">
        <v>3056</v>
      </c>
    </row>
    <row r="2076" spans="2:4" x14ac:dyDescent="0.55000000000000004">
      <c r="C2076" t="s">
        <v>3059</v>
      </c>
    </row>
    <row r="2077" spans="2:4" x14ac:dyDescent="0.55000000000000004">
      <c r="D2077" t="s">
        <v>3060</v>
      </c>
    </row>
    <row r="2078" spans="2:4" x14ac:dyDescent="0.55000000000000004">
      <c r="D2078" t="s">
        <v>3058</v>
      </c>
    </row>
    <row r="2079" spans="2:4" x14ac:dyDescent="0.55000000000000004">
      <c r="D2079" t="s">
        <v>3061</v>
      </c>
    </row>
    <row r="2080" spans="2:4" x14ac:dyDescent="0.55000000000000004">
      <c r="C2080" t="s">
        <v>3062</v>
      </c>
    </row>
    <row r="2081" spans="2:4" x14ac:dyDescent="0.55000000000000004">
      <c r="C2081" t="s">
        <v>3063</v>
      </c>
    </row>
    <row r="2082" spans="2:4" x14ac:dyDescent="0.55000000000000004">
      <c r="B2082" t="s">
        <v>3064</v>
      </c>
    </row>
    <row r="2083" spans="2:4" x14ac:dyDescent="0.55000000000000004">
      <c r="C2083" t="s">
        <v>3065</v>
      </c>
    </row>
    <row r="2084" spans="2:4" x14ac:dyDescent="0.55000000000000004">
      <c r="C2084" t="s">
        <v>3066</v>
      </c>
    </row>
    <row r="2085" spans="2:4" x14ac:dyDescent="0.55000000000000004">
      <c r="C2085" t="s">
        <v>3067</v>
      </c>
    </row>
    <row r="2086" spans="2:4" x14ac:dyDescent="0.55000000000000004">
      <c r="B2086" t="s">
        <v>3068</v>
      </c>
    </row>
    <row r="2087" spans="2:4" x14ac:dyDescent="0.55000000000000004">
      <c r="C2087" t="s">
        <v>3069</v>
      </c>
    </row>
    <row r="2088" spans="2:4" x14ac:dyDescent="0.55000000000000004">
      <c r="C2088" t="s">
        <v>3070</v>
      </c>
    </row>
    <row r="2089" spans="2:4" x14ac:dyDescent="0.55000000000000004">
      <c r="D2089" t="s">
        <v>3071</v>
      </c>
    </row>
    <row r="2090" spans="2:4" x14ac:dyDescent="0.55000000000000004">
      <c r="C2090" t="s">
        <v>3073</v>
      </c>
    </row>
    <row r="2091" spans="2:4" x14ac:dyDescent="0.55000000000000004">
      <c r="B2091" t="s">
        <v>3072</v>
      </c>
    </row>
    <row r="2093" spans="2:4" x14ac:dyDescent="0.55000000000000004">
      <c r="B2093" t="s">
        <v>3074</v>
      </c>
    </row>
    <row r="2094" spans="2:4" x14ac:dyDescent="0.55000000000000004">
      <c r="C2094" t="s">
        <v>3075</v>
      </c>
    </row>
    <row r="2095" spans="2:4" x14ac:dyDescent="0.55000000000000004">
      <c r="C2095" t="s">
        <v>3076</v>
      </c>
    </row>
    <row r="2096" spans="2:4" x14ac:dyDescent="0.55000000000000004">
      <c r="C2096" t="s">
        <v>3077</v>
      </c>
    </row>
    <row r="2097" spans="2:5" x14ac:dyDescent="0.55000000000000004">
      <c r="B2097" t="s">
        <v>3078</v>
      </c>
    </row>
    <row r="2098" spans="2:5" x14ac:dyDescent="0.55000000000000004">
      <c r="C2098" t="s">
        <v>3079</v>
      </c>
    </row>
    <row r="2099" spans="2:5" x14ac:dyDescent="0.55000000000000004">
      <c r="D2099">
        <v>3000</v>
      </c>
    </row>
    <row r="2100" spans="2:5" x14ac:dyDescent="0.55000000000000004">
      <c r="D2100">
        <v>2000</v>
      </c>
      <c r="E2100" s="8" t="s">
        <v>3080</v>
      </c>
    </row>
    <row r="2101" spans="2:5" x14ac:dyDescent="0.55000000000000004">
      <c r="D2101">
        <f>D2099-D2100</f>
        <v>1000</v>
      </c>
      <c r="E2101" s="8" t="s">
        <v>3081</v>
      </c>
    </row>
    <row r="2102" spans="2:5" x14ac:dyDescent="0.55000000000000004">
      <c r="C2102" t="s">
        <v>3082</v>
      </c>
    </row>
    <row r="2103" spans="2:5" x14ac:dyDescent="0.55000000000000004">
      <c r="B2103" t="s">
        <v>3083</v>
      </c>
    </row>
    <row r="2104" spans="2:5" x14ac:dyDescent="0.55000000000000004">
      <c r="C2104" t="s">
        <v>3084</v>
      </c>
    </row>
    <row r="2105" spans="2:5" x14ac:dyDescent="0.55000000000000004">
      <c r="C2105" t="s">
        <v>3086</v>
      </c>
    </row>
    <row r="2106" spans="2:5" x14ac:dyDescent="0.55000000000000004">
      <c r="C2106" t="s">
        <v>3085</v>
      </c>
    </row>
    <row r="2108" spans="2:5" x14ac:dyDescent="0.55000000000000004">
      <c r="C2108" t="s">
        <v>2645</v>
      </c>
      <c r="D2108" t="s">
        <v>3089</v>
      </c>
    </row>
    <row r="2109" spans="2:5" x14ac:dyDescent="0.55000000000000004">
      <c r="C2109" t="s">
        <v>3087</v>
      </c>
      <c r="D2109" t="s">
        <v>3088</v>
      </c>
    </row>
    <row r="2110" spans="2:5" x14ac:dyDescent="0.55000000000000004">
      <c r="B2110" t="s">
        <v>182</v>
      </c>
    </row>
    <row r="2111" spans="2:5" x14ac:dyDescent="0.55000000000000004">
      <c r="C2111" t="s">
        <v>3090</v>
      </c>
    </row>
    <row r="2112" spans="2:5" x14ac:dyDescent="0.55000000000000004">
      <c r="D2112" t="s">
        <v>3091</v>
      </c>
    </row>
    <row r="2113" spans="2:5" x14ac:dyDescent="0.55000000000000004">
      <c r="C2113" t="s">
        <v>3092</v>
      </c>
    </row>
    <row r="2114" spans="2:5" x14ac:dyDescent="0.55000000000000004">
      <c r="C2114" t="s">
        <v>39</v>
      </c>
      <c r="D2114">
        <v>2.7</v>
      </c>
      <c r="E2114">
        <v>2.5</v>
      </c>
    </row>
    <row r="2115" spans="2:5" x14ac:dyDescent="0.55000000000000004">
      <c r="D2115" s="2">
        <v>0.31</v>
      </c>
      <c r="E2115" s="2">
        <v>0.48</v>
      </c>
    </row>
    <row r="2116" spans="2:5" x14ac:dyDescent="0.55000000000000004">
      <c r="D2116" s="13">
        <f>D2115*D2114</f>
        <v>0.83700000000000008</v>
      </c>
      <c r="E2116">
        <f>E2115*E2114</f>
        <v>1.2</v>
      </c>
    </row>
    <row r="2117" spans="2:5" x14ac:dyDescent="0.55000000000000004">
      <c r="E2117" s="2">
        <f>E2116/D2116-1</f>
        <v>0.4336917562724012</v>
      </c>
    </row>
    <row r="2118" spans="2:5" x14ac:dyDescent="0.55000000000000004">
      <c r="C2118" t="s">
        <v>3093</v>
      </c>
    </row>
    <row r="2119" spans="2:5" x14ac:dyDescent="0.55000000000000004">
      <c r="C2119" t="s">
        <v>3094</v>
      </c>
    </row>
    <row r="2120" spans="2:5" x14ac:dyDescent="0.55000000000000004">
      <c r="D2120" t="s">
        <v>3095</v>
      </c>
    </row>
    <row r="2121" spans="2:5" x14ac:dyDescent="0.55000000000000004">
      <c r="E2121">
        <v>0.5</v>
      </c>
    </row>
    <row r="2122" spans="2:5" x14ac:dyDescent="0.55000000000000004">
      <c r="E2122">
        <f>E2114-E2121</f>
        <v>2</v>
      </c>
    </row>
    <row r="2123" spans="2:5" x14ac:dyDescent="0.55000000000000004">
      <c r="C2123" t="s">
        <v>3096</v>
      </c>
    </row>
    <row r="2125" spans="2:5" x14ac:dyDescent="0.55000000000000004">
      <c r="B2125" t="s">
        <v>3097</v>
      </c>
    </row>
    <row r="2126" spans="2:5" x14ac:dyDescent="0.55000000000000004">
      <c r="C2126" t="s">
        <v>3098</v>
      </c>
    </row>
    <row r="2127" spans="2:5" x14ac:dyDescent="0.55000000000000004">
      <c r="B2127" t="s">
        <v>3099</v>
      </c>
    </row>
    <row r="2128" spans="2:5" x14ac:dyDescent="0.55000000000000004">
      <c r="C2128" t="s">
        <v>3100</v>
      </c>
    </row>
    <row r="2129" spans="2:5" x14ac:dyDescent="0.55000000000000004">
      <c r="C2129" t="s">
        <v>3103</v>
      </c>
      <c r="D2129" t="s">
        <v>3101</v>
      </c>
    </row>
    <row r="2130" spans="2:5" x14ac:dyDescent="0.55000000000000004">
      <c r="D2130" t="s">
        <v>3102</v>
      </c>
    </row>
    <row r="2131" spans="2:5" x14ac:dyDescent="0.55000000000000004">
      <c r="C2131" t="s">
        <v>3104</v>
      </c>
      <c r="D2131" t="s">
        <v>3105</v>
      </c>
    </row>
    <row r="2132" spans="2:5" x14ac:dyDescent="0.55000000000000004">
      <c r="E2132" t="s">
        <v>3106</v>
      </c>
    </row>
    <row r="2133" spans="2:5" x14ac:dyDescent="0.55000000000000004">
      <c r="C2133" t="s">
        <v>3107</v>
      </c>
    </row>
    <row r="2134" spans="2:5" x14ac:dyDescent="0.55000000000000004">
      <c r="D2134" t="s">
        <v>3108</v>
      </c>
    </row>
    <row r="2135" spans="2:5" x14ac:dyDescent="0.55000000000000004">
      <c r="B2135" t="s">
        <v>3109</v>
      </c>
    </row>
    <row r="2136" spans="2:5" x14ac:dyDescent="0.55000000000000004">
      <c r="C2136" t="s">
        <v>3116</v>
      </c>
    </row>
    <row r="2137" spans="2:5" x14ac:dyDescent="0.55000000000000004">
      <c r="B2137" s="238">
        <v>2024</v>
      </c>
      <c r="D2137">
        <f>480*4</f>
        <v>1920</v>
      </c>
    </row>
    <row r="2138" spans="2:5" x14ac:dyDescent="0.55000000000000004">
      <c r="C2138" t="s">
        <v>3110</v>
      </c>
    </row>
    <row r="2139" spans="2:5" x14ac:dyDescent="0.55000000000000004">
      <c r="C2139" t="s">
        <v>3111</v>
      </c>
    </row>
    <row r="2140" spans="2:5" x14ac:dyDescent="0.55000000000000004">
      <c r="C2140" t="s">
        <v>3112</v>
      </c>
    </row>
    <row r="2141" spans="2:5" x14ac:dyDescent="0.55000000000000004">
      <c r="C2141" t="s">
        <v>3117</v>
      </c>
    </row>
    <row r="2143" spans="2:5" x14ac:dyDescent="0.55000000000000004">
      <c r="C2143" t="s">
        <v>3113</v>
      </c>
    </row>
    <row r="2144" spans="2:5" x14ac:dyDescent="0.55000000000000004">
      <c r="C2144" t="s">
        <v>3114</v>
      </c>
    </row>
    <row r="2145" spans="2:4" x14ac:dyDescent="0.55000000000000004">
      <c r="C2145" t="s">
        <v>3115</v>
      </c>
    </row>
    <row r="2148" spans="2:4" x14ac:dyDescent="0.55000000000000004">
      <c r="B2148" s="23" t="s">
        <v>3152</v>
      </c>
    </row>
    <row r="2149" spans="2:4" x14ac:dyDescent="0.55000000000000004">
      <c r="B2149" t="s">
        <v>3150</v>
      </c>
    </row>
    <row r="2150" spans="2:4" x14ac:dyDescent="0.55000000000000004">
      <c r="B2150" t="s">
        <v>343</v>
      </c>
    </row>
    <row r="2151" spans="2:4" x14ac:dyDescent="0.55000000000000004">
      <c r="B2151" t="s">
        <v>3149</v>
      </c>
    </row>
    <row r="2152" spans="2:4" x14ac:dyDescent="0.55000000000000004">
      <c r="B2152" t="s">
        <v>3148</v>
      </c>
    </row>
    <row r="2154" spans="2:4" x14ac:dyDescent="0.55000000000000004">
      <c r="B2154" t="s">
        <v>35</v>
      </c>
      <c r="C2154" t="s">
        <v>3153</v>
      </c>
    </row>
    <row r="2155" spans="2:4" x14ac:dyDescent="0.55000000000000004">
      <c r="C2155" t="s">
        <v>1763</v>
      </c>
      <c r="D2155" t="s">
        <v>3154</v>
      </c>
    </row>
    <row r="2156" spans="2:4" x14ac:dyDescent="0.55000000000000004">
      <c r="C2156" t="s">
        <v>3151</v>
      </c>
    </row>
    <row r="2157" spans="2:4" x14ac:dyDescent="0.55000000000000004">
      <c r="D2157" t="s">
        <v>3155</v>
      </c>
    </row>
    <row r="2158" spans="2:4" x14ac:dyDescent="0.55000000000000004">
      <c r="D2158" t="s">
        <v>3156</v>
      </c>
    </row>
    <row r="2159" spans="2:4" x14ac:dyDescent="0.55000000000000004">
      <c r="C2159" s="9" t="s">
        <v>3166</v>
      </c>
    </row>
    <row r="2160" spans="2:4" x14ac:dyDescent="0.55000000000000004">
      <c r="C2160" t="s">
        <v>3157</v>
      </c>
    </row>
    <row r="2161" spans="3:5" x14ac:dyDescent="0.55000000000000004">
      <c r="C2161" t="s">
        <v>3158</v>
      </c>
    </row>
    <row r="2162" spans="3:5" x14ac:dyDescent="0.55000000000000004">
      <c r="C2162" t="s">
        <v>1305</v>
      </c>
    </row>
    <row r="2164" spans="3:5" x14ac:dyDescent="0.55000000000000004">
      <c r="C2164" t="s">
        <v>3167</v>
      </c>
    </row>
    <row r="2165" spans="3:5" x14ac:dyDescent="0.55000000000000004">
      <c r="C2165" t="s">
        <v>3168</v>
      </c>
    </row>
    <row r="2167" spans="3:5" x14ac:dyDescent="0.55000000000000004">
      <c r="C2167" t="s">
        <v>3169</v>
      </c>
    </row>
    <row r="2168" spans="3:5" x14ac:dyDescent="0.55000000000000004">
      <c r="D2168" t="s">
        <v>3170</v>
      </c>
    </row>
    <row r="2169" spans="3:5" x14ac:dyDescent="0.55000000000000004">
      <c r="D2169" t="s">
        <v>3171</v>
      </c>
    </row>
    <row r="2170" spans="3:5" x14ac:dyDescent="0.55000000000000004">
      <c r="D2170" t="s">
        <v>3172</v>
      </c>
    </row>
    <row r="2171" spans="3:5" x14ac:dyDescent="0.55000000000000004">
      <c r="C2171" t="s">
        <v>3173</v>
      </c>
    </row>
    <row r="2172" spans="3:5" x14ac:dyDescent="0.55000000000000004">
      <c r="D2172" t="s">
        <v>3174</v>
      </c>
    </row>
    <row r="2173" spans="3:5" x14ac:dyDescent="0.55000000000000004">
      <c r="D2173" t="s">
        <v>3175</v>
      </c>
    </row>
    <row r="2174" spans="3:5" x14ac:dyDescent="0.55000000000000004">
      <c r="E2174" t="s">
        <v>3176</v>
      </c>
    </row>
    <row r="2175" spans="3:5" x14ac:dyDescent="0.55000000000000004">
      <c r="E2175" t="s">
        <v>3177</v>
      </c>
    </row>
    <row r="2176" spans="3:5" x14ac:dyDescent="0.55000000000000004">
      <c r="E2176" t="s">
        <v>3178</v>
      </c>
    </row>
    <row r="2177" spans="2:4" x14ac:dyDescent="0.55000000000000004">
      <c r="B2177" t="s">
        <v>3159</v>
      </c>
    </row>
    <row r="2178" spans="2:4" x14ac:dyDescent="0.55000000000000004">
      <c r="C2178" t="s">
        <v>3160</v>
      </c>
    </row>
    <row r="2179" spans="2:4" x14ac:dyDescent="0.55000000000000004">
      <c r="C2179" t="s">
        <v>3161</v>
      </c>
    </row>
    <row r="2180" spans="2:4" x14ac:dyDescent="0.55000000000000004">
      <c r="D2180" t="s">
        <v>3162</v>
      </c>
    </row>
    <row r="2181" spans="2:4" x14ac:dyDescent="0.55000000000000004">
      <c r="C2181" t="s">
        <v>3164</v>
      </c>
    </row>
    <row r="2182" spans="2:4" x14ac:dyDescent="0.55000000000000004">
      <c r="C2182" t="s">
        <v>3165</v>
      </c>
    </row>
    <row r="2183" spans="2:4" x14ac:dyDescent="0.55000000000000004">
      <c r="B2183" t="s">
        <v>3163</v>
      </c>
    </row>
    <row r="2185" spans="2:4" x14ac:dyDescent="0.55000000000000004">
      <c r="B2185" t="s">
        <v>1033</v>
      </c>
    </row>
    <row r="2186" spans="2:4" x14ac:dyDescent="0.55000000000000004">
      <c r="C2186" t="s">
        <v>3179</v>
      </c>
    </row>
    <row r="2187" spans="2:4" x14ac:dyDescent="0.55000000000000004">
      <c r="C2187" t="s">
        <v>3180</v>
      </c>
    </row>
    <row r="2188" spans="2:4" x14ac:dyDescent="0.55000000000000004">
      <c r="C2188" t="s">
        <v>3181</v>
      </c>
    </row>
    <row r="2189" spans="2:4" x14ac:dyDescent="0.55000000000000004">
      <c r="B2189" t="s">
        <v>462</v>
      </c>
    </row>
    <row r="2190" spans="2:4" x14ac:dyDescent="0.55000000000000004">
      <c r="C2190" t="s">
        <v>3182</v>
      </c>
    </row>
    <row r="2191" spans="2:4" x14ac:dyDescent="0.55000000000000004">
      <c r="D2191" t="s">
        <v>3183</v>
      </c>
    </row>
    <row r="2192" spans="2:4" x14ac:dyDescent="0.55000000000000004">
      <c r="D2192" t="s">
        <v>3184</v>
      </c>
    </row>
    <row r="2193" spans="2:4" x14ac:dyDescent="0.55000000000000004">
      <c r="D2193" t="s">
        <v>3185</v>
      </c>
    </row>
    <row r="2194" spans="2:4" x14ac:dyDescent="0.55000000000000004">
      <c r="B2194" t="s">
        <v>1033</v>
      </c>
    </row>
    <row r="2195" spans="2:4" x14ac:dyDescent="0.55000000000000004">
      <c r="C2195" t="s">
        <v>3186</v>
      </c>
    </row>
    <row r="2196" spans="2:4" x14ac:dyDescent="0.55000000000000004">
      <c r="C2196" t="s">
        <v>3187</v>
      </c>
    </row>
    <row r="2197" spans="2:4" x14ac:dyDescent="0.55000000000000004">
      <c r="C2197" t="s">
        <v>3188</v>
      </c>
    </row>
    <row r="2198" spans="2:4" x14ac:dyDescent="0.55000000000000004">
      <c r="B2198" t="s">
        <v>2169</v>
      </c>
    </row>
    <row r="2199" spans="2:4" x14ac:dyDescent="0.55000000000000004">
      <c r="C2199" t="s">
        <v>3189</v>
      </c>
    </row>
    <row r="2200" spans="2:4" x14ac:dyDescent="0.55000000000000004">
      <c r="C2200" t="s">
        <v>3190</v>
      </c>
    </row>
    <row r="2201" spans="2:4" x14ac:dyDescent="0.55000000000000004">
      <c r="B2201" t="s">
        <v>3191</v>
      </c>
    </row>
    <row r="2202" spans="2:4" x14ac:dyDescent="0.55000000000000004">
      <c r="C2202" t="s">
        <v>3192</v>
      </c>
    </row>
    <row r="2203" spans="2:4" x14ac:dyDescent="0.55000000000000004">
      <c r="C2203" t="s">
        <v>3193</v>
      </c>
    </row>
    <row r="2204" spans="2:4" x14ac:dyDescent="0.55000000000000004">
      <c r="B2204" t="s">
        <v>3194</v>
      </c>
    </row>
    <row r="2205" spans="2:4" x14ac:dyDescent="0.55000000000000004">
      <c r="C2205" t="s">
        <v>3195</v>
      </c>
    </row>
    <row r="2207" spans="2:4" x14ac:dyDescent="0.55000000000000004">
      <c r="B2207" t="s">
        <v>3196</v>
      </c>
    </row>
    <row r="2208" spans="2:4" x14ac:dyDescent="0.55000000000000004">
      <c r="C2208" t="s">
        <v>3197</v>
      </c>
    </row>
    <row r="2209" spans="2:5" x14ac:dyDescent="0.55000000000000004">
      <c r="C2209" t="s">
        <v>3198</v>
      </c>
    </row>
    <row r="2210" spans="2:5" x14ac:dyDescent="0.55000000000000004">
      <c r="C2210" t="s">
        <v>3199</v>
      </c>
    </row>
    <row r="2211" spans="2:5" x14ac:dyDescent="0.55000000000000004">
      <c r="D2211" t="s">
        <v>3200</v>
      </c>
    </row>
    <row r="2212" spans="2:5" x14ac:dyDescent="0.55000000000000004">
      <c r="C2212" t="s">
        <v>3201</v>
      </c>
      <c r="D2212" t="s">
        <v>3202</v>
      </c>
      <c r="E2212" t="s">
        <v>3203</v>
      </c>
    </row>
    <row r="2213" spans="2:5" x14ac:dyDescent="0.55000000000000004">
      <c r="C2213" t="s">
        <v>3204</v>
      </c>
      <c r="D2213" s="161">
        <v>0.33</v>
      </c>
      <c r="E2213" t="s">
        <v>3205</v>
      </c>
    </row>
    <row r="2214" spans="2:5" x14ac:dyDescent="0.55000000000000004">
      <c r="C2214" t="s">
        <v>3206</v>
      </c>
      <c r="D2214" s="161">
        <v>0.2</v>
      </c>
    </row>
    <row r="2216" spans="2:5" x14ac:dyDescent="0.55000000000000004">
      <c r="C2216" t="s">
        <v>3207</v>
      </c>
    </row>
    <row r="2217" spans="2:5" x14ac:dyDescent="0.55000000000000004">
      <c r="C2217" t="s">
        <v>3208</v>
      </c>
    </row>
    <row r="2219" spans="2:5" x14ac:dyDescent="0.55000000000000004">
      <c r="B2219" s="23" t="s">
        <v>3267</v>
      </c>
    </row>
    <row r="2221" spans="2:5" x14ac:dyDescent="0.55000000000000004">
      <c r="B2221" t="s">
        <v>3269</v>
      </c>
    </row>
    <row r="2222" spans="2:5" x14ac:dyDescent="0.55000000000000004">
      <c r="C2222" t="s">
        <v>3268</v>
      </c>
    </row>
    <row r="2223" spans="2:5" x14ac:dyDescent="0.55000000000000004">
      <c r="C2223" t="s">
        <v>3270</v>
      </c>
    </row>
    <row r="2224" spans="2:5" x14ac:dyDescent="0.55000000000000004">
      <c r="B2224" t="s">
        <v>402</v>
      </c>
    </row>
    <row r="2225" spans="2:5" x14ac:dyDescent="0.55000000000000004">
      <c r="C2225" t="s">
        <v>3272</v>
      </c>
    </row>
    <row r="2227" spans="2:5" x14ac:dyDescent="0.55000000000000004">
      <c r="B2227" s="23" t="s">
        <v>3282</v>
      </c>
    </row>
    <row r="2229" spans="2:5" x14ac:dyDescent="0.55000000000000004">
      <c r="B2229" t="s">
        <v>3283</v>
      </c>
    </row>
    <row r="2230" spans="2:5" x14ac:dyDescent="0.55000000000000004">
      <c r="B2230" t="s">
        <v>3293</v>
      </c>
    </row>
    <row r="2231" spans="2:5" x14ac:dyDescent="0.55000000000000004">
      <c r="B2231" t="s">
        <v>3284</v>
      </c>
    </row>
    <row r="2232" spans="2:5" x14ac:dyDescent="0.55000000000000004">
      <c r="B2232" t="s">
        <v>3288</v>
      </c>
    </row>
    <row r="2233" spans="2:5" x14ac:dyDescent="0.55000000000000004">
      <c r="C2233" t="s">
        <v>3289</v>
      </c>
    </row>
    <row r="2234" spans="2:5" x14ac:dyDescent="0.55000000000000004">
      <c r="B2234" t="s">
        <v>3291</v>
      </c>
    </row>
    <row r="2237" spans="2:5" x14ac:dyDescent="0.55000000000000004">
      <c r="B2237" t="s">
        <v>462</v>
      </c>
      <c r="C2237">
        <v>10000</v>
      </c>
      <c r="D2237">
        <v>10000</v>
      </c>
    </row>
    <row r="2239" spans="2:5" x14ac:dyDescent="0.55000000000000004">
      <c r="B2239" t="s">
        <v>3294</v>
      </c>
      <c r="C2239" s="12">
        <v>2.5000000000000001E-2</v>
      </c>
      <c r="D2239" s="46">
        <v>2.1999999999999999E-2</v>
      </c>
      <c r="E2239" s="11">
        <f>D2239-C2239</f>
        <v>-3.0000000000000027E-3</v>
      </c>
    </row>
    <row r="2240" spans="2:5" x14ac:dyDescent="0.55000000000000004">
      <c r="B2240" t="s">
        <v>1741</v>
      </c>
      <c r="C2240">
        <f>C2239*C2237</f>
        <v>250</v>
      </c>
      <c r="D2240">
        <f>D2239*D2237</f>
        <v>220</v>
      </c>
    </row>
    <row r="2242" spans="2:5" x14ac:dyDescent="0.55000000000000004">
      <c r="B2242" t="s">
        <v>3295</v>
      </c>
      <c r="C2242" s="12">
        <v>5.0000000000000001E-3</v>
      </c>
      <c r="D2242" s="12">
        <f>C2242</f>
        <v>5.0000000000000001E-3</v>
      </c>
    </row>
    <row r="2243" spans="2:5" x14ac:dyDescent="0.55000000000000004">
      <c r="B2243" t="s">
        <v>3296</v>
      </c>
      <c r="C2243">
        <f>C2242*C2237</f>
        <v>50</v>
      </c>
      <c r="D2243">
        <f>D2242*D2237</f>
        <v>50</v>
      </c>
    </row>
    <row r="2245" spans="2:5" x14ac:dyDescent="0.55000000000000004">
      <c r="B2245" t="s">
        <v>257</v>
      </c>
      <c r="C2245" s="12">
        <f>C2239-C2242</f>
        <v>0.02</v>
      </c>
      <c r="D2245" s="12">
        <f>D2239-D2242</f>
        <v>1.6999999999999998E-2</v>
      </c>
      <c r="E2245" s="12">
        <f>D2245-C2245</f>
        <v>-3.0000000000000027E-3</v>
      </c>
    </row>
    <row r="2246" spans="2:5" x14ac:dyDescent="0.55000000000000004">
      <c r="B2246" t="s">
        <v>1742</v>
      </c>
      <c r="C2246">
        <f>C2245*C2237</f>
        <v>200</v>
      </c>
      <c r="D2246">
        <f>D2245*D2237</f>
        <v>169.99999999999997</v>
      </c>
    </row>
    <row r="2248" spans="2:5" x14ac:dyDescent="0.55000000000000004">
      <c r="B2248" t="s">
        <v>3298</v>
      </c>
      <c r="C2248" s="12">
        <v>0.125</v>
      </c>
      <c r="D2248" s="12">
        <f>C2248-2%</f>
        <v>0.105</v>
      </c>
      <c r="E2248" s="12">
        <f>D2248-C2248</f>
        <v>-2.0000000000000004E-2</v>
      </c>
    </row>
    <row r="2249" spans="2:5" x14ac:dyDescent="0.55000000000000004">
      <c r="B2249" t="s">
        <v>3297</v>
      </c>
      <c r="C2249" s="4">
        <f>C2248*0.6*0.55*C2237/4</f>
        <v>103.125</v>
      </c>
      <c r="D2249" s="4">
        <f>D2248*0.6*0.55*D2237/4</f>
        <v>86.625</v>
      </c>
    </row>
    <row r="2251" spans="2:5" x14ac:dyDescent="0.55000000000000004">
      <c r="B2251" t="s">
        <v>717</v>
      </c>
      <c r="C2251" s="13">
        <f>C2246-C2249</f>
        <v>96.875</v>
      </c>
      <c r="D2251" s="13">
        <f>D2246-D2249</f>
        <v>83.374999999999972</v>
      </c>
    </row>
    <row r="2252" spans="2:5" x14ac:dyDescent="0.55000000000000004">
      <c r="B2252" t="s">
        <v>477</v>
      </c>
      <c r="C2252" s="2">
        <f>C2251/C2240</f>
        <v>0.38750000000000001</v>
      </c>
      <c r="D2252" s="2">
        <f>D2251/D2240</f>
        <v>0.37897727272727261</v>
      </c>
    </row>
    <row r="2255" spans="2:5" x14ac:dyDescent="0.55000000000000004">
      <c r="B2255" t="s">
        <v>3299</v>
      </c>
    </row>
    <row r="2256" spans="2:5" x14ac:dyDescent="0.55000000000000004">
      <c r="B2256" t="s">
        <v>3300</v>
      </c>
    </row>
    <row r="2257" spans="2:5" x14ac:dyDescent="0.55000000000000004">
      <c r="B2257" t="s">
        <v>3301</v>
      </c>
    </row>
    <row r="2258" spans="2:5" x14ac:dyDescent="0.55000000000000004">
      <c r="C2258" t="s">
        <v>3302</v>
      </c>
    </row>
    <row r="2259" spans="2:5" x14ac:dyDescent="0.55000000000000004">
      <c r="C2259" t="s">
        <v>3303</v>
      </c>
    </row>
    <row r="2260" spans="2:5" x14ac:dyDescent="0.55000000000000004">
      <c r="C2260" t="s">
        <v>3304</v>
      </c>
    </row>
    <row r="2261" spans="2:5" x14ac:dyDescent="0.55000000000000004">
      <c r="D2261" t="s">
        <v>3305</v>
      </c>
      <c r="E2261">
        <v>1</v>
      </c>
    </row>
    <row r="2262" spans="2:5" x14ac:dyDescent="0.55000000000000004">
      <c r="D2262">
        <v>2.39</v>
      </c>
    </row>
    <row r="2263" spans="2:5" x14ac:dyDescent="0.55000000000000004">
      <c r="D2263" t="s">
        <v>3306</v>
      </c>
    </row>
    <row r="2265" spans="2:5" x14ac:dyDescent="0.55000000000000004">
      <c r="D2265">
        <v>1.89</v>
      </c>
    </row>
    <row r="2266" spans="2:5" x14ac:dyDescent="0.55000000000000004">
      <c r="D2266" t="s">
        <v>3307</v>
      </c>
    </row>
    <row r="2267" spans="2:5" x14ac:dyDescent="0.55000000000000004">
      <c r="B2267" t="s">
        <v>3308</v>
      </c>
    </row>
    <row r="2268" spans="2:5" x14ac:dyDescent="0.55000000000000004">
      <c r="C2268" t="s">
        <v>3309</v>
      </c>
    </row>
    <row r="2269" spans="2:5" x14ac:dyDescent="0.55000000000000004">
      <c r="B2269" t="s">
        <v>4</v>
      </c>
    </row>
    <row r="2270" spans="2:5" x14ac:dyDescent="0.55000000000000004">
      <c r="C2270" t="s">
        <v>3310</v>
      </c>
    </row>
    <row r="2271" spans="2:5" x14ac:dyDescent="0.55000000000000004">
      <c r="C2271" t="s">
        <v>3311</v>
      </c>
    </row>
    <row r="2272" spans="2:5" x14ac:dyDescent="0.55000000000000004">
      <c r="C2272" t="s">
        <v>3312</v>
      </c>
    </row>
    <row r="2273" spans="2:5" x14ac:dyDescent="0.55000000000000004">
      <c r="B2273" t="s">
        <v>2728</v>
      </c>
    </row>
    <row r="2274" spans="2:5" x14ac:dyDescent="0.55000000000000004">
      <c r="C2274" t="s">
        <v>3313</v>
      </c>
    </row>
    <row r="2276" spans="2:5" x14ac:dyDescent="0.55000000000000004">
      <c r="C2276" t="s">
        <v>3314</v>
      </c>
    </row>
    <row r="2277" spans="2:5" x14ac:dyDescent="0.55000000000000004">
      <c r="D2277" t="s">
        <v>3315</v>
      </c>
    </row>
    <row r="2278" spans="2:5" x14ac:dyDescent="0.55000000000000004">
      <c r="D2278" t="s">
        <v>3316</v>
      </c>
    </row>
    <row r="2279" spans="2:5" x14ac:dyDescent="0.55000000000000004">
      <c r="D2279" t="s">
        <v>3317</v>
      </c>
    </row>
    <row r="2280" spans="2:5" x14ac:dyDescent="0.55000000000000004">
      <c r="E2280" t="s">
        <v>3318</v>
      </c>
    </row>
    <row r="2281" spans="2:5" x14ac:dyDescent="0.55000000000000004">
      <c r="E2281" t="s">
        <v>3319</v>
      </c>
    </row>
    <row r="2282" spans="2:5" x14ac:dyDescent="0.55000000000000004">
      <c r="E2282" t="s">
        <v>3320</v>
      </c>
    </row>
    <row r="2283" spans="2:5" x14ac:dyDescent="0.55000000000000004">
      <c r="C2283" t="s">
        <v>3321</v>
      </c>
    </row>
    <row r="2284" spans="2:5" x14ac:dyDescent="0.55000000000000004">
      <c r="D2284" t="s">
        <v>3322</v>
      </c>
    </row>
    <row r="2285" spans="2:5" x14ac:dyDescent="0.55000000000000004">
      <c r="D2285" t="s">
        <v>3323</v>
      </c>
    </row>
    <row r="2286" spans="2:5" x14ac:dyDescent="0.55000000000000004">
      <c r="E2286" t="s">
        <v>3324</v>
      </c>
    </row>
    <row r="2287" spans="2:5" x14ac:dyDescent="0.55000000000000004">
      <c r="E2287" t="s">
        <v>3325</v>
      </c>
    </row>
    <row r="2288" spans="2:5" x14ac:dyDescent="0.55000000000000004">
      <c r="C2288" t="s">
        <v>863</v>
      </c>
    </row>
    <row r="2289" spans="2:4" x14ac:dyDescent="0.55000000000000004">
      <c r="D2289" t="s">
        <v>3327</v>
      </c>
    </row>
    <row r="2290" spans="2:4" x14ac:dyDescent="0.55000000000000004">
      <c r="D2290" t="s">
        <v>3328</v>
      </c>
    </row>
    <row r="2291" spans="2:4" x14ac:dyDescent="0.55000000000000004">
      <c r="B2291" t="s">
        <v>3326</v>
      </c>
    </row>
    <row r="2293" spans="2:4" x14ac:dyDescent="0.55000000000000004">
      <c r="B2293" t="s">
        <v>3329</v>
      </c>
    </row>
    <row r="2294" spans="2:4" x14ac:dyDescent="0.55000000000000004">
      <c r="C2294" s="2">
        <v>0.1</v>
      </c>
    </row>
    <row r="2295" spans="2:4" x14ac:dyDescent="0.55000000000000004">
      <c r="B2295" t="s">
        <v>3330</v>
      </c>
    </row>
    <row r="2296" spans="2:4" x14ac:dyDescent="0.55000000000000004">
      <c r="C2296" t="s">
        <v>3331</v>
      </c>
    </row>
    <row r="2297" spans="2:4" x14ac:dyDescent="0.55000000000000004">
      <c r="C2297" t="s">
        <v>3332</v>
      </c>
    </row>
    <row r="2298" spans="2:4" x14ac:dyDescent="0.55000000000000004">
      <c r="B2298" t="s">
        <v>3321</v>
      </c>
    </row>
    <row r="2299" spans="2:4" x14ac:dyDescent="0.55000000000000004">
      <c r="C2299" t="s">
        <v>3333</v>
      </c>
    </row>
    <row r="2300" spans="2:4" x14ac:dyDescent="0.55000000000000004">
      <c r="B2300" t="s">
        <v>182</v>
      </c>
    </row>
    <row r="2301" spans="2:4" x14ac:dyDescent="0.55000000000000004">
      <c r="C2301" t="s">
        <v>3334</v>
      </c>
    </row>
    <row r="2302" spans="2:4" x14ac:dyDescent="0.55000000000000004">
      <c r="C2302" t="s">
        <v>3335</v>
      </c>
    </row>
    <row r="2303" spans="2:4" x14ac:dyDescent="0.55000000000000004">
      <c r="C2303" t="s">
        <v>3336</v>
      </c>
    </row>
    <row r="2304" spans="2:4" x14ac:dyDescent="0.55000000000000004">
      <c r="C2304" t="s">
        <v>3337</v>
      </c>
    </row>
    <row r="2305" spans="2:4" x14ac:dyDescent="0.55000000000000004">
      <c r="B2305" t="s">
        <v>3338</v>
      </c>
    </row>
    <row r="2306" spans="2:4" x14ac:dyDescent="0.55000000000000004">
      <c r="C2306" t="s">
        <v>3339</v>
      </c>
    </row>
    <row r="2307" spans="2:4" x14ac:dyDescent="0.55000000000000004">
      <c r="C2307" t="s">
        <v>3340</v>
      </c>
    </row>
    <row r="2308" spans="2:4" x14ac:dyDescent="0.55000000000000004">
      <c r="B2308" t="s">
        <v>3341</v>
      </c>
    </row>
    <row r="2309" spans="2:4" x14ac:dyDescent="0.55000000000000004">
      <c r="C2309" t="s">
        <v>3342</v>
      </c>
    </row>
    <row r="2310" spans="2:4" x14ac:dyDescent="0.55000000000000004">
      <c r="C2310" t="s">
        <v>3343</v>
      </c>
    </row>
    <row r="2311" spans="2:4" x14ac:dyDescent="0.55000000000000004">
      <c r="C2311" t="s">
        <v>3344</v>
      </c>
    </row>
    <row r="2312" spans="2:4" x14ac:dyDescent="0.55000000000000004">
      <c r="C2312" t="s">
        <v>3345</v>
      </c>
    </row>
    <row r="2313" spans="2:4" x14ac:dyDescent="0.55000000000000004">
      <c r="C2313" t="s">
        <v>3346</v>
      </c>
    </row>
    <row r="2314" spans="2:4" x14ac:dyDescent="0.55000000000000004">
      <c r="C2314" t="s">
        <v>3347</v>
      </c>
    </row>
    <row r="2315" spans="2:4" x14ac:dyDescent="0.55000000000000004">
      <c r="C2315" t="s">
        <v>3348</v>
      </c>
    </row>
    <row r="2316" spans="2:4" x14ac:dyDescent="0.55000000000000004">
      <c r="D2316" t="s">
        <v>3349</v>
      </c>
    </row>
    <row r="2317" spans="2:4" x14ac:dyDescent="0.55000000000000004">
      <c r="B2317" t="s">
        <v>3350</v>
      </c>
    </row>
    <row r="2318" spans="2:4" x14ac:dyDescent="0.55000000000000004">
      <c r="C2318" t="s">
        <v>3352</v>
      </c>
    </row>
    <row r="2319" spans="2:4" x14ac:dyDescent="0.55000000000000004">
      <c r="D2319" t="s">
        <v>2884</v>
      </c>
    </row>
    <row r="2320" spans="2:4" x14ac:dyDescent="0.55000000000000004">
      <c r="C2320" t="s">
        <v>3351</v>
      </c>
    </row>
  </sheetData>
  <mergeCells count="1">
    <mergeCell ref="F969:F970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C75B1-8DD0-4993-B4C3-D2588684C901}">
  <dimension ref="B3:S148"/>
  <sheetViews>
    <sheetView zoomScale="69" zoomScaleNormal="71" workbookViewId="0">
      <selection activeCell="K43" sqref="K43"/>
    </sheetView>
  </sheetViews>
  <sheetFormatPr defaultRowHeight="14.4" outlineLevelRow="1" x14ac:dyDescent="0.55000000000000004"/>
  <cols>
    <col min="2" max="2" width="16" customWidth="1"/>
    <col min="3" max="3" width="21" customWidth="1"/>
    <col min="4" max="4" width="15" bestFit="1" customWidth="1"/>
    <col min="5" max="6" width="9" customWidth="1"/>
    <col min="9" max="10" width="8.734375" customWidth="1"/>
  </cols>
  <sheetData>
    <row r="3" spans="2:10" x14ac:dyDescent="0.55000000000000004">
      <c r="B3" s="197" t="s">
        <v>798</v>
      </c>
      <c r="C3" s="198" t="s">
        <v>748</v>
      </c>
      <c r="D3" s="199" t="s">
        <v>749</v>
      </c>
      <c r="E3" s="199" t="s">
        <v>750</v>
      </c>
      <c r="F3" s="200"/>
      <c r="G3" s="199" t="s">
        <v>756</v>
      </c>
      <c r="H3" s="201" t="s">
        <v>751</v>
      </c>
    </row>
    <row r="4" spans="2:10" x14ac:dyDescent="0.55000000000000004">
      <c r="B4" s="466" t="s">
        <v>270</v>
      </c>
      <c r="C4" s="427" t="s">
        <v>2569</v>
      </c>
      <c r="D4" s="428">
        <f>Acquirer!L83*1000/C27</f>
        <v>78920</v>
      </c>
      <c r="E4" s="467">
        <f>G4/D4</f>
        <v>7.1703702806228856E-2</v>
      </c>
      <c r="F4" s="427"/>
      <c r="G4" s="468">
        <f>D119</f>
        <v>5658.8562254675808</v>
      </c>
      <c r="H4" s="469">
        <f>G4/G$6</f>
        <v>1</v>
      </c>
    </row>
    <row r="5" spans="2:10" x14ac:dyDescent="0.55000000000000004">
      <c r="B5" s="203"/>
      <c r="C5" s="204"/>
      <c r="D5" s="213"/>
      <c r="E5" s="368"/>
      <c r="F5" s="204"/>
      <c r="G5" s="205"/>
      <c r="H5" s="206"/>
    </row>
    <row r="6" spans="2:10" x14ac:dyDescent="0.55000000000000004">
      <c r="B6" s="466" t="s">
        <v>752</v>
      </c>
      <c r="C6" s="427"/>
      <c r="D6" s="427"/>
      <c r="E6" s="427"/>
      <c r="F6" s="427"/>
      <c r="G6" s="428">
        <f>G4+G5</f>
        <v>5658.8562254675808</v>
      </c>
      <c r="H6" s="469">
        <f>SUM(H4:H5)</f>
        <v>1</v>
      </c>
    </row>
    <row r="7" spans="2:10" x14ac:dyDescent="0.55000000000000004">
      <c r="B7" s="202"/>
      <c r="C7" s="136"/>
      <c r="D7" s="136"/>
      <c r="E7" s="136"/>
      <c r="F7" s="136"/>
      <c r="G7" s="136"/>
      <c r="H7" s="207"/>
    </row>
    <row r="8" spans="2:10" x14ac:dyDescent="0.55000000000000004">
      <c r="B8" s="466"/>
      <c r="C8" s="427"/>
      <c r="D8" s="427"/>
      <c r="E8" s="427"/>
      <c r="F8" s="427"/>
      <c r="G8" s="428"/>
      <c r="H8" s="470"/>
      <c r="J8" s="2"/>
    </row>
    <row r="9" spans="2:10" x14ac:dyDescent="0.55000000000000004">
      <c r="B9" s="202" t="str">
        <f>B30</f>
        <v>SHOUT, millions</v>
      </c>
      <c r="C9" s="136"/>
      <c r="D9" s="136"/>
      <c r="E9" s="136"/>
      <c r="F9" s="136"/>
      <c r="G9" s="138">
        <f>H30</f>
        <v>319.73099999999999</v>
      </c>
      <c r="H9" s="207"/>
    </row>
    <row r="10" spans="2:10" x14ac:dyDescent="0.55000000000000004">
      <c r="B10" s="466" t="str">
        <f>B31</f>
        <v>Equity (market capitalisation)</v>
      </c>
      <c r="C10" s="427"/>
      <c r="D10" s="427"/>
      <c r="E10" s="427"/>
      <c r="F10" s="427"/>
      <c r="G10" s="428">
        <f>G6+G8</f>
        <v>5658.8562254675808</v>
      </c>
      <c r="H10" s="470"/>
    </row>
    <row r="11" spans="2:10" x14ac:dyDescent="0.55000000000000004">
      <c r="B11" s="208" t="s">
        <v>753</v>
      </c>
      <c r="C11" s="136"/>
      <c r="D11" s="136"/>
      <c r="E11" s="136"/>
      <c r="F11" s="136"/>
      <c r="G11" s="209">
        <f>G10/G9</f>
        <v>17.698803761498201</v>
      </c>
      <c r="H11" s="207"/>
      <c r="J11" s="7"/>
    </row>
    <row r="12" spans="2:10" x14ac:dyDescent="0.55000000000000004">
      <c r="B12" s="466" t="s">
        <v>754</v>
      </c>
      <c r="C12" s="427"/>
      <c r="D12" s="427"/>
      <c r="E12" s="427"/>
      <c r="F12" s="427"/>
      <c r="G12" s="468">
        <f>C25</f>
        <v>13.9</v>
      </c>
      <c r="H12" s="470"/>
    </row>
    <row r="13" spans="2:10" x14ac:dyDescent="0.55000000000000004">
      <c r="B13" s="210" t="s">
        <v>755</v>
      </c>
      <c r="C13" s="204"/>
      <c r="D13" s="204"/>
      <c r="E13" s="204"/>
      <c r="F13" s="204"/>
      <c r="G13" s="211">
        <f>G11/G12-1</f>
        <v>0.27329523464015826</v>
      </c>
      <c r="H13" s="212"/>
    </row>
    <row r="15" spans="2:10" hidden="1" outlineLevel="1" x14ac:dyDescent="0.55000000000000004"/>
    <row r="16" spans="2:10" hidden="1" outlineLevel="1" x14ac:dyDescent="0.55000000000000004">
      <c r="B16" s="233" t="s">
        <v>800</v>
      </c>
    </row>
    <row r="17" spans="2:17" hidden="1" outlineLevel="1" x14ac:dyDescent="0.55000000000000004">
      <c r="B17" s="217" t="s">
        <v>797</v>
      </c>
      <c r="C17" s="218" t="s">
        <v>796</v>
      </c>
      <c r="D17" s="218" t="str">
        <f>C3</f>
        <v>Metric</v>
      </c>
      <c r="E17" s="219" t="str">
        <f>D3</f>
        <v>Forecast</v>
      </c>
      <c r="F17" s="219" t="str">
        <f>E3</f>
        <v>Multiple</v>
      </c>
      <c r="G17" s="220" t="str">
        <f>G3</f>
        <v>100% EV</v>
      </c>
    </row>
    <row r="18" spans="2:17" hidden="1" outlineLevel="1" x14ac:dyDescent="0.55000000000000004">
      <c r="B18" s="221" t="s">
        <v>783</v>
      </c>
      <c r="C18" s="222">
        <v>44166</v>
      </c>
      <c r="D18" s="223" t="s">
        <v>795</v>
      </c>
      <c r="E18" s="224">
        <f>Quarts!T203/1000</f>
        <v>11.244</v>
      </c>
      <c r="F18" s="225">
        <f>D87</f>
        <v>565</v>
      </c>
      <c r="G18" s="226">
        <f>E18*F18</f>
        <v>6352.86</v>
      </c>
    </row>
    <row r="19" spans="2:17" hidden="1" outlineLevel="1" x14ac:dyDescent="0.55000000000000004">
      <c r="B19" s="227" t="s">
        <v>794</v>
      </c>
      <c r="C19" s="228">
        <v>43647</v>
      </c>
      <c r="D19" s="229" t="s">
        <v>795</v>
      </c>
      <c r="E19" s="230">
        <f>E18</f>
        <v>11.244</v>
      </c>
      <c r="F19" s="231">
        <f>D90</f>
        <v>400</v>
      </c>
      <c r="G19" s="232">
        <f>E19*F19</f>
        <v>4497.6000000000004</v>
      </c>
    </row>
    <row r="20" spans="2:17" hidden="1" outlineLevel="1" x14ac:dyDescent="0.55000000000000004">
      <c r="B20" s="221" t="s">
        <v>794</v>
      </c>
      <c r="C20" s="222">
        <v>44197</v>
      </c>
      <c r="D20" s="223" t="s">
        <v>795</v>
      </c>
      <c r="E20" s="224">
        <f>E19</f>
        <v>11.244</v>
      </c>
      <c r="F20" s="225">
        <f>25000/34</f>
        <v>735.29411764705878</v>
      </c>
      <c r="G20" s="226">
        <f>E20*F20</f>
        <v>8267.6470588235279</v>
      </c>
    </row>
    <row r="21" spans="2:17" hidden="1" outlineLevel="1" x14ac:dyDescent="0.55000000000000004">
      <c r="B21" s="227" t="s">
        <v>794</v>
      </c>
      <c r="C21" s="228">
        <v>44348</v>
      </c>
      <c r="D21" s="229" t="s">
        <v>795</v>
      </c>
      <c r="E21" s="230">
        <f>E20</f>
        <v>11.244</v>
      </c>
      <c r="F21" s="231">
        <f>30000/40</f>
        <v>750</v>
      </c>
      <c r="G21" s="232">
        <f>E21*F21</f>
        <v>8433</v>
      </c>
    </row>
    <row r="22" spans="2:17" hidden="1" outlineLevel="1" x14ac:dyDescent="0.55000000000000004">
      <c r="B22" s="279" t="s">
        <v>784</v>
      </c>
      <c r="C22" s="280">
        <v>44166</v>
      </c>
      <c r="D22" s="281" t="s">
        <v>785</v>
      </c>
      <c r="E22" s="282" t="e">
        <f>Pagbank!#REF!/Valuation!C27</f>
        <v>#REF!</v>
      </c>
      <c r="F22" s="282">
        <f>D105</f>
        <v>29.166666666666668</v>
      </c>
      <c r="G22" s="283" t="e">
        <f>E22*F22</f>
        <v>#REF!</v>
      </c>
    </row>
    <row r="23" spans="2:17" hidden="1" outlineLevel="1" x14ac:dyDescent="0.55000000000000004">
      <c r="B23" s="284" t="s">
        <v>799</v>
      </c>
      <c r="C23" s="285"/>
      <c r="D23" s="285"/>
      <c r="E23" s="285"/>
      <c r="F23" s="285"/>
      <c r="G23" s="286" t="e">
        <f>AVERAGE(G17:G22)</f>
        <v>#REF!</v>
      </c>
    </row>
    <row r="24" spans="2:17" hidden="1" outlineLevel="1" x14ac:dyDescent="0.55000000000000004"/>
    <row r="25" spans="2:17" collapsed="1" x14ac:dyDescent="0.55000000000000004">
      <c r="B25" t="s">
        <v>543</v>
      </c>
      <c r="C25" s="32">
        <v>13.9</v>
      </c>
      <c r="H25" s="2"/>
    </row>
    <row r="26" spans="2:17" x14ac:dyDescent="0.55000000000000004">
      <c r="C26">
        <v>75</v>
      </c>
    </row>
    <row r="27" spans="2:17" x14ac:dyDescent="0.55000000000000004">
      <c r="B27" t="s">
        <v>544</v>
      </c>
      <c r="C27" s="32">
        <v>5</v>
      </c>
      <c r="I27" s="13"/>
    </row>
    <row r="29" spans="2:17" x14ac:dyDescent="0.55000000000000004">
      <c r="B29" s="20" t="s">
        <v>496</v>
      </c>
      <c r="C29" s="20"/>
      <c r="D29" s="20">
        <v>2019</v>
      </c>
      <c r="E29" s="20">
        <f>D29+1</f>
        <v>2020</v>
      </c>
      <c r="F29" s="20">
        <f t="shared" ref="F29:O29" si="0">E29+1</f>
        <v>2021</v>
      </c>
      <c r="G29" s="20">
        <f t="shared" si="0"/>
        <v>2022</v>
      </c>
      <c r="H29" s="20">
        <f t="shared" si="0"/>
        <v>2023</v>
      </c>
      <c r="I29" s="20">
        <f t="shared" si="0"/>
        <v>2024</v>
      </c>
      <c r="J29" s="20">
        <f t="shared" si="0"/>
        <v>2025</v>
      </c>
      <c r="K29" s="20">
        <f t="shared" si="0"/>
        <v>2026</v>
      </c>
      <c r="L29" s="20">
        <f t="shared" si="0"/>
        <v>2027</v>
      </c>
      <c r="M29" s="20">
        <f t="shared" si="0"/>
        <v>2028</v>
      </c>
      <c r="N29" s="20">
        <f t="shared" si="0"/>
        <v>2029</v>
      </c>
      <c r="O29" s="20">
        <f t="shared" si="0"/>
        <v>2030</v>
      </c>
    </row>
    <row r="30" spans="2:17" x14ac:dyDescent="0.55000000000000004">
      <c r="B30" t="s">
        <v>560</v>
      </c>
      <c r="D30" s="7">
        <f>Master!G224</f>
        <v>328.855412</v>
      </c>
      <c r="E30" s="7">
        <f>Master!H224</f>
        <v>329.5</v>
      </c>
      <c r="F30" s="7">
        <f>Master!I224</f>
        <v>329.5</v>
      </c>
      <c r="G30" s="7">
        <f>Master!J247</f>
        <v>323.66999999999996</v>
      </c>
      <c r="H30" s="7">
        <f>Master!K247</f>
        <v>319.73099999999999</v>
      </c>
      <c r="I30" s="7">
        <f>Master!L247</f>
        <v>314.73099999999999</v>
      </c>
      <c r="J30" s="7">
        <f>Master!M247</f>
        <v>311.73099999999999</v>
      </c>
      <c r="K30" s="7">
        <f>Master!N247</f>
        <v>311.73099999999999</v>
      </c>
      <c r="L30" s="7">
        <f>Master!O247</f>
        <v>311.73099999999999</v>
      </c>
      <c r="M30" s="7">
        <f>Master!P247</f>
        <v>311.73099999999999</v>
      </c>
      <c r="N30" s="7">
        <f>Master!Q247</f>
        <v>311.73099999999999</v>
      </c>
      <c r="O30" s="7">
        <f>Master!R247</f>
        <v>311.73099999999999</v>
      </c>
    </row>
    <row r="31" spans="2:17" x14ac:dyDescent="0.55000000000000004">
      <c r="B31" t="s">
        <v>1164</v>
      </c>
      <c r="D31" s="7">
        <f>$C$25*D30*$C$27</f>
        <v>22855.451133999999</v>
      </c>
      <c r="E31" s="7">
        <f t="shared" ref="E31:O31" si="1">$C$25*E30*$C$27</f>
        <v>22900.25</v>
      </c>
      <c r="F31" s="7">
        <f t="shared" si="1"/>
        <v>22900.25</v>
      </c>
      <c r="G31" s="7">
        <f t="shared" si="1"/>
        <v>22495.064999999999</v>
      </c>
      <c r="H31" s="7">
        <f t="shared" si="1"/>
        <v>22221.304500000002</v>
      </c>
      <c r="I31" s="7">
        <f t="shared" si="1"/>
        <v>21873.804500000002</v>
      </c>
      <c r="J31" s="7">
        <f t="shared" si="1"/>
        <v>21665.304500000002</v>
      </c>
      <c r="K31" s="7">
        <f t="shared" si="1"/>
        <v>21665.304500000002</v>
      </c>
      <c r="L31" s="7">
        <f t="shared" si="1"/>
        <v>21665.304500000002</v>
      </c>
      <c r="M31" s="7">
        <f t="shared" si="1"/>
        <v>21665.304500000002</v>
      </c>
      <c r="N31" s="7">
        <f t="shared" si="1"/>
        <v>21665.304500000002</v>
      </c>
      <c r="O31" s="7">
        <f t="shared" si="1"/>
        <v>21665.304500000002</v>
      </c>
      <c r="Q31" s="7">
        <f>H31+27000</f>
        <v>49221.304499999998</v>
      </c>
    </row>
    <row r="32" spans="2:17" x14ac:dyDescent="0.55000000000000004">
      <c r="B32" t="s">
        <v>865</v>
      </c>
      <c r="D32" s="7">
        <f>-Master!G213</f>
        <v>-7904.5098601512218</v>
      </c>
      <c r="E32" s="7">
        <f>-Master!H213</f>
        <v>-7989.5898397200017</v>
      </c>
      <c r="F32" s="7">
        <f>-Master!I214</f>
        <v>-8900</v>
      </c>
      <c r="G32" s="7">
        <f>-Master!J214</f>
        <v>-9800</v>
      </c>
      <c r="H32" s="7">
        <f>-Master!K214</f>
        <v>-11200</v>
      </c>
      <c r="I32" s="7">
        <f>-Master!L214</f>
        <v>-12634.971695067386</v>
      </c>
      <c r="J32" s="7">
        <f>-Master!M214</f>
        <v>-14546.765801912547</v>
      </c>
      <c r="K32" s="7">
        <f>-Master!N214</f>
        <v>-16959.064139517966</v>
      </c>
      <c r="L32" s="7">
        <f>-Master!O214</f>
        <v>-19529.165498747851</v>
      </c>
      <c r="M32" s="7">
        <f>-Master!P214</f>
        <v>-22336.153494854756</v>
      </c>
      <c r="N32" s="7">
        <f>-Master!Q214</f>
        <v>-25243.692882729676</v>
      </c>
      <c r="O32" s="7">
        <f>-Master!R214</f>
        <v>-28246.220419104167</v>
      </c>
      <c r="Q32" s="2">
        <f>11000/Q31</f>
        <v>0.22348046464310997</v>
      </c>
    </row>
    <row r="33" spans="2:19" x14ac:dyDescent="0.55000000000000004">
      <c r="B33" s="1" t="s">
        <v>711</v>
      </c>
      <c r="C33" s="1"/>
      <c r="D33" s="172">
        <v>0</v>
      </c>
      <c r="E33" s="172">
        <v>0</v>
      </c>
      <c r="F33" s="172">
        <f>Master!I158+E33</f>
        <v>0</v>
      </c>
      <c r="G33" s="172">
        <f>Master!J158+F33</f>
        <v>0</v>
      </c>
      <c r="H33" s="172">
        <f>Master!K158+G33</f>
        <v>0</v>
      </c>
      <c r="I33" s="172">
        <f>Master!L158+H33</f>
        <v>0</v>
      </c>
      <c r="J33" s="172">
        <f>Master!M158+I33</f>
        <v>0</v>
      </c>
      <c r="K33" s="172">
        <f>Master!N158+J33</f>
        <v>-961.00222595749358</v>
      </c>
      <c r="L33" s="172">
        <f>Master!O158+K33</f>
        <v>-1971.0103584971046</v>
      </c>
      <c r="M33" s="172">
        <f>Master!P158+L33</f>
        <v>-3091.0538040296592</v>
      </c>
      <c r="N33" s="172">
        <f>Master!Q158+M33</f>
        <v>-4254.4753976650773</v>
      </c>
      <c r="O33" s="172">
        <f>Master!R158+N33</f>
        <v>-5452.6561597919645</v>
      </c>
    </row>
    <row r="34" spans="2:19" x14ac:dyDescent="0.55000000000000004">
      <c r="B34" t="s">
        <v>545</v>
      </c>
      <c r="D34" s="7">
        <f t="shared" ref="D34:O34" si="2">D31+D32-D33</f>
        <v>14950.941273848777</v>
      </c>
      <c r="E34" s="7">
        <f t="shared" si="2"/>
        <v>14910.660160279998</v>
      </c>
      <c r="F34" s="7">
        <f t="shared" si="2"/>
        <v>14000.25</v>
      </c>
      <c r="G34" s="7">
        <f t="shared" si="2"/>
        <v>12695.064999999999</v>
      </c>
      <c r="H34" s="7">
        <f t="shared" si="2"/>
        <v>11021.304500000002</v>
      </c>
      <c r="I34" s="7">
        <f t="shared" si="2"/>
        <v>9238.8328049326155</v>
      </c>
      <c r="J34" s="7">
        <f t="shared" si="2"/>
        <v>7118.5386980874555</v>
      </c>
      <c r="K34" s="7">
        <f t="shared" si="2"/>
        <v>5667.2425864395291</v>
      </c>
      <c r="L34" s="7">
        <f t="shared" si="2"/>
        <v>4107.1493597492563</v>
      </c>
      <c r="M34" s="7">
        <f t="shared" si="2"/>
        <v>2420.2048091749052</v>
      </c>
      <c r="N34" s="7">
        <f t="shared" si="2"/>
        <v>676.0870149354032</v>
      </c>
      <c r="O34" s="7">
        <f t="shared" si="2"/>
        <v>-1128.2597593122009</v>
      </c>
    </row>
    <row r="35" spans="2:19" x14ac:dyDescent="0.55000000000000004">
      <c r="F35" s="13"/>
      <c r="G35" s="13"/>
      <c r="H35" s="13"/>
      <c r="P35" s="13"/>
    </row>
    <row r="36" spans="2:19" x14ac:dyDescent="0.55000000000000004">
      <c r="B36" t="s">
        <v>1428</v>
      </c>
      <c r="D36" s="7">
        <f>D31/$C$27</f>
        <v>4571.0902268</v>
      </c>
      <c r="E36" s="7">
        <f t="shared" ref="E36:O36" si="3">E31/$C$27</f>
        <v>4580.05</v>
      </c>
      <c r="F36" s="7">
        <f t="shared" si="3"/>
        <v>4580.05</v>
      </c>
      <c r="G36" s="7">
        <f t="shared" si="3"/>
        <v>4499.0129999999999</v>
      </c>
      <c r="H36" s="7">
        <f t="shared" si="3"/>
        <v>4444.2609000000002</v>
      </c>
      <c r="I36" s="7">
        <f t="shared" si="3"/>
        <v>4374.7609000000002</v>
      </c>
      <c r="J36" s="7">
        <f t="shared" si="3"/>
        <v>4333.0609000000004</v>
      </c>
      <c r="K36" s="7">
        <f t="shared" si="3"/>
        <v>4333.0609000000004</v>
      </c>
      <c r="L36" s="7">
        <f t="shared" si="3"/>
        <v>4333.0609000000004</v>
      </c>
      <c r="M36" s="7">
        <f t="shared" si="3"/>
        <v>4333.0609000000004</v>
      </c>
      <c r="N36" s="7">
        <f t="shared" si="3"/>
        <v>4333.0609000000004</v>
      </c>
      <c r="O36" s="7">
        <f t="shared" si="3"/>
        <v>4333.0609000000004</v>
      </c>
      <c r="P36" s="13"/>
    </row>
    <row r="37" spans="2:19" x14ac:dyDescent="0.55000000000000004">
      <c r="F37" s="13"/>
      <c r="G37" s="13"/>
      <c r="H37" s="13"/>
      <c r="P37" s="13"/>
    </row>
    <row r="38" spans="2:19" x14ac:dyDescent="0.55000000000000004">
      <c r="B38" t="s">
        <v>1700</v>
      </c>
      <c r="D38" s="14">
        <f>D34/(Acquirer!H83*1000)</f>
        <v>0.12911002827157839</v>
      </c>
      <c r="E38" s="14">
        <f>E34/(Acquirer!I83*1000)</f>
        <v>9.2301018653140623E-2</v>
      </c>
      <c r="F38" s="14">
        <f>F34/(Acquirer!J83*1000)</f>
        <v>5.5336956521739131E-2</v>
      </c>
      <c r="G38" s="14">
        <f>G34/(Acquirer!K83*1000)</f>
        <v>3.5861765536723163E-2</v>
      </c>
      <c r="H38" s="14">
        <f>H34/(Acquirer!L83*1000)</f>
        <v>2.7930320577800309E-2</v>
      </c>
      <c r="I38" s="14">
        <f>I34/(Acquirer!M83*1000)</f>
        <v>2.0179781843607088E-2</v>
      </c>
      <c r="J38" s="14">
        <f>J34/(Acquirer!N83*1000)</f>
        <v>1.3632467200771055E-2</v>
      </c>
      <c r="K38" s="14">
        <f>K34/(Acquirer!O83*1000)</f>
        <v>9.6681650294253661E-3</v>
      </c>
      <c r="L38" s="14">
        <f>L34/(Acquirer!P83*1000)</f>
        <v>6.3407222188854757E-3</v>
      </c>
      <c r="M38" s="14">
        <f>M34/(Acquirer!Q83*1000)</f>
        <v>3.3825916948796264E-3</v>
      </c>
      <c r="N38" s="14">
        <f>N34/(Acquirer!R83*1000)</f>
        <v>8.6271508926864945E-4</v>
      </c>
      <c r="O38" s="14">
        <f>O34/(Acquirer!S83*1000)</f>
        <v>-1.3368536051086655E-3</v>
      </c>
      <c r="P38" s="13"/>
    </row>
    <row r="39" spans="2:19" x14ac:dyDescent="0.55000000000000004">
      <c r="B39" t="s">
        <v>546</v>
      </c>
      <c r="D39" s="13">
        <f>D34/Master!G12</f>
        <v>2.6196631051739518</v>
      </c>
      <c r="E39" s="13">
        <f>E34/Master!H12</f>
        <v>2.1880141694102448</v>
      </c>
      <c r="F39" s="13">
        <f>F34/Master!I12</f>
        <v>1.3402498564043652</v>
      </c>
      <c r="G39" s="13">
        <f>G34/Master!J12</f>
        <v>0.82785983514620332</v>
      </c>
      <c r="H39" s="13">
        <f>H34/Master!K12</f>
        <v>0.69103420277133376</v>
      </c>
      <c r="I39" s="13">
        <f>I34/Master!L12</f>
        <v>0.52993547253477025</v>
      </c>
      <c r="J39" s="13">
        <f>J34/Master!M12</f>
        <v>0.371545606945822</v>
      </c>
      <c r="K39" s="13">
        <f>K34/Master!N12</f>
        <v>0.27485868375333777</v>
      </c>
      <c r="L39" s="13">
        <f>L34/Master!O12</f>
        <v>0.18666262677248541</v>
      </c>
      <c r="M39" s="13">
        <f>M34/Master!P12</f>
        <v>0.1013935010520261</v>
      </c>
      <c r="N39" s="13">
        <f>N34/Master!Q12</f>
        <v>2.6320520048897064E-2</v>
      </c>
      <c r="O39" s="13">
        <f>O34/Master!R12</f>
        <v>-4.1464488937163306E-2</v>
      </c>
      <c r="P39" s="13"/>
    </row>
    <row r="40" spans="2:19" x14ac:dyDescent="0.55000000000000004">
      <c r="B40" t="s">
        <v>1077</v>
      </c>
      <c r="D40" s="13">
        <f>D34/Master!G26</f>
        <v>3.7152580075167183</v>
      </c>
      <c r="E40" s="13">
        <f>E34/Master!H26</f>
        <v>3.1745747536204725</v>
      </c>
      <c r="F40" s="13">
        <f>F34/Master!I26</f>
        <v>2.0744184323603498</v>
      </c>
      <c r="G40" s="13">
        <f>G34/Master!J26</f>
        <v>1.2759115761120827</v>
      </c>
      <c r="H40" s="13">
        <f>H34/Master!K26</f>
        <v>1.0831748894348896</v>
      </c>
      <c r="I40" s="13">
        <f>I34/Master!L26</f>
        <v>0.85263500596105046</v>
      </c>
      <c r="J40" s="13">
        <f>J34/Master!M26</f>
        <v>0.60577589120323072</v>
      </c>
      <c r="K40" s="13">
        <f>K34/Master!N26</f>
        <v>0.45446593962195558</v>
      </c>
      <c r="L40" s="13">
        <f>L34/Master!O26</f>
        <v>0.3124162633712354</v>
      </c>
      <c r="M40" s="13">
        <f>M34/Master!P26</f>
        <v>0.16936422335805007</v>
      </c>
      <c r="N40" s="13">
        <f>N34/Master!Q26</f>
        <v>4.4369335628776034E-2</v>
      </c>
      <c r="O40" s="13">
        <f>O34/Master!R26</f>
        <v>-7.0489373950189588E-2</v>
      </c>
      <c r="P40" s="14"/>
    </row>
    <row r="41" spans="2:19" x14ac:dyDescent="0.55000000000000004">
      <c r="B41" t="s">
        <v>1535</v>
      </c>
      <c r="D41" s="13">
        <f>D34/Master!G42</f>
        <v>3.9967763881170293</v>
      </c>
      <c r="E41" s="13">
        <f>E34/Master!H42</f>
        <v>3.9075900226635416</v>
      </c>
      <c r="F41" s="13">
        <f>F34/Master!I42</f>
        <v>2.7710646636185503</v>
      </c>
      <c r="G41" s="13">
        <f>G34/Master!J42</f>
        <v>2.0912028266921445</v>
      </c>
      <c r="H41" s="13">
        <f>H34/Master!K42</f>
        <v>1.6579623166603989</v>
      </c>
      <c r="I41" s="13">
        <f>I34/Master!L42</f>
        <v>1.1848492479094164</v>
      </c>
      <c r="J41" s="13">
        <f>J34/Master!M42</f>
        <v>0.80982741673452674</v>
      </c>
      <c r="K41" s="13">
        <f>K34/Master!N42</f>
        <v>0.6111746389395657</v>
      </c>
      <c r="L41" s="13">
        <f>L34/Master!O42</f>
        <v>0.42823107373114994</v>
      </c>
      <c r="M41" s="13">
        <f>M34/Master!P42</f>
        <v>0.23131419092960145</v>
      </c>
      <c r="N41" s="13">
        <f>N34/Master!Q42</f>
        <v>6.0638588240532448E-2</v>
      </c>
      <c r="O41" s="13">
        <f>O34/Master!R42</f>
        <v>-9.6438333451413727E-2</v>
      </c>
      <c r="P41" s="13"/>
    </row>
    <row r="42" spans="2:19" x14ac:dyDescent="0.55000000000000004">
      <c r="B42" t="s">
        <v>547</v>
      </c>
      <c r="D42" s="13">
        <f>D34/Master!G122</f>
        <v>7.3031170739784947</v>
      </c>
      <c r="E42" s="13">
        <f>E34/Master!H122</f>
        <v>5.7483558195304356</v>
      </c>
      <c r="F42" s="13">
        <f>F34/Master!I122</f>
        <v>4.8091730611761347</v>
      </c>
      <c r="G42" s="13">
        <f>G34/Master!J122</f>
        <v>4.0999434827541652</v>
      </c>
      <c r="H42" s="13">
        <f>H34/Master!K122</f>
        <v>3.1098488995485338</v>
      </c>
      <c r="I42" s="13">
        <f>I34/Master!L122</f>
        <v>2.0615328063665612</v>
      </c>
      <c r="J42" s="13">
        <f>J34/Master!M122</f>
        <v>1.3720965237147975</v>
      </c>
      <c r="K42" s="13">
        <f>K34/Master!N122</f>
        <v>1.0422059005330333</v>
      </c>
      <c r="L42" s="13">
        <f>L34/Master!O122</f>
        <v>0.71352335502934183</v>
      </c>
      <c r="M42" s="13">
        <f>M34/Master!P122</f>
        <v>0.38306395506988206</v>
      </c>
      <c r="N42" s="13">
        <f>N34/Master!Q122</f>
        <v>0.10087486906523867</v>
      </c>
      <c r="O42" s="13">
        <f>O34/Master!R122</f>
        <v>-0.16114578312559383</v>
      </c>
    </row>
    <row r="43" spans="2:19" x14ac:dyDescent="0.55000000000000004">
      <c r="B43" t="s">
        <v>1680</v>
      </c>
      <c r="D43" s="509">
        <f>D31/Master!G103</f>
        <v>16.001856146467833</v>
      </c>
      <c r="E43" s="509">
        <f>E31/Master!H103</f>
        <v>15.976175526719691</v>
      </c>
      <c r="F43" s="509">
        <f>F31/Master!I103</f>
        <v>16.091806619352123</v>
      </c>
      <c r="G43" s="509">
        <f>G31/Master!J103</f>
        <v>14.077892859377938</v>
      </c>
      <c r="H43" s="509">
        <f>H31/Master!K103</f>
        <v>12.766315738070348</v>
      </c>
      <c r="I43" s="509">
        <f>I31/Master!L103</f>
        <v>10.092154207257828</v>
      </c>
      <c r="J43" s="509">
        <f>J31/Master!M103</f>
        <v>7.9716711296866771</v>
      </c>
      <c r="K43" s="509">
        <f>K31/Master!N103</f>
        <v>7.5630326566431911</v>
      </c>
      <c r="L43" s="509">
        <f>L34/Master!O122</f>
        <v>0.71352335502934183</v>
      </c>
      <c r="M43" s="509">
        <f>M31/Master!P103</f>
        <v>6.5037073404820482</v>
      </c>
      <c r="N43" s="509">
        <f>N31/Master!Q103</f>
        <v>6.2585441715465757</v>
      </c>
      <c r="O43" s="509">
        <f>O31/Master!R103</f>
        <v>6.0722660217226245</v>
      </c>
    </row>
    <row r="44" spans="2:19" x14ac:dyDescent="0.55000000000000004">
      <c r="B44" t="s">
        <v>2656</v>
      </c>
      <c r="D44" s="509"/>
      <c r="E44" s="509"/>
      <c r="F44" s="509"/>
      <c r="G44" s="509">
        <f>G31/Master!J94</f>
        <v>14.92903172285639</v>
      </c>
      <c r="H44" s="509">
        <f>H31/Master!K94</f>
        <v>13.566948226387451</v>
      </c>
      <c r="I44" s="509">
        <f>I31/Master!L94</f>
        <v>10.620667191715652</v>
      </c>
      <c r="J44" s="509">
        <f>J31/Master!M94</f>
        <v>8.3182900331242671</v>
      </c>
      <c r="K44" s="509">
        <f>K31/Master!N94</f>
        <v>7.8905712912837727</v>
      </c>
      <c r="L44" s="509">
        <f>L31/Master!O94</f>
        <v>7.5077183348349044</v>
      </c>
      <c r="M44" s="509">
        <f>M31/Master!P94</f>
        <v>6.7701450378958548</v>
      </c>
      <c r="N44" s="509">
        <f>N31/Master!Q94</f>
        <v>6.5177203315483929</v>
      </c>
      <c r="O44" s="509">
        <f>O31/Master!R94</f>
        <v>6.3286415661854676</v>
      </c>
      <c r="Q44" s="13">
        <f>((H44*3)+(I44*8))/12</f>
        <v>10.472181851073964</v>
      </c>
      <c r="S44">
        <f>H31/2700</f>
        <v>8.2301127777777783</v>
      </c>
    </row>
    <row r="45" spans="2:19" x14ac:dyDescent="0.55000000000000004">
      <c r="D45" s="509"/>
      <c r="E45" s="509"/>
      <c r="F45" s="509"/>
      <c r="G45" s="509"/>
      <c r="H45" s="509"/>
      <c r="I45" s="509"/>
      <c r="J45" s="509"/>
      <c r="K45" s="509"/>
      <c r="L45" s="509"/>
      <c r="M45" s="509"/>
      <c r="N45" s="509"/>
      <c r="O45" s="509"/>
      <c r="P45" s="13"/>
    </row>
    <row r="46" spans="2:19" x14ac:dyDescent="0.55000000000000004">
      <c r="B46" t="s">
        <v>1620</v>
      </c>
      <c r="D46" s="509"/>
      <c r="E46" s="509"/>
      <c r="F46" s="509"/>
      <c r="G46" s="509">
        <f>(G36-$G$5)/((Master!J94-Pagbank!G199)/Valuation!$C$27)</f>
        <v>12.126196713888355</v>
      </c>
      <c r="H46" s="509">
        <f>(H36-$G$5)/((Master!K94-Pagbank!H199)/Valuation!$C$27)</f>
        <v>13.673030226912166</v>
      </c>
      <c r="I46" s="509">
        <f>(I36-$G$5)/((Master!L94-Pagbank!I199)/Valuation!$C$27)</f>
        <v>11.362624151982244</v>
      </c>
      <c r="J46" s="509">
        <f>(J36-$G$5)/((Master!M94-Pagbank!J199)/Valuation!$C$27)</f>
        <v>9.7170711700487278</v>
      </c>
      <c r="K46" s="509">
        <f>(K36-$G$5)/((Master!N94-Pagbank!K199)/Valuation!$C$27)</f>
        <v>9.5261968758349163</v>
      </c>
      <c r="L46" s="509">
        <f>(L36-$G$5)/((Master!O94-Pagbank!L199)/Valuation!$C$27)</f>
        <v>9.2469752187325831</v>
      </c>
      <c r="M46" s="509">
        <f>(M36-$G$5)/((Master!P94-Pagbank!M199)/Valuation!$C$27)</f>
        <v>8.5229526668385986</v>
      </c>
      <c r="N46" s="509">
        <f>(N36-$G$5)/((Master!Q94-Pagbank!N199)/Valuation!$C$27)</f>
        <v>8.5045404872846149</v>
      </c>
      <c r="O46" s="509">
        <f>(O36-$G$5)/((Master!R94-Pagbank!O199)/Valuation!$C$27)</f>
        <v>8.5806797427082468</v>
      </c>
    </row>
    <row r="47" spans="2:19" x14ac:dyDescent="0.55000000000000004">
      <c r="B47" t="s">
        <v>1676</v>
      </c>
      <c r="D47" s="7"/>
      <c r="E47" s="7"/>
      <c r="F47" s="7"/>
      <c r="G47" s="369">
        <f>G34/(Acquirer!K7*1000)</f>
        <v>3.5861765536723163E-2</v>
      </c>
      <c r="H47" s="369">
        <f>H34/(Acquirer!L7*1000)</f>
        <v>2.7930320577800309E-2</v>
      </c>
      <c r="I47" s="369">
        <f>I34/(Acquirer!M7*1000)</f>
        <v>2.0179781843607088E-2</v>
      </c>
      <c r="J47" s="369">
        <f>J34/(Acquirer!N7*1000)</f>
        <v>1.3632467200771055E-2</v>
      </c>
      <c r="K47" s="369">
        <f>K34/(Acquirer!O7*1000)</f>
        <v>9.6681650294253661E-3</v>
      </c>
      <c r="L47" s="369">
        <f>L34/(Acquirer!P7*1000)</f>
        <v>6.3407222188854757E-3</v>
      </c>
      <c r="M47" s="369">
        <f>M34/(Acquirer!Q7*1000)</f>
        <v>3.3825916948796264E-3</v>
      </c>
      <c r="N47" s="369">
        <f>N34/(Acquirer!R7*1000)</f>
        <v>8.6271508926864945E-4</v>
      </c>
      <c r="O47" s="369">
        <f>O34/(Acquirer!S7*1000)</f>
        <v>-1.3368536051086655E-3</v>
      </c>
    </row>
    <row r="48" spans="2:19" x14ac:dyDescent="0.55000000000000004">
      <c r="B48" t="s">
        <v>2483</v>
      </c>
      <c r="D48" s="7"/>
      <c r="E48" s="7"/>
      <c r="F48" s="7"/>
      <c r="G48" s="369"/>
      <c r="H48" s="369"/>
      <c r="I48" s="369"/>
      <c r="J48" s="369"/>
      <c r="K48" s="369"/>
      <c r="L48" s="369"/>
      <c r="M48" s="369"/>
      <c r="N48" s="369"/>
      <c r="O48" s="369"/>
    </row>
    <row r="50" spans="2:15" x14ac:dyDescent="0.55000000000000004">
      <c r="B50" t="s">
        <v>534</v>
      </c>
      <c r="D50" s="7">
        <f>Master!G206</f>
        <v>8014.9195741828053</v>
      </c>
      <c r="E50" s="7">
        <f>Master!H206</f>
        <v>9327.4563340283421</v>
      </c>
      <c r="F50" s="7">
        <f>Master!I206</f>
        <v>10502.199065064489</v>
      </c>
      <c r="G50" s="7">
        <f>Master!J206</f>
        <v>11842.150063744242</v>
      </c>
      <c r="H50" s="7">
        <f>Master!K206</f>
        <v>13241</v>
      </c>
      <c r="I50" s="7">
        <f>Master!L206</f>
        <v>15368.022575321162</v>
      </c>
      <c r="J50" s="7">
        <f>Master!M206</f>
        <v>18045.397562370792</v>
      </c>
      <c r="K50" s="7">
        <f>Master!N206</f>
        <v>19908.501196336994</v>
      </c>
      <c r="L50" s="7">
        <f>Master!O206</f>
        <v>21867.878464295914</v>
      </c>
      <c r="M50" s="7">
        <f>Master!P206</f>
        <v>24038.70229027337</v>
      </c>
      <c r="N50" s="7">
        <f>Master!Q206</f>
        <v>26296.994122025335</v>
      </c>
      <c r="O50" s="7">
        <f>Master!R206</f>
        <v>28625.630795867357</v>
      </c>
    </row>
    <row r="51" spans="2:15" x14ac:dyDescent="0.55000000000000004">
      <c r="B51" s="10" t="s">
        <v>533</v>
      </c>
      <c r="D51" s="7">
        <f t="shared" ref="D51:O51" si="4">D32</f>
        <v>-7904.5098601512218</v>
      </c>
      <c r="E51" s="7">
        <f t="shared" si="4"/>
        <v>-7989.5898397200017</v>
      </c>
      <c r="F51" s="7">
        <f t="shared" si="4"/>
        <v>-8900</v>
      </c>
      <c r="G51" s="7">
        <f t="shared" si="4"/>
        <v>-9800</v>
      </c>
      <c r="H51" s="7">
        <f t="shared" si="4"/>
        <v>-11200</v>
      </c>
      <c r="I51" s="7">
        <f t="shared" si="4"/>
        <v>-12634.971695067386</v>
      </c>
      <c r="J51" s="7">
        <f t="shared" si="4"/>
        <v>-14546.765801912547</v>
      </c>
      <c r="K51" s="7">
        <f t="shared" si="4"/>
        <v>-16959.064139517966</v>
      </c>
      <c r="L51" s="7">
        <f t="shared" si="4"/>
        <v>-19529.165498747851</v>
      </c>
      <c r="M51" s="7">
        <f t="shared" si="4"/>
        <v>-22336.153494854756</v>
      </c>
      <c r="N51" s="7">
        <f t="shared" si="4"/>
        <v>-25243.692882729676</v>
      </c>
      <c r="O51" s="7">
        <f t="shared" si="4"/>
        <v>-28246.220419104167</v>
      </c>
    </row>
    <row r="52" spans="2:15" x14ac:dyDescent="0.55000000000000004">
      <c r="B52" s="22" t="s">
        <v>554</v>
      </c>
      <c r="C52" s="1"/>
      <c r="D52" s="172">
        <f>-Master!G193</f>
        <v>-124.00360442000002</v>
      </c>
      <c r="E52" s="172">
        <f>-Master!H193</f>
        <v>-26.042438066641928</v>
      </c>
      <c r="F52" s="172">
        <f>-Master!I193</f>
        <v>-63.933655999999999</v>
      </c>
      <c r="G52" s="172">
        <f>-Master!J193</f>
        <v>-89.778760843572087</v>
      </c>
      <c r="H52" s="172">
        <f>-Master!K193</f>
        <v>-241</v>
      </c>
      <c r="I52" s="172">
        <f>-Master!L193</f>
        <v>-241</v>
      </c>
      <c r="J52" s="172">
        <f>-Master!M193</f>
        <v>-241</v>
      </c>
      <c r="K52" s="172">
        <f>-Master!N193</f>
        <v>-241</v>
      </c>
      <c r="L52" s="172">
        <f>-Master!O193</f>
        <v>-241</v>
      </c>
      <c r="M52" s="172">
        <f>-Master!P193</f>
        <v>-241</v>
      </c>
      <c r="N52" s="172">
        <f>-Master!Q193</f>
        <v>-241</v>
      </c>
      <c r="O52" s="172">
        <f>-Master!R193</f>
        <v>-241</v>
      </c>
    </row>
    <row r="53" spans="2:15" x14ac:dyDescent="0.55000000000000004">
      <c r="B53" t="s">
        <v>535</v>
      </c>
      <c r="D53" s="7">
        <f>SUM(D50:D52)</f>
        <v>-13.593890388416554</v>
      </c>
      <c r="E53" s="7">
        <f t="shared" ref="E53:O53" si="5">SUM(E50:E52)</f>
        <v>1311.8240562416984</v>
      </c>
      <c r="F53" s="7">
        <f t="shared" si="5"/>
        <v>1538.2654090644894</v>
      </c>
      <c r="G53" s="7">
        <f t="shared" si="5"/>
        <v>1952.3713029006701</v>
      </c>
      <c r="H53" s="7">
        <f t="shared" si="5"/>
        <v>1800</v>
      </c>
      <c r="I53" s="7">
        <f t="shared" si="5"/>
        <v>2492.0508802537752</v>
      </c>
      <c r="J53" s="7">
        <f t="shared" si="5"/>
        <v>3257.6317604582455</v>
      </c>
      <c r="K53" s="7">
        <f t="shared" si="5"/>
        <v>2708.4370568190279</v>
      </c>
      <c r="L53" s="7">
        <f t="shared" si="5"/>
        <v>2097.7129655480639</v>
      </c>
      <c r="M53" s="7">
        <f t="shared" si="5"/>
        <v>1461.5487954186137</v>
      </c>
      <c r="N53" s="7">
        <f t="shared" si="5"/>
        <v>812.30123929565889</v>
      </c>
      <c r="O53" s="7">
        <f t="shared" si="5"/>
        <v>138.41037676318956</v>
      </c>
    </row>
    <row r="54" spans="2:15" x14ac:dyDescent="0.55000000000000004"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</row>
    <row r="55" spans="2:15" x14ac:dyDescent="0.55000000000000004">
      <c r="B55" t="s">
        <v>556</v>
      </c>
      <c r="D55" s="7">
        <f>Master!G122-Master!G72</f>
        <v>1919.0000000000002</v>
      </c>
      <c r="E55" s="7">
        <f>Master!H122-Master!H72</f>
        <v>2217.6</v>
      </c>
      <c r="F55" s="7">
        <f>Master!I122-Master!I72</f>
        <v>2142.5553736800002</v>
      </c>
      <c r="G55" s="7">
        <f>Master!J122-Master!J72</f>
        <v>1965.4</v>
      </c>
      <c r="H55" s="7">
        <f>Master!K122-Master!K72</f>
        <v>2188.9999999999995</v>
      </c>
      <c r="I55" s="7">
        <f>Master!L122-Master!L72</f>
        <v>2707.9886046036318</v>
      </c>
      <c r="J55" s="7">
        <f>Master!M122-Master!M72</f>
        <v>3346.3928026022454</v>
      </c>
      <c r="K55" s="7">
        <f>Master!N122-Master!N72</f>
        <v>3528.2991998481925</v>
      </c>
      <c r="L55" s="7">
        <f>Master!O122-Master!O72</f>
        <v>3772.0841111061841</v>
      </c>
      <c r="M55" s="7">
        <f>Master!P122-Master!P72</f>
        <v>4245.7500884411347</v>
      </c>
      <c r="N55" s="7">
        <f>Master!Q122-Master!Q72</f>
        <v>4541.387998995232</v>
      </c>
      <c r="O55" s="7">
        <f>Master!R122-Master!R72</f>
        <v>4757.6971522225904</v>
      </c>
    </row>
    <row r="56" spans="2:15" x14ac:dyDescent="0.55000000000000004">
      <c r="B56" t="s">
        <v>772</v>
      </c>
      <c r="D56" s="7">
        <f>Master!G10+Master!G11</f>
        <v>2157</v>
      </c>
      <c r="E56" s="7">
        <f>Master!H10+Master!H11</f>
        <v>2306</v>
      </c>
      <c r="F56" s="7">
        <f>Master!I10+Master!I11</f>
        <v>3664</v>
      </c>
      <c r="G56" s="7">
        <f>Master!J10+Master!J11</f>
        <v>6428.8</v>
      </c>
      <c r="H56" s="7">
        <f>Master!K10+Master!K11</f>
        <v>6922</v>
      </c>
      <c r="I56" s="7">
        <f>Master!L10+Master!L11</f>
        <v>7634.7844855787207</v>
      </c>
      <c r="J56" s="7">
        <f>Master!M10+Master!M11</f>
        <v>7924.8834941691066</v>
      </c>
      <c r="K56" s="7">
        <f>Master!N10+Master!N11</f>
        <v>8019.0377342945994</v>
      </c>
      <c r="L56" s="7">
        <f>Master!O10+Master!O11</f>
        <v>8366.4122381968937</v>
      </c>
      <c r="M56" s="7">
        <f>Master!P10+Master!P11</f>
        <v>9217.1484421778187</v>
      </c>
      <c r="N56" s="7">
        <f>Master!Q10+Master!Q11</f>
        <v>10075.783343806499</v>
      </c>
      <c r="O56" s="7">
        <f>Master!R10+Master!R11</f>
        <v>10825.272978177114</v>
      </c>
    </row>
    <row r="57" spans="2:15" x14ac:dyDescent="0.55000000000000004">
      <c r="B57" t="s">
        <v>557</v>
      </c>
      <c r="D57" s="7">
        <f>D55+D56</f>
        <v>4076</v>
      </c>
      <c r="E57" s="7">
        <f t="shared" ref="E57:O57" si="6">E55+E56</f>
        <v>4523.6000000000004</v>
      </c>
      <c r="F57" s="7">
        <f t="shared" si="6"/>
        <v>5806.5553736800002</v>
      </c>
      <c r="G57" s="7">
        <f t="shared" si="6"/>
        <v>8394.2000000000007</v>
      </c>
      <c r="H57" s="7">
        <f t="shared" si="6"/>
        <v>9111</v>
      </c>
      <c r="I57" s="7">
        <f t="shared" si="6"/>
        <v>10342.773090182352</v>
      </c>
      <c r="J57" s="7">
        <f t="shared" si="6"/>
        <v>11271.276296771352</v>
      </c>
      <c r="K57" s="7">
        <f t="shared" si="6"/>
        <v>11547.336934142792</v>
      </c>
      <c r="L57" s="7">
        <f t="shared" si="6"/>
        <v>12138.496349303077</v>
      </c>
      <c r="M57" s="7">
        <f t="shared" si="6"/>
        <v>13462.898530618953</v>
      </c>
      <c r="N57" s="7">
        <f t="shared" si="6"/>
        <v>14617.171342801732</v>
      </c>
      <c r="O57" s="7">
        <f t="shared" si="6"/>
        <v>15582.970130399704</v>
      </c>
    </row>
    <row r="58" spans="2:15" x14ac:dyDescent="0.55000000000000004">
      <c r="B58" s="1" t="s">
        <v>558</v>
      </c>
      <c r="C58" s="1"/>
      <c r="D58" s="172">
        <f>D57*0.3</f>
        <v>1222.8</v>
      </c>
      <c r="E58" s="172">
        <f t="shared" ref="E58:O58" si="7">E57*0.3</f>
        <v>1357.0800000000002</v>
      </c>
      <c r="F58" s="172">
        <f t="shared" si="7"/>
        <v>1741.966612104</v>
      </c>
      <c r="G58" s="172">
        <f t="shared" si="7"/>
        <v>2518.2600000000002</v>
      </c>
      <c r="H58" s="172">
        <f t="shared" si="7"/>
        <v>2733.2999999999997</v>
      </c>
      <c r="I58" s="172">
        <f t="shared" si="7"/>
        <v>3102.8319270547058</v>
      </c>
      <c r="J58" s="172">
        <f t="shared" si="7"/>
        <v>3381.3828890314053</v>
      </c>
      <c r="K58" s="172">
        <f t="shared" si="7"/>
        <v>3464.2010802428372</v>
      </c>
      <c r="L58" s="172">
        <f t="shared" si="7"/>
        <v>3641.5489047909232</v>
      </c>
      <c r="M58" s="172">
        <f t="shared" si="7"/>
        <v>4038.8695591856858</v>
      </c>
      <c r="N58" s="172">
        <f t="shared" si="7"/>
        <v>4385.151402840519</v>
      </c>
      <c r="O58" s="172">
        <f t="shared" si="7"/>
        <v>4674.8910391199115</v>
      </c>
    </row>
    <row r="59" spans="2:15" x14ac:dyDescent="0.55000000000000004">
      <c r="B59" t="s">
        <v>555</v>
      </c>
      <c r="D59" s="7">
        <f>D57-D58</f>
        <v>2853.2</v>
      </c>
      <c r="E59" s="7">
        <f t="shared" ref="E59:O59" si="8">E57-E58</f>
        <v>3166.5200000000004</v>
      </c>
      <c r="F59" s="7">
        <f t="shared" si="8"/>
        <v>4064.5887615760003</v>
      </c>
      <c r="G59" s="7">
        <f t="shared" si="8"/>
        <v>5875.9400000000005</v>
      </c>
      <c r="H59" s="7">
        <f t="shared" si="8"/>
        <v>6377.7000000000007</v>
      </c>
      <c r="I59" s="7">
        <f t="shared" si="8"/>
        <v>7239.9411631276471</v>
      </c>
      <c r="J59" s="7">
        <f t="shared" si="8"/>
        <v>7889.8934077399463</v>
      </c>
      <c r="K59" s="7">
        <f t="shared" si="8"/>
        <v>8083.1358538999539</v>
      </c>
      <c r="L59" s="7">
        <f t="shared" si="8"/>
        <v>8496.9474445121541</v>
      </c>
      <c r="M59" s="7">
        <f t="shared" si="8"/>
        <v>9424.0289714332685</v>
      </c>
      <c r="N59" s="7">
        <f t="shared" si="8"/>
        <v>10232.019939961214</v>
      </c>
      <c r="O59" s="7">
        <f t="shared" si="8"/>
        <v>10908.079091279793</v>
      </c>
    </row>
    <row r="61" spans="2:15" x14ac:dyDescent="0.55000000000000004">
      <c r="B61" t="s">
        <v>939</v>
      </c>
      <c r="D61" s="2">
        <f>Master!G94/Master!G206</f>
        <v>0.1653790768243793</v>
      </c>
      <c r="E61" s="2">
        <f>Master!H94/Master!H206</f>
        <v>0.13856939702678775</v>
      </c>
      <c r="F61" s="2">
        <f>Master!I94/Master!I206</f>
        <v>0.11080536493266839</v>
      </c>
      <c r="G61" s="2">
        <f>Master!J94/Master!J206</f>
        <v>0.12724040751798921</v>
      </c>
      <c r="H61" s="2">
        <f>Master!K94/Master!K206</f>
        <v>0.12369911638093797</v>
      </c>
      <c r="I61" s="2">
        <f>Master!L94/Master!L206</f>
        <v>0.13401534736097068</v>
      </c>
      <c r="J61" s="2">
        <f>Master!M94/Master!M206</f>
        <v>0.14433254978615243</v>
      </c>
      <c r="K61" s="2">
        <f>Master!N94/Master!N206</f>
        <v>0.13791699427870691</v>
      </c>
      <c r="L61" s="2">
        <f>Master!O94/Master!O206</f>
        <v>0.13196239069342472</v>
      </c>
      <c r="M61" s="2">
        <f>Master!P94/Master!P206</f>
        <v>0.13312383054004789</v>
      </c>
      <c r="N61" s="2">
        <f>Master!Q94/Master!Q206</f>
        <v>0.12640462558863683</v>
      </c>
      <c r="O61" s="2">
        <f>Master!R94/Master!R206</f>
        <v>0.1195912023909373</v>
      </c>
    </row>
    <row r="62" spans="2:15" x14ac:dyDescent="0.55000000000000004"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</row>
    <row r="64" spans="2:15" x14ac:dyDescent="0.55000000000000004">
      <c r="B64" s="23" t="s">
        <v>757</v>
      </c>
    </row>
    <row r="65" spans="2:15" x14ac:dyDescent="0.55000000000000004">
      <c r="B65" s="18"/>
    </row>
    <row r="66" spans="2:15" x14ac:dyDescent="0.55000000000000004">
      <c r="B66" s="20" t="s">
        <v>496</v>
      </c>
      <c r="C66" s="20"/>
      <c r="D66" s="20">
        <v>2019</v>
      </c>
      <c r="E66" s="20">
        <f t="shared" ref="E66:O66" si="9">D66+1</f>
        <v>2020</v>
      </c>
      <c r="F66" s="20">
        <f t="shared" si="9"/>
        <v>2021</v>
      </c>
      <c r="G66" s="20">
        <f t="shared" si="9"/>
        <v>2022</v>
      </c>
      <c r="H66" s="20">
        <f t="shared" si="9"/>
        <v>2023</v>
      </c>
      <c r="I66" s="20">
        <f t="shared" si="9"/>
        <v>2024</v>
      </c>
      <c r="J66" s="20">
        <f t="shared" si="9"/>
        <v>2025</v>
      </c>
      <c r="K66" s="20">
        <f t="shared" si="9"/>
        <v>2026</v>
      </c>
      <c r="L66" s="20">
        <f t="shared" si="9"/>
        <v>2027</v>
      </c>
      <c r="M66" s="20">
        <f t="shared" si="9"/>
        <v>2028</v>
      </c>
      <c r="N66" s="20">
        <f t="shared" si="9"/>
        <v>2029</v>
      </c>
      <c r="O66" s="20">
        <f t="shared" si="9"/>
        <v>2030</v>
      </c>
    </row>
    <row r="67" spans="2:15" x14ac:dyDescent="0.55000000000000004">
      <c r="B67" t="s">
        <v>758</v>
      </c>
      <c r="D67" s="7">
        <f>Pagbank!D203</f>
        <v>0</v>
      </c>
      <c r="E67" s="7">
        <f>Pagbank!E203</f>
        <v>-187</v>
      </c>
      <c r="F67" s="7">
        <f>Pagbank!F203</f>
        <v>-343.33800000000002</v>
      </c>
      <c r="G67" s="7">
        <f>Pagbank!G203</f>
        <v>-348.28</v>
      </c>
      <c r="H67" s="7">
        <f>Pagbank!H203</f>
        <v>12.707622653933981</v>
      </c>
      <c r="I67" s="7">
        <f>Pagbank!I203</f>
        <v>134.48461312567161</v>
      </c>
      <c r="J67" s="7">
        <f>Pagbank!J203</f>
        <v>374.92562312931364</v>
      </c>
      <c r="K67" s="7">
        <f>Pagbank!K203</f>
        <v>471.43377304684589</v>
      </c>
      <c r="L67" s="7">
        <f>Pagbank!L203</f>
        <v>542.77628421623808</v>
      </c>
      <c r="M67" s="7">
        <f>Pagbank!M203</f>
        <v>658.12896164673907</v>
      </c>
      <c r="N67" s="7">
        <f>Pagbank!N203</f>
        <v>776.56315312965899</v>
      </c>
      <c r="O67" s="7">
        <f>Pagbank!O203</f>
        <v>898.4798739210546</v>
      </c>
    </row>
    <row r="68" spans="2:15" x14ac:dyDescent="0.55000000000000004">
      <c r="B68" t="s">
        <v>760</v>
      </c>
      <c r="D68" s="12">
        <f>D111</f>
        <v>0.13020999999999999</v>
      </c>
    </row>
    <row r="69" spans="2:15" x14ac:dyDescent="0.55000000000000004">
      <c r="B69" t="s">
        <v>761</v>
      </c>
      <c r="D69" s="7">
        <f>NPV(D68,G67:O67)</f>
        <v>1410.4261098094325</v>
      </c>
    </row>
    <row r="70" spans="2:15" x14ac:dyDescent="0.55000000000000004">
      <c r="B70" t="s">
        <v>763</v>
      </c>
      <c r="D70" s="46">
        <v>5.5E-2</v>
      </c>
    </row>
    <row r="71" spans="2:15" x14ac:dyDescent="0.55000000000000004">
      <c r="B71" t="s">
        <v>750</v>
      </c>
      <c r="D71" s="13">
        <f>1/(D68-D70)</f>
        <v>13.296104241457254</v>
      </c>
    </row>
    <row r="72" spans="2:15" x14ac:dyDescent="0.55000000000000004">
      <c r="B72" t="s">
        <v>762</v>
      </c>
      <c r="D72" s="7">
        <f>D71*O67</f>
        <v>11946.282062505712</v>
      </c>
    </row>
    <row r="73" spans="2:15" x14ac:dyDescent="0.55000000000000004">
      <c r="B73" t="s">
        <v>764</v>
      </c>
      <c r="D73" s="7">
        <f>D72/(1+D68)^9</f>
        <v>3970.0909350782094</v>
      </c>
    </row>
    <row r="74" spans="2:15" x14ac:dyDescent="0.55000000000000004">
      <c r="B74" t="s">
        <v>765</v>
      </c>
      <c r="D74" s="7">
        <f>D69+D73</f>
        <v>5380.5170448876415</v>
      </c>
    </row>
    <row r="75" spans="2:15" x14ac:dyDescent="0.55000000000000004">
      <c r="B75" t="s">
        <v>114</v>
      </c>
      <c r="D75">
        <f>Pagbank!F128</f>
        <v>5</v>
      </c>
    </row>
    <row r="76" spans="2:15" x14ac:dyDescent="0.55000000000000004">
      <c r="B76" t="s">
        <v>766</v>
      </c>
      <c r="D76" s="7">
        <f>D74/D75</f>
        <v>1076.1034089775283</v>
      </c>
    </row>
    <row r="79" spans="2:15" x14ac:dyDescent="0.55000000000000004">
      <c r="B79" s="23" t="s">
        <v>767</v>
      </c>
    </row>
    <row r="80" spans="2:15" x14ac:dyDescent="0.55000000000000004">
      <c r="B80" s="18" t="s">
        <v>778</v>
      </c>
    </row>
    <row r="81" spans="2:4" x14ac:dyDescent="0.55000000000000004">
      <c r="B81" t="s">
        <v>791</v>
      </c>
      <c r="D81" s="7">
        <v>1300</v>
      </c>
    </row>
    <row r="82" spans="2:4" x14ac:dyDescent="0.55000000000000004">
      <c r="B82" t="s">
        <v>769</v>
      </c>
      <c r="D82" s="2">
        <f>D81/D83</f>
        <v>0.11504424778761062</v>
      </c>
    </row>
    <row r="83" spans="2:4" ht="14.7" thickBot="1" x14ac:dyDescent="0.6">
      <c r="B83" t="s">
        <v>768</v>
      </c>
      <c r="D83" s="7">
        <v>11300</v>
      </c>
    </row>
    <row r="84" spans="2:4" ht="14.7" thickBot="1" x14ac:dyDescent="0.6">
      <c r="B84" s="214" t="s">
        <v>782</v>
      </c>
      <c r="C84" s="215"/>
      <c r="D84" s="216">
        <f>D83/C27</f>
        <v>2260</v>
      </c>
    </row>
    <row r="85" spans="2:4" x14ac:dyDescent="0.55000000000000004">
      <c r="B85" t="s">
        <v>770</v>
      </c>
      <c r="D85" s="13">
        <v>4</v>
      </c>
    </row>
    <row r="86" spans="2:4" x14ac:dyDescent="0.55000000000000004">
      <c r="B86" t="s">
        <v>777</v>
      </c>
      <c r="D86" s="7">
        <f>D83/D85</f>
        <v>2825</v>
      </c>
    </row>
    <row r="87" spans="2:4" x14ac:dyDescent="0.55000000000000004">
      <c r="B87" t="s">
        <v>775</v>
      </c>
      <c r="D87" s="7">
        <f>D86/C27</f>
        <v>565</v>
      </c>
    </row>
    <row r="88" spans="2:4" x14ac:dyDescent="0.55000000000000004">
      <c r="D88" s="7"/>
    </row>
    <row r="89" spans="2:4" x14ac:dyDescent="0.55000000000000004">
      <c r="B89" s="18" t="s">
        <v>786</v>
      </c>
    </row>
    <row r="90" spans="2:4" x14ac:dyDescent="0.55000000000000004">
      <c r="B90" t="s">
        <v>793</v>
      </c>
      <c r="D90">
        <v>400</v>
      </c>
    </row>
    <row r="91" spans="2:4" x14ac:dyDescent="0.55000000000000004">
      <c r="B91" s="15" t="s">
        <v>790</v>
      </c>
      <c r="D91" s="2">
        <f>D90/D93</f>
        <v>0.04</v>
      </c>
    </row>
    <row r="92" spans="2:4" ht="14.7" thickBot="1" x14ac:dyDescent="0.6">
      <c r="B92" s="15" t="s">
        <v>788</v>
      </c>
      <c r="D92" s="2"/>
    </row>
    <row r="93" spans="2:4" ht="14.7" thickBot="1" x14ac:dyDescent="0.6">
      <c r="B93" s="214" t="s">
        <v>782</v>
      </c>
      <c r="C93" s="215"/>
      <c r="D93" s="216">
        <v>10000</v>
      </c>
    </row>
    <row r="94" spans="2:4" x14ac:dyDescent="0.55000000000000004">
      <c r="B94" t="s">
        <v>787</v>
      </c>
      <c r="D94" s="13">
        <v>25</v>
      </c>
    </row>
    <row r="95" spans="2:4" x14ac:dyDescent="0.55000000000000004">
      <c r="B95" t="s">
        <v>775</v>
      </c>
      <c r="D95" s="7">
        <f>D93/D94</f>
        <v>400</v>
      </c>
    </row>
    <row r="96" spans="2:4" x14ac:dyDescent="0.55000000000000004">
      <c r="D96" s="7"/>
    </row>
    <row r="97" spans="2:15" x14ac:dyDescent="0.55000000000000004">
      <c r="B97" s="23" t="s">
        <v>776</v>
      </c>
    </row>
    <row r="98" spans="2:15" x14ac:dyDescent="0.55000000000000004">
      <c r="B98" s="18" t="s">
        <v>779</v>
      </c>
    </row>
    <row r="99" spans="2:15" x14ac:dyDescent="0.55000000000000004">
      <c r="B99" t="s">
        <v>792</v>
      </c>
      <c r="D99" s="7">
        <v>225</v>
      </c>
    </row>
    <row r="100" spans="2:15" x14ac:dyDescent="0.55000000000000004">
      <c r="B100" s="15" t="s">
        <v>789</v>
      </c>
      <c r="D100" s="7"/>
    </row>
    <row r="101" spans="2:15" ht="14.7" thickBot="1" x14ac:dyDescent="0.6">
      <c r="B101" t="s">
        <v>769</v>
      </c>
      <c r="D101" s="2">
        <f>D99/D102</f>
        <v>0.12857142857142856</v>
      </c>
    </row>
    <row r="102" spans="2:15" ht="14.7" thickBot="1" x14ac:dyDescent="0.6">
      <c r="B102" s="214" t="s">
        <v>782</v>
      </c>
      <c r="C102" s="215"/>
      <c r="D102" s="216">
        <v>1750</v>
      </c>
    </row>
    <row r="103" spans="2:15" x14ac:dyDescent="0.55000000000000004">
      <c r="B103" t="s">
        <v>780</v>
      </c>
      <c r="D103" s="7">
        <v>300</v>
      </c>
    </row>
    <row r="104" spans="2:15" x14ac:dyDescent="0.55000000000000004">
      <c r="B104" t="s">
        <v>781</v>
      </c>
      <c r="D104" s="4">
        <f>D103/C27</f>
        <v>60</v>
      </c>
    </row>
    <row r="105" spans="2:15" x14ac:dyDescent="0.55000000000000004">
      <c r="B105" t="s">
        <v>776</v>
      </c>
      <c r="D105" s="4">
        <f>D102/D104</f>
        <v>29.166666666666668</v>
      </c>
    </row>
    <row r="107" spans="2:15" x14ac:dyDescent="0.55000000000000004">
      <c r="B107" s="23" t="s">
        <v>771</v>
      </c>
    </row>
    <row r="108" spans="2:15" x14ac:dyDescent="0.55000000000000004">
      <c r="B108" s="18"/>
    </row>
    <row r="109" spans="2:15" x14ac:dyDescent="0.55000000000000004">
      <c r="B109" s="20" t="s">
        <v>496</v>
      </c>
      <c r="C109" s="20"/>
      <c r="D109" s="20">
        <v>2019</v>
      </c>
      <c r="E109" s="20">
        <f t="shared" ref="E109:O109" si="10">D109+1</f>
        <v>2020</v>
      </c>
      <c r="F109" s="20">
        <f t="shared" si="10"/>
        <v>2021</v>
      </c>
      <c r="G109" s="20">
        <f t="shared" si="10"/>
        <v>2022</v>
      </c>
      <c r="H109" s="20">
        <f t="shared" si="10"/>
        <v>2023</v>
      </c>
      <c r="I109" s="20">
        <f t="shared" si="10"/>
        <v>2024</v>
      </c>
      <c r="J109" s="20">
        <f t="shared" si="10"/>
        <v>2025</v>
      </c>
      <c r="K109" s="20">
        <f t="shared" si="10"/>
        <v>2026</v>
      </c>
      <c r="L109" s="20">
        <f t="shared" si="10"/>
        <v>2027</v>
      </c>
      <c r="M109" s="20">
        <f t="shared" si="10"/>
        <v>2028</v>
      </c>
      <c r="N109" s="20">
        <f t="shared" si="10"/>
        <v>2029</v>
      </c>
      <c r="O109" s="20">
        <f t="shared" si="10"/>
        <v>2030</v>
      </c>
    </row>
    <row r="110" spans="2:15" x14ac:dyDescent="0.55000000000000004">
      <c r="B110" t="s">
        <v>1426</v>
      </c>
      <c r="D110" s="7">
        <f>Master!G94+Master!G72-Master!G135</f>
        <v>760.29999999999961</v>
      </c>
      <c r="E110" s="7">
        <f>Master!H94+Master!H72-Master!H135</f>
        <v>-388.2000000000005</v>
      </c>
      <c r="F110" s="7">
        <f>Master!I94+Master!I72-Master!I135</f>
        <v>180.49999999999977</v>
      </c>
      <c r="G110" s="7">
        <f>Master!J94+Master!J72-Master!J135</f>
        <v>501.79999999999927</v>
      </c>
      <c r="H110" s="7">
        <f>Master!K94+Master!K72-Master!K135</f>
        <v>1004.4999999999995</v>
      </c>
      <c r="I110" s="7">
        <f>Master!L94+Master!L72-Master!L135</f>
        <v>1828.2014511798195</v>
      </c>
      <c r="J110" s="7">
        <f>Master!M94+Master!M72-Master!M135</f>
        <v>2384.6834077091653</v>
      </c>
      <c r="K110" s="7">
        <f>Master!N94+Master!N72-Master!N135</f>
        <v>2490.1906162540117</v>
      </c>
      <c r="L110" s="7">
        <f>Master!O94+Master!O72-Master!O135</f>
        <v>2669.4998676076152</v>
      </c>
      <c r="M110" s="7">
        <f>Master!P94+Master!P72-Master!P135</f>
        <v>2885.4489023255937</v>
      </c>
      <c r="N110" s="7">
        <f>Master!Q94+Master!Q72-Master!Q135</f>
        <v>2916.2391631820919</v>
      </c>
      <c r="O110" s="7">
        <f>Master!R94+Master!R72-Master!R135</f>
        <v>2946.1347388794925</v>
      </c>
    </row>
    <row r="111" spans="2:15" x14ac:dyDescent="0.55000000000000004">
      <c r="B111" t="s">
        <v>356</v>
      </c>
      <c r="D111" s="12">
        <f>I144</f>
        <v>0.13020999999999999</v>
      </c>
      <c r="F111" s="2">
        <v>0.13</v>
      </c>
    </row>
    <row r="112" spans="2:15" x14ac:dyDescent="0.55000000000000004">
      <c r="B112" t="s">
        <v>774</v>
      </c>
      <c r="D112" s="7">
        <f>NPV(D111,J110:O110)</f>
        <v>10671.712308736258</v>
      </c>
    </row>
    <row r="113" spans="2:6" x14ac:dyDescent="0.55000000000000004">
      <c r="B113" t="s">
        <v>763</v>
      </c>
      <c r="D113" s="46">
        <v>0.05</v>
      </c>
      <c r="F113" s="2">
        <v>5.5E-2</v>
      </c>
    </row>
    <row r="114" spans="2:6" x14ac:dyDescent="0.55000000000000004">
      <c r="B114" t="s">
        <v>750</v>
      </c>
      <c r="D114" s="13">
        <f>1/(D111-D113)</f>
        <v>12.467273407305823</v>
      </c>
    </row>
    <row r="115" spans="2:6" x14ac:dyDescent="0.55000000000000004">
      <c r="B115" t="s">
        <v>762</v>
      </c>
      <c r="D115" s="7">
        <f>D114*O110</f>
        <v>36730.267284372181</v>
      </c>
    </row>
    <row r="116" spans="2:6" x14ac:dyDescent="0.55000000000000004">
      <c r="B116" t="s">
        <v>764</v>
      </c>
      <c r="D116" s="7">
        <f>D115/(1+D111)^6</f>
        <v>17622.568818601649</v>
      </c>
    </row>
    <row r="117" spans="2:6" x14ac:dyDescent="0.55000000000000004">
      <c r="B117" t="s">
        <v>765</v>
      </c>
      <c r="D117" s="7">
        <f>D112+D116</f>
        <v>28294.281127337905</v>
      </c>
    </row>
    <row r="118" spans="2:6" x14ac:dyDescent="0.55000000000000004">
      <c r="B118" t="s">
        <v>114</v>
      </c>
      <c r="D118">
        <f>D75</f>
        <v>5</v>
      </c>
    </row>
    <row r="119" spans="2:6" x14ac:dyDescent="0.55000000000000004">
      <c r="B119" t="s">
        <v>766</v>
      </c>
      <c r="D119" s="7">
        <f>D117/D118</f>
        <v>5658.8562254675808</v>
      </c>
    </row>
    <row r="120" spans="2:6" x14ac:dyDescent="0.55000000000000004">
      <c r="B120" t="s">
        <v>870</v>
      </c>
      <c r="D120" s="7">
        <f>G6</f>
        <v>5658.8562254675808</v>
      </c>
    </row>
    <row r="122" spans="2:6" x14ac:dyDescent="0.55000000000000004">
      <c r="B122" s="9" t="s">
        <v>868</v>
      </c>
    </row>
    <row r="123" spans="2:6" x14ac:dyDescent="0.55000000000000004">
      <c r="B123" t="s">
        <v>871</v>
      </c>
      <c r="D123" s="7">
        <v>4791.2749999999996</v>
      </c>
      <c r="E123">
        <v>15</v>
      </c>
    </row>
    <row r="124" spans="2:6" x14ac:dyDescent="0.55000000000000004">
      <c r="B124" t="s">
        <v>872</v>
      </c>
      <c r="D124" s="7">
        <v>2780</v>
      </c>
      <c r="E124">
        <v>75</v>
      </c>
    </row>
    <row r="125" spans="2:6" x14ac:dyDescent="0.55000000000000004">
      <c r="B125" t="s">
        <v>873</v>
      </c>
      <c r="D125" s="7">
        <v>1301</v>
      </c>
      <c r="E125">
        <v>150</v>
      </c>
    </row>
    <row r="126" spans="2:6" x14ac:dyDescent="0.55000000000000004">
      <c r="B126" t="s">
        <v>874</v>
      </c>
      <c r="D126" s="7">
        <v>1605</v>
      </c>
      <c r="E126">
        <v>270</v>
      </c>
    </row>
    <row r="127" spans="2:6" x14ac:dyDescent="0.55000000000000004">
      <c r="B127" s="1" t="s">
        <v>875</v>
      </c>
      <c r="C127" s="1"/>
      <c r="D127" s="172">
        <v>30</v>
      </c>
      <c r="E127" s="6">
        <v>362.5</v>
      </c>
    </row>
    <row r="128" spans="2:6" x14ac:dyDescent="0.55000000000000004">
      <c r="B128" t="s">
        <v>868</v>
      </c>
      <c r="D128" s="7">
        <f>SUM(D123:D127)</f>
        <v>10507.275</v>
      </c>
      <c r="E128" s="4">
        <f>((D123*E123)+(D124*E124)+(D125*E125)+(D126*E126)+(D127*E127))/D128</f>
        <v>87.534029993504504</v>
      </c>
    </row>
    <row r="129" spans="2:9" x14ac:dyDescent="0.55000000000000004">
      <c r="B129" t="s">
        <v>876</v>
      </c>
      <c r="D129" s="7">
        <f>D128/(E128/365)</f>
        <v>43813.307524908756</v>
      </c>
      <c r="E129" s="4"/>
    </row>
    <row r="131" spans="2:9" x14ac:dyDescent="0.55000000000000004">
      <c r="B131" s="1"/>
      <c r="C131" s="1"/>
      <c r="D131" s="1"/>
      <c r="E131" s="234" t="s">
        <v>816</v>
      </c>
      <c r="F131" s="234" t="s">
        <v>817</v>
      </c>
      <c r="G131" s="234" t="s">
        <v>829</v>
      </c>
      <c r="H131" s="234" t="s">
        <v>830</v>
      </c>
      <c r="I131" s="234" t="s">
        <v>463</v>
      </c>
    </row>
    <row r="132" spans="2:9" x14ac:dyDescent="0.55000000000000004">
      <c r="B132" t="s">
        <v>826</v>
      </c>
      <c r="E132" s="8"/>
      <c r="F132" s="235">
        <v>0.03</v>
      </c>
      <c r="H132" s="235">
        <v>2.5000000000000001E-2</v>
      </c>
    </row>
    <row r="133" spans="2:9" x14ac:dyDescent="0.55000000000000004">
      <c r="B133" t="s">
        <v>827</v>
      </c>
      <c r="E133" s="8"/>
      <c r="F133" s="235">
        <v>0.03</v>
      </c>
      <c r="H133" s="235"/>
    </row>
    <row r="134" spans="2:9" x14ac:dyDescent="0.55000000000000004">
      <c r="B134" s="1" t="s">
        <v>828</v>
      </c>
      <c r="C134" s="1"/>
      <c r="D134" s="1"/>
      <c r="E134" s="234"/>
      <c r="F134" s="237">
        <v>0.01</v>
      </c>
      <c r="G134" s="1"/>
      <c r="H134" s="237">
        <v>2.3E-2</v>
      </c>
      <c r="I134" s="1"/>
    </row>
    <row r="135" spans="2:9" x14ac:dyDescent="0.55000000000000004">
      <c r="B135" t="s">
        <v>818</v>
      </c>
      <c r="E135" s="235">
        <v>6.5000000000000002E-2</v>
      </c>
      <c r="F135" s="235">
        <f>F132+F133+F134</f>
        <v>6.9999999999999993E-2</v>
      </c>
      <c r="H135" s="235">
        <f>H132+H133+H134</f>
        <v>4.8000000000000001E-2</v>
      </c>
      <c r="I135" s="596">
        <v>0.105</v>
      </c>
    </row>
    <row r="136" spans="2:9" x14ac:dyDescent="0.55000000000000004">
      <c r="B136" t="s">
        <v>819</v>
      </c>
      <c r="E136" s="235">
        <v>0.05</v>
      </c>
      <c r="F136" s="235">
        <v>5.5E-2</v>
      </c>
      <c r="H136" s="12">
        <v>6.5000000000000002E-2</v>
      </c>
      <c r="I136" s="596">
        <v>0.04</v>
      </c>
    </row>
    <row r="137" spans="2:9" x14ac:dyDescent="0.55000000000000004">
      <c r="B137" t="s">
        <v>821</v>
      </c>
      <c r="E137" s="235">
        <v>0</v>
      </c>
      <c r="F137" s="8"/>
      <c r="I137" s="235">
        <v>0</v>
      </c>
    </row>
    <row r="138" spans="2:9" x14ac:dyDescent="0.55000000000000004">
      <c r="B138" t="s">
        <v>3146</v>
      </c>
      <c r="E138" s="235">
        <f>(E135+E136)*0.66</f>
        <v>7.5900000000000009E-2</v>
      </c>
      <c r="F138" s="8"/>
      <c r="I138" s="235">
        <f>(I135+I136)*0.66</f>
        <v>9.5699999999999993E-2</v>
      </c>
    </row>
    <row r="139" spans="2:9" x14ac:dyDescent="0.55000000000000004">
      <c r="B139" s="1" t="s">
        <v>820</v>
      </c>
      <c r="C139" s="1"/>
      <c r="D139" s="1"/>
      <c r="E139" s="236">
        <v>1</v>
      </c>
      <c r="F139" s="236">
        <v>1.1000000000000001</v>
      </c>
      <c r="G139" s="1"/>
      <c r="H139" s="236">
        <v>1</v>
      </c>
      <c r="I139" s="96">
        <v>1</v>
      </c>
    </row>
    <row r="140" spans="2:9" x14ac:dyDescent="0.55000000000000004">
      <c r="B140" t="s">
        <v>823</v>
      </c>
      <c r="E140" s="12">
        <f>E135+E136*E139</f>
        <v>0.115</v>
      </c>
      <c r="F140" s="12">
        <f>F135+F136*F139</f>
        <v>0.1305</v>
      </c>
      <c r="G140" s="12">
        <v>0.11749999999999999</v>
      </c>
      <c r="H140" s="12">
        <f>H135+H136*H139</f>
        <v>0.113</v>
      </c>
      <c r="I140" s="12">
        <f>I135+I136*I139</f>
        <v>0.14499999999999999</v>
      </c>
    </row>
    <row r="141" spans="2:9" x14ac:dyDescent="0.55000000000000004">
      <c r="B141" t="s">
        <v>824</v>
      </c>
      <c r="E141" s="12">
        <v>0.113</v>
      </c>
      <c r="F141" s="12">
        <v>0.13100000000000001</v>
      </c>
    </row>
    <row r="142" spans="2:9" x14ac:dyDescent="0.55000000000000004">
      <c r="E142" s="12"/>
      <c r="F142" s="12"/>
    </row>
    <row r="143" spans="2:9" x14ac:dyDescent="0.55000000000000004">
      <c r="B143" t="s">
        <v>822</v>
      </c>
      <c r="E143" s="12">
        <v>0.3</v>
      </c>
      <c r="F143" s="12"/>
      <c r="I143" s="12">
        <v>0.3</v>
      </c>
    </row>
    <row r="144" spans="2:9" x14ac:dyDescent="0.55000000000000004">
      <c r="B144" t="s">
        <v>356</v>
      </c>
      <c r="E144" s="12">
        <f>(E143*E138)+(E140*(1-E143))</f>
        <v>0.10327</v>
      </c>
      <c r="I144" s="12">
        <f>(I143*I138)+(I140*(1-I143))</f>
        <v>0.13020999999999999</v>
      </c>
    </row>
    <row r="145" spans="2:8" x14ac:dyDescent="0.55000000000000004">
      <c r="B145" t="s">
        <v>824</v>
      </c>
      <c r="E145" s="12">
        <v>0.113</v>
      </c>
    </row>
    <row r="146" spans="2:8" x14ac:dyDescent="0.55000000000000004">
      <c r="E146" s="12"/>
    </row>
    <row r="147" spans="2:8" x14ac:dyDescent="0.55000000000000004">
      <c r="B147" t="s">
        <v>239</v>
      </c>
      <c r="E147" s="12">
        <v>6.5000000000000002E-2</v>
      </c>
      <c r="G147" s="12">
        <v>0.08</v>
      </c>
      <c r="H147" s="12">
        <v>0.08</v>
      </c>
    </row>
    <row r="148" spans="2:8" x14ac:dyDescent="0.55000000000000004">
      <c r="B148" t="s">
        <v>825</v>
      </c>
      <c r="E148" s="13">
        <f>1/(E145-E147)</f>
        <v>20.833333333333332</v>
      </c>
      <c r="G148" s="13">
        <f>1/(G140-G147)</f>
        <v>26.666666666666671</v>
      </c>
      <c r="H148" s="13">
        <f>1/(H140-H147)</f>
        <v>30.303030303030301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2E8D1-A9D3-43F1-A495-36F74EB6207D}">
  <dimension ref="A2:AE1835"/>
  <sheetViews>
    <sheetView showGridLines="0" topLeftCell="A1779" zoomScale="70" zoomScaleNormal="85" workbookViewId="0">
      <selection activeCell="D1002" sqref="D1002"/>
    </sheetView>
  </sheetViews>
  <sheetFormatPr defaultRowHeight="14.4" outlineLevelRow="1" outlineLevelCol="1" x14ac:dyDescent="0.55000000000000004"/>
  <cols>
    <col min="2" max="2" width="38.05078125" customWidth="1"/>
    <col min="3" max="3" width="10.3125" customWidth="1"/>
    <col min="4" max="5" width="8.578125" customWidth="1"/>
    <col min="6" max="6" width="2.26171875" customWidth="1"/>
    <col min="7" max="8" width="8.578125" customWidth="1"/>
    <col min="9" max="9" width="8.578125" customWidth="1" outlineLevel="1"/>
    <col min="10" max="10" width="7.89453125" customWidth="1" outlineLevel="1"/>
    <col min="25" max="25" width="12.89453125" customWidth="1"/>
    <col min="26" max="26" width="8.89453125" customWidth="1"/>
  </cols>
  <sheetData>
    <row r="2" spans="2:6" x14ac:dyDescent="0.55000000000000004">
      <c r="B2" s="106" t="s">
        <v>108</v>
      </c>
      <c r="C2" s="107" t="s">
        <v>107</v>
      </c>
    </row>
    <row r="3" spans="2:6" x14ac:dyDescent="0.55000000000000004">
      <c r="B3" s="108" t="s">
        <v>74</v>
      </c>
      <c r="C3" s="109">
        <f>'CB data'!W71/1000</f>
        <v>1695.9269999999999</v>
      </c>
      <c r="F3" t="s">
        <v>562</v>
      </c>
    </row>
    <row r="4" spans="2:6" x14ac:dyDescent="0.55000000000000004">
      <c r="B4" s="108" t="s">
        <v>75</v>
      </c>
      <c r="C4" s="110">
        <v>0.19220000000000001</v>
      </c>
    </row>
    <row r="5" spans="2:6" x14ac:dyDescent="0.55000000000000004">
      <c r="B5" s="108" t="s">
        <v>76</v>
      </c>
      <c r="C5" s="111">
        <f>C4/12</f>
        <v>1.6016666666666669E-2</v>
      </c>
    </row>
    <row r="6" spans="2:6" x14ac:dyDescent="0.55000000000000004">
      <c r="B6" s="108"/>
      <c r="C6" s="108"/>
    </row>
    <row r="7" spans="2:6" x14ac:dyDescent="0.55000000000000004">
      <c r="B7" s="108" t="s">
        <v>77</v>
      </c>
      <c r="C7" s="112">
        <v>7.8E-2</v>
      </c>
    </row>
    <row r="8" spans="2:6" x14ac:dyDescent="0.55000000000000004">
      <c r="B8" s="108" t="s">
        <v>78</v>
      </c>
      <c r="C8" s="112">
        <v>0.06</v>
      </c>
    </row>
    <row r="9" spans="2:6" x14ac:dyDescent="0.55000000000000004">
      <c r="B9" s="113" t="s">
        <v>86</v>
      </c>
      <c r="C9" s="114">
        <f>(C4-C7-C8)*C3</f>
        <v>91.919243400000013</v>
      </c>
    </row>
    <row r="10" spans="2:6" x14ac:dyDescent="0.55000000000000004">
      <c r="B10" s="108" t="s">
        <v>85</v>
      </c>
      <c r="C10" s="112">
        <f>C9/C3</f>
        <v>5.4200000000000012E-2</v>
      </c>
    </row>
    <row r="11" spans="2:6" x14ac:dyDescent="0.55000000000000004">
      <c r="B11" s="108"/>
      <c r="C11" s="108"/>
    </row>
    <row r="12" spans="2:6" x14ac:dyDescent="0.55000000000000004">
      <c r="B12" s="108" t="s">
        <v>79</v>
      </c>
      <c r="C12" s="109">
        <f>'CB data'!W26/1000</f>
        <v>2123.14</v>
      </c>
    </row>
    <row r="13" spans="2:6" x14ac:dyDescent="0.55000000000000004">
      <c r="B13" s="108" t="s">
        <v>75</v>
      </c>
      <c r="C13" s="110">
        <v>0.47849999999999998</v>
      </c>
    </row>
    <row r="14" spans="2:6" x14ac:dyDescent="0.55000000000000004">
      <c r="B14" s="108" t="s">
        <v>76</v>
      </c>
      <c r="C14" s="111">
        <f>C13/12</f>
        <v>3.9875000000000001E-2</v>
      </c>
    </row>
    <row r="15" spans="2:6" x14ac:dyDescent="0.55000000000000004">
      <c r="B15" s="108"/>
      <c r="C15" s="111"/>
    </row>
    <row r="16" spans="2:6" x14ac:dyDescent="0.55000000000000004">
      <c r="B16" s="108" t="s">
        <v>77</v>
      </c>
      <c r="C16" s="110">
        <v>0.27</v>
      </c>
    </row>
    <row r="17" spans="2:3" x14ac:dyDescent="0.55000000000000004">
      <c r="B17" s="108" t="s">
        <v>78</v>
      </c>
      <c r="C17" s="112">
        <v>0.06</v>
      </c>
    </row>
    <row r="18" spans="2:3" x14ac:dyDescent="0.55000000000000004">
      <c r="B18" s="113" t="s">
        <v>86</v>
      </c>
      <c r="C18" s="115">
        <f>(C13-C16-C17)*C12</f>
        <v>315.28628999999989</v>
      </c>
    </row>
    <row r="19" spans="2:3" x14ac:dyDescent="0.55000000000000004">
      <c r="B19" s="108" t="s">
        <v>85</v>
      </c>
      <c r="C19" s="112">
        <f>C18/C12</f>
        <v>0.14849999999999997</v>
      </c>
    </row>
    <row r="20" spans="2:3" x14ac:dyDescent="0.55000000000000004">
      <c r="B20" s="108"/>
      <c r="C20" s="108"/>
    </row>
    <row r="21" spans="2:3" x14ac:dyDescent="0.55000000000000004">
      <c r="B21" s="108" t="s">
        <v>80</v>
      </c>
      <c r="C21" s="108">
        <v>58.9</v>
      </c>
    </row>
    <row r="22" spans="2:3" x14ac:dyDescent="0.55000000000000004">
      <c r="B22" s="108" t="s">
        <v>82</v>
      </c>
      <c r="C22" s="112">
        <v>0.25</v>
      </c>
    </row>
    <row r="23" spans="2:3" x14ac:dyDescent="0.55000000000000004">
      <c r="B23" s="113" t="s">
        <v>106</v>
      </c>
      <c r="C23" s="114">
        <f>C21*C22</f>
        <v>14.725</v>
      </c>
    </row>
    <row r="24" spans="2:3" ht="14.7" thickBot="1" x14ac:dyDescent="0.6">
      <c r="B24" s="108"/>
      <c r="C24" s="108"/>
    </row>
    <row r="25" spans="2:3" ht="14.7" thickBot="1" x14ac:dyDescent="0.6">
      <c r="B25" s="116" t="s">
        <v>81</v>
      </c>
      <c r="C25" s="117">
        <f>C9+C18+C23</f>
        <v>421.93053339999994</v>
      </c>
    </row>
    <row r="26" spans="2:3" x14ac:dyDescent="0.55000000000000004">
      <c r="B26" s="17" t="s">
        <v>102</v>
      </c>
      <c r="C26" s="14"/>
    </row>
    <row r="27" spans="2:3" x14ac:dyDescent="0.55000000000000004">
      <c r="B27" s="15" t="s">
        <v>105</v>
      </c>
      <c r="C27" s="14"/>
    </row>
    <row r="29" spans="2:3" x14ac:dyDescent="0.55000000000000004">
      <c r="B29" s="1"/>
      <c r="C29" s="107" t="str">
        <f>C2</f>
        <v>R$ billion</v>
      </c>
    </row>
    <row r="30" spans="2:3" x14ac:dyDescent="0.55000000000000004">
      <c r="B30" s="108" t="s">
        <v>575</v>
      </c>
      <c r="C30" s="109">
        <f>'CB data'!W16/1000</f>
        <v>1153.4949999999999</v>
      </c>
    </row>
    <row r="31" spans="2:3" x14ac:dyDescent="0.55000000000000004">
      <c r="B31" s="108" t="str">
        <f>B13</f>
        <v>Average rates</v>
      </c>
      <c r="C31" s="110">
        <v>0.42</v>
      </c>
    </row>
    <row r="32" spans="2:3" x14ac:dyDescent="0.55000000000000004">
      <c r="B32" s="108" t="str">
        <f>B14</f>
        <v>(monthly interest)</v>
      </c>
      <c r="C32" s="111">
        <f>C31/12</f>
        <v>3.4999999999999996E-2</v>
      </c>
    </row>
    <row r="33" spans="2:4" x14ac:dyDescent="0.55000000000000004">
      <c r="B33" s="111"/>
      <c r="C33" s="111"/>
    </row>
    <row r="34" spans="2:4" x14ac:dyDescent="0.55000000000000004">
      <c r="B34" s="108" t="str">
        <f>B16</f>
        <v>Default assumption</v>
      </c>
      <c r="C34" s="110">
        <v>0.27</v>
      </c>
    </row>
    <row r="35" spans="2:4" ht="14.7" thickBot="1" x14ac:dyDescent="0.6">
      <c r="B35" s="108" t="str">
        <f>B17</f>
        <v>Cost of capital</v>
      </c>
      <c r="C35" s="112">
        <v>0.06</v>
      </c>
    </row>
    <row r="36" spans="2:4" ht="14.7" thickBot="1" x14ac:dyDescent="0.6">
      <c r="B36" s="116" t="s">
        <v>576</v>
      </c>
      <c r="C36" s="128">
        <f>(C31-C34-C35)*C30</f>
        <v>103.81454999999995</v>
      </c>
    </row>
    <row r="38" spans="2:4" x14ac:dyDescent="0.55000000000000004">
      <c r="B38" s="18" t="s">
        <v>577</v>
      </c>
      <c r="C38" s="18">
        <v>2019</v>
      </c>
    </row>
    <row r="39" spans="2:4" x14ac:dyDescent="0.55000000000000004">
      <c r="B39" t="str">
        <f>Pagbank!B92</f>
        <v>Interchange</v>
      </c>
      <c r="C39" s="4">
        <f>Pagbank!E92</f>
        <v>310.4968917826186</v>
      </c>
      <c r="D39" s="2">
        <v>0.7</v>
      </c>
    </row>
    <row r="40" spans="2:4" x14ac:dyDescent="0.55000000000000004">
      <c r="B40" t="str">
        <f>Pagbank!B93</f>
        <v>Interest on credit</v>
      </c>
      <c r="C40" s="4">
        <f>Pagbank!E93</f>
        <v>179.95240000000001</v>
      </c>
      <c r="D40" s="2">
        <v>0.2</v>
      </c>
    </row>
    <row r="41" spans="2:4" x14ac:dyDescent="0.55000000000000004">
      <c r="B41" t="str">
        <f>Pagbank!B94</f>
        <v xml:space="preserve">Float </v>
      </c>
      <c r="C41" s="4">
        <f>Pagbank!E94</f>
        <v>73.75070821738143</v>
      </c>
      <c r="D41" s="2">
        <v>0.1</v>
      </c>
    </row>
    <row r="47" spans="2:4" x14ac:dyDescent="0.55000000000000004">
      <c r="B47" s="120" t="s">
        <v>574</v>
      </c>
    </row>
    <row r="49" spans="2:4" x14ac:dyDescent="0.55000000000000004">
      <c r="B49" s="108" t="s">
        <v>5</v>
      </c>
      <c r="C49" s="109">
        <f>'CB data'!W61/1000</f>
        <v>465.08600000000001</v>
      </c>
      <c r="D49" s="112">
        <f t="shared" ref="D49:D54" si="0">C49/$C$62</f>
        <v>0.27423703968390145</v>
      </c>
    </row>
    <row r="50" spans="2:4" x14ac:dyDescent="0.55000000000000004">
      <c r="B50" s="108" t="str">
        <f>'CB data'!B57</f>
        <v>Working Capital</v>
      </c>
      <c r="C50" s="109">
        <f>'CB data'!W57/1000</f>
        <v>426.61500000000001</v>
      </c>
      <c r="D50" s="112">
        <f t="shared" si="0"/>
        <v>0.25155269065236885</v>
      </c>
    </row>
    <row r="51" spans="2:4" x14ac:dyDescent="0.55000000000000004">
      <c r="B51" s="108" t="s">
        <v>572</v>
      </c>
      <c r="C51" s="109">
        <f>'CB data'!W59/1000</f>
        <v>96.447000000000003</v>
      </c>
      <c r="D51" s="112">
        <f t="shared" si="0"/>
        <v>5.6869782720600587E-2</v>
      </c>
    </row>
    <row r="52" spans="2:4" x14ac:dyDescent="0.55000000000000004">
      <c r="B52" s="108" t="s">
        <v>571</v>
      </c>
      <c r="C52" s="109">
        <f>'CB data'!W58/1000</f>
        <v>40.234000000000002</v>
      </c>
      <c r="D52" s="112">
        <f t="shared" si="0"/>
        <v>2.3723898493272409E-2</v>
      </c>
    </row>
    <row r="53" spans="2:4" x14ac:dyDescent="0.55000000000000004">
      <c r="B53" s="118" t="str">
        <f>'CB data'!B60</f>
        <v>Credit cards</v>
      </c>
      <c r="C53" s="119">
        <f>'CB data'!W60/1000</f>
        <v>12.173</v>
      </c>
      <c r="D53" s="122">
        <f t="shared" si="0"/>
        <v>7.1777853645823191E-3</v>
      </c>
    </row>
    <row r="54" spans="2:4" x14ac:dyDescent="0.55000000000000004">
      <c r="B54" s="113" t="s">
        <v>568</v>
      </c>
      <c r="C54" s="126">
        <f>SUM(C49:C53)</f>
        <v>1040.5550000000001</v>
      </c>
      <c r="D54" s="127">
        <f t="shared" si="0"/>
        <v>0.61356119691472566</v>
      </c>
    </row>
    <row r="56" spans="2:4" x14ac:dyDescent="0.55000000000000004">
      <c r="B56" s="108" t="s">
        <v>131</v>
      </c>
      <c r="C56" s="109">
        <f>'CB data'!W67/1000</f>
        <v>393.18400000000003</v>
      </c>
      <c r="D56" s="112">
        <f>C56/$C$62</f>
        <v>0.23184016764872545</v>
      </c>
    </row>
    <row r="57" spans="2:4" x14ac:dyDescent="0.55000000000000004">
      <c r="B57" s="108" t="s">
        <v>565</v>
      </c>
      <c r="C57" s="109">
        <f>'CB data'!W68/1000</f>
        <v>179.429</v>
      </c>
      <c r="D57" s="112">
        <f>C57/$C$62</f>
        <v>0.10579995483296155</v>
      </c>
    </row>
    <row r="58" spans="2:4" x14ac:dyDescent="0.55000000000000004">
      <c r="B58" s="108" t="str">
        <f>'CB data'!B65</f>
        <v>Rural credit</v>
      </c>
      <c r="C58" s="109">
        <f>'CB data'!W65/1000</f>
        <v>52.481000000000002</v>
      </c>
      <c r="D58" s="112">
        <f>C58/$C$62</f>
        <v>3.0945317811438815E-2</v>
      </c>
    </row>
    <row r="59" spans="2:4" x14ac:dyDescent="0.55000000000000004">
      <c r="B59" s="118" t="str">
        <f>'CB data'!B66</f>
        <v>Real estate</v>
      </c>
      <c r="C59" s="119">
        <f>'CB data'!W66/1000</f>
        <v>30.277999999999999</v>
      </c>
      <c r="D59" s="122">
        <f>C59/$C$62</f>
        <v>1.785336279214848E-2</v>
      </c>
    </row>
    <row r="60" spans="2:4" x14ac:dyDescent="0.55000000000000004">
      <c r="B60" s="113" t="str">
        <f>B3</f>
        <v>Total SMB Corporate Credit</v>
      </c>
      <c r="C60" s="126">
        <f>SUM(C56:C59)</f>
        <v>655.37200000000007</v>
      </c>
      <c r="D60" s="127">
        <f>C60/$C$62</f>
        <v>0.38643880308527434</v>
      </c>
    </row>
    <row r="62" spans="2:4" ht="14.7" thickBot="1" x14ac:dyDescent="0.6">
      <c r="B62" s="123" t="s">
        <v>569</v>
      </c>
      <c r="C62" s="124">
        <f>C54+C60</f>
        <v>1695.9270000000001</v>
      </c>
      <c r="D62" s="125">
        <f>C62/$C$62</f>
        <v>1</v>
      </c>
    </row>
    <row r="63" spans="2:4" ht="14.7" thickTop="1" x14ac:dyDescent="0.55000000000000004"/>
    <row r="64" spans="2:4" x14ac:dyDescent="0.55000000000000004">
      <c r="B64" s="120" t="s">
        <v>573</v>
      </c>
    </row>
    <row r="65" spans="2:4" x14ac:dyDescent="0.55000000000000004">
      <c r="C65" s="121"/>
    </row>
    <row r="66" spans="2:4" x14ac:dyDescent="0.55000000000000004">
      <c r="B66" s="108" t="str">
        <f>'CB data'!B10</f>
        <v>Pay roll</v>
      </c>
      <c r="C66" s="109">
        <f>'CB data'!W10/1000</f>
        <v>413.08499999999998</v>
      </c>
      <c r="D66" s="112">
        <f t="shared" ref="D66:D72" si="1">C66/$C$80</f>
        <v>0.19456324123703572</v>
      </c>
    </row>
    <row r="67" spans="2:4" x14ac:dyDescent="0.55000000000000004">
      <c r="B67" s="108" t="str">
        <f>'CB data'!B8</f>
        <v>Credit cards</v>
      </c>
      <c r="C67" s="109">
        <f>'CB data'!W8/1000</f>
        <v>256.67</v>
      </c>
      <c r="D67" s="112">
        <f t="shared" si="1"/>
        <v>0.12089169814520005</v>
      </c>
    </row>
    <row r="68" spans="2:4" x14ac:dyDescent="0.55000000000000004">
      <c r="B68" s="108" t="str">
        <f>'CB data'!B13</f>
        <v>Vehicles</v>
      </c>
      <c r="C68" s="109">
        <f>'CB data'!W13/1000</f>
        <v>209.21799999999999</v>
      </c>
      <c r="D68" s="112">
        <f t="shared" si="1"/>
        <v>9.8541782454289406E-2</v>
      </c>
    </row>
    <row r="69" spans="2:4" x14ac:dyDescent="0.55000000000000004">
      <c r="B69" s="108" t="s">
        <v>570</v>
      </c>
      <c r="C69" s="109">
        <f>'CB data'!W11/1000</f>
        <v>140.88300000000001</v>
      </c>
      <c r="D69" s="112">
        <f t="shared" si="1"/>
        <v>6.6355963337321147E-2</v>
      </c>
    </row>
    <row r="70" spans="2:4" x14ac:dyDescent="0.55000000000000004">
      <c r="B70" s="108" t="s">
        <v>5</v>
      </c>
      <c r="C70" s="109">
        <f>'CB data'!W14/1000</f>
        <v>114.194</v>
      </c>
      <c r="D70" s="112">
        <f t="shared" si="1"/>
        <v>5.3785431012556881E-2</v>
      </c>
    </row>
    <row r="71" spans="2:4" x14ac:dyDescent="0.55000000000000004">
      <c r="B71" s="118" t="str">
        <f>'CB data'!B12</f>
        <v>Overdraft</v>
      </c>
      <c r="C71" s="119">
        <f>'CB data'!W12/1000</f>
        <v>19.445</v>
      </c>
      <c r="D71" s="122">
        <f t="shared" si="1"/>
        <v>9.1586047081209914E-3</v>
      </c>
    </row>
    <row r="72" spans="2:4" x14ac:dyDescent="0.55000000000000004">
      <c r="B72" s="113" t="s">
        <v>566</v>
      </c>
      <c r="C72" s="126">
        <f>'CB data'!W16/1000</f>
        <v>1153.4949999999999</v>
      </c>
      <c r="D72" s="127">
        <f t="shared" si="1"/>
        <v>0.54329672089452408</v>
      </c>
    </row>
    <row r="74" spans="2:4" x14ac:dyDescent="0.55000000000000004">
      <c r="B74" s="108" t="s">
        <v>563</v>
      </c>
      <c r="C74" s="109">
        <f>'CB data'!W20/1000</f>
        <v>689.7</v>
      </c>
      <c r="D74" s="112">
        <f>C74/$C$80</f>
        <v>0.32484904433998701</v>
      </c>
    </row>
    <row r="75" spans="2:4" x14ac:dyDescent="0.55000000000000004">
      <c r="B75" s="108" t="s">
        <v>564</v>
      </c>
      <c r="C75" s="109">
        <f>'CB data'!W19/1000</f>
        <v>219.19900000000001</v>
      </c>
      <c r="D75" s="112">
        <f>C75/$C$80</f>
        <v>0.10324283843740875</v>
      </c>
    </row>
    <row r="76" spans="2:4" x14ac:dyDescent="0.55000000000000004">
      <c r="B76" s="108" t="s">
        <v>131</v>
      </c>
      <c r="C76" s="109">
        <f>'CB data'!W21/1000</f>
        <v>53.706000000000003</v>
      </c>
      <c r="D76" s="112">
        <f>C76/$C$80</f>
        <v>2.5295552813285986E-2</v>
      </c>
    </row>
    <row r="77" spans="2:4" x14ac:dyDescent="0.55000000000000004">
      <c r="B77" s="118" t="s">
        <v>5</v>
      </c>
      <c r="C77" s="119">
        <f>C78-C74-C75-C76</f>
        <v>7.039999999999921</v>
      </c>
      <c r="D77" s="122">
        <f>C77/$C$80</f>
        <v>3.3158435147940886E-3</v>
      </c>
    </row>
    <row r="78" spans="2:4" x14ac:dyDescent="0.55000000000000004">
      <c r="B78" s="113" t="s">
        <v>567</v>
      </c>
      <c r="C78" s="126">
        <f>'CB data'!W24/1000</f>
        <v>969.64499999999998</v>
      </c>
      <c r="D78" s="127">
        <f>C78/$C$80</f>
        <v>0.45670327910547587</v>
      </c>
    </row>
    <row r="79" spans="2:4" x14ac:dyDescent="0.55000000000000004">
      <c r="B79" s="108"/>
      <c r="C79" s="109"/>
    </row>
    <row r="80" spans="2:4" ht="14.7" thickBot="1" x14ac:dyDescent="0.6">
      <c r="B80" s="123" t="str">
        <f>B12</f>
        <v>Total Consumer</v>
      </c>
      <c r="C80" s="124">
        <f>C72+C78</f>
        <v>2123.14</v>
      </c>
      <c r="D80" s="125">
        <f>C80/$C$80</f>
        <v>1</v>
      </c>
    </row>
    <row r="81" spans="2:6" ht="14.7" thickTop="1" x14ac:dyDescent="0.55000000000000004"/>
    <row r="83" spans="2:6" x14ac:dyDescent="0.55000000000000004">
      <c r="B83" s="118"/>
      <c r="C83" s="118">
        <v>2017</v>
      </c>
      <c r="D83" s="118">
        <v>2019</v>
      </c>
      <c r="E83" s="118">
        <v>2020</v>
      </c>
      <c r="F83" s="136"/>
    </row>
    <row r="84" spans="2:6" x14ac:dyDescent="0.55000000000000004">
      <c r="B84" s="108" t="s">
        <v>591</v>
      </c>
      <c r="C84" s="108">
        <v>83</v>
      </c>
      <c r="D84" s="108">
        <v>123</v>
      </c>
      <c r="E84" s="108">
        <v>134</v>
      </c>
      <c r="F84" s="136"/>
    </row>
    <row r="85" spans="2:6" x14ac:dyDescent="0.55000000000000004">
      <c r="B85" s="108" t="s">
        <v>592</v>
      </c>
      <c r="C85" s="108">
        <v>208</v>
      </c>
      <c r="D85" s="108">
        <v>212</v>
      </c>
      <c r="E85" s="108">
        <v>215</v>
      </c>
      <c r="F85" s="136"/>
    </row>
    <row r="86" spans="2:6" x14ac:dyDescent="0.55000000000000004">
      <c r="B86" s="108" t="s">
        <v>588</v>
      </c>
      <c r="C86" s="112">
        <v>0.27</v>
      </c>
      <c r="D86" s="112">
        <f>D87/D85</f>
        <v>0.3867924528301887</v>
      </c>
      <c r="E86" s="112">
        <f>E87/E85</f>
        <v>0.4021005251312828</v>
      </c>
      <c r="F86" s="108" t="s">
        <v>590</v>
      </c>
    </row>
    <row r="87" spans="2:6" x14ac:dyDescent="0.55000000000000004">
      <c r="B87" s="108" t="s">
        <v>593</v>
      </c>
      <c r="C87" s="159">
        <f>C86*C85</f>
        <v>56.160000000000004</v>
      </c>
      <c r="D87" s="159">
        <f>D84/D88</f>
        <v>82</v>
      </c>
      <c r="E87" s="159">
        <f>E84/E88</f>
        <v>86.451612903225808</v>
      </c>
      <c r="F87" s="108"/>
    </row>
    <row r="88" spans="2:6" x14ac:dyDescent="0.55000000000000004">
      <c r="B88" s="108" t="s">
        <v>594</v>
      </c>
      <c r="C88" s="160">
        <f>C84/C87</f>
        <v>1.4779202279202279</v>
      </c>
      <c r="D88" s="160">
        <v>1.5</v>
      </c>
      <c r="E88" s="160">
        <v>1.55</v>
      </c>
      <c r="F88" s="108" t="s">
        <v>589</v>
      </c>
    </row>
    <row r="92" spans="2:6" x14ac:dyDescent="0.55000000000000004">
      <c r="B92" t="s">
        <v>84</v>
      </c>
    </row>
    <row r="93" spans="2:6" x14ac:dyDescent="0.55000000000000004">
      <c r="B93" s="20" t="s">
        <v>109</v>
      </c>
      <c r="C93" s="19" t="s">
        <v>107</v>
      </c>
    </row>
    <row r="94" spans="2:6" x14ac:dyDescent="0.55000000000000004">
      <c r="B94" t="s">
        <v>110</v>
      </c>
      <c r="C94" s="13">
        <f>'CB data'!X8/1000</f>
        <v>262.13400000000001</v>
      </c>
    </row>
    <row r="95" spans="2:6" x14ac:dyDescent="0.55000000000000004">
      <c r="B95" t="s">
        <v>98</v>
      </c>
      <c r="C95" s="3">
        <v>0.65</v>
      </c>
    </row>
    <row r="97" spans="2:4" x14ac:dyDescent="0.55000000000000004">
      <c r="B97" t="s">
        <v>99</v>
      </c>
      <c r="C97" s="2">
        <v>0.4</v>
      </c>
    </row>
    <row r="98" spans="2:4" x14ac:dyDescent="0.55000000000000004">
      <c r="B98" t="s">
        <v>78</v>
      </c>
      <c r="C98" s="2">
        <v>0.06</v>
      </c>
    </row>
    <row r="99" spans="2:4" x14ac:dyDescent="0.55000000000000004">
      <c r="B99" t="s">
        <v>86</v>
      </c>
      <c r="C99" s="4">
        <f>(C95-C97-C98)*C94</f>
        <v>49.805460000000004</v>
      </c>
    </row>
    <row r="100" spans="2:4" x14ac:dyDescent="0.55000000000000004">
      <c r="B100" t="s">
        <v>85</v>
      </c>
      <c r="C100" s="2">
        <f>C99/C94</f>
        <v>0.19</v>
      </c>
    </row>
    <row r="101" spans="2:4" x14ac:dyDescent="0.55000000000000004">
      <c r="C101" s="2"/>
    </row>
    <row r="102" spans="2:4" x14ac:dyDescent="0.55000000000000004">
      <c r="B102" t="s">
        <v>100</v>
      </c>
      <c r="C102">
        <v>221</v>
      </c>
      <c r="D102" s="15" t="s">
        <v>97</v>
      </c>
    </row>
    <row r="103" spans="2:4" x14ac:dyDescent="0.55000000000000004">
      <c r="B103" t="s">
        <v>112</v>
      </c>
      <c r="C103">
        <v>123</v>
      </c>
    </row>
    <row r="104" spans="2:4" x14ac:dyDescent="0.55000000000000004">
      <c r="C104" s="2"/>
    </row>
    <row r="105" spans="2:4" x14ac:dyDescent="0.55000000000000004">
      <c r="B105" t="s">
        <v>113</v>
      </c>
      <c r="C105" s="4">
        <f>C94*1000/C103</f>
        <v>2131.1707317073169</v>
      </c>
    </row>
    <row r="106" spans="2:4" x14ac:dyDescent="0.55000000000000004">
      <c r="B106" t="s">
        <v>114</v>
      </c>
      <c r="C106" s="28">
        <v>5.13</v>
      </c>
    </row>
    <row r="107" spans="2:4" x14ac:dyDescent="0.55000000000000004">
      <c r="B107" t="s">
        <v>144</v>
      </c>
      <c r="C107" s="4">
        <f>C105/C106</f>
        <v>415.43289117101693</v>
      </c>
    </row>
    <row r="108" spans="2:4" x14ac:dyDescent="0.55000000000000004">
      <c r="C108" s="2"/>
    </row>
    <row r="109" spans="2:4" x14ac:dyDescent="0.55000000000000004">
      <c r="B109" s="17" t="s">
        <v>102</v>
      </c>
      <c r="C109" s="2"/>
    </row>
    <row r="110" spans="2:4" x14ac:dyDescent="0.55000000000000004">
      <c r="B110" s="15" t="s">
        <v>111</v>
      </c>
      <c r="C110" s="2"/>
    </row>
    <row r="111" spans="2:4" x14ac:dyDescent="0.55000000000000004">
      <c r="B111" s="15" t="s">
        <v>103</v>
      </c>
      <c r="C111" s="2"/>
    </row>
    <row r="112" spans="2:4" x14ac:dyDescent="0.55000000000000004">
      <c r="B112" s="15" t="s">
        <v>83</v>
      </c>
      <c r="C112" s="2"/>
    </row>
    <row r="113" spans="2:4" x14ac:dyDescent="0.55000000000000004">
      <c r="B113" s="15" t="s">
        <v>104</v>
      </c>
      <c r="C113" s="2"/>
    </row>
    <row r="114" spans="2:4" x14ac:dyDescent="0.55000000000000004">
      <c r="B114" s="15" t="s">
        <v>101</v>
      </c>
      <c r="C114" s="2"/>
    </row>
    <row r="115" spans="2:4" x14ac:dyDescent="0.55000000000000004">
      <c r="C115" s="2"/>
    </row>
    <row r="116" spans="2:4" x14ac:dyDescent="0.55000000000000004">
      <c r="B116" s="9" t="s">
        <v>115</v>
      </c>
      <c r="C116" s="16"/>
    </row>
    <row r="117" spans="2:4" x14ac:dyDescent="0.55000000000000004">
      <c r="B117" s="15"/>
      <c r="C117" s="16"/>
    </row>
    <row r="118" spans="2:4" x14ac:dyDescent="0.55000000000000004">
      <c r="B118" t="s">
        <v>87</v>
      </c>
      <c r="C118" s="11">
        <v>1.9E-2</v>
      </c>
    </row>
    <row r="119" spans="2:4" x14ac:dyDescent="0.55000000000000004">
      <c r="C119" s="11"/>
    </row>
    <row r="120" spans="2:4" x14ac:dyDescent="0.55000000000000004">
      <c r="B120" t="s">
        <v>90</v>
      </c>
      <c r="C120" s="8" t="s">
        <v>91</v>
      </c>
    </row>
    <row r="121" spans="2:4" x14ac:dyDescent="0.55000000000000004">
      <c r="B121" t="s">
        <v>88</v>
      </c>
      <c r="C121" s="8" t="s">
        <v>89</v>
      </c>
    </row>
    <row r="122" spans="2:4" x14ac:dyDescent="0.55000000000000004">
      <c r="B122" t="s">
        <v>92</v>
      </c>
      <c r="C122" s="8" t="s">
        <v>93</v>
      </c>
    </row>
    <row r="123" spans="2:4" x14ac:dyDescent="0.55000000000000004">
      <c r="B123" t="s">
        <v>94</v>
      </c>
      <c r="C123" s="8" t="s">
        <v>96</v>
      </c>
    </row>
    <row r="124" spans="2:4" x14ac:dyDescent="0.55000000000000004">
      <c r="B124" t="s">
        <v>95</v>
      </c>
      <c r="C124" s="8" t="s">
        <v>96</v>
      </c>
    </row>
    <row r="126" spans="2:4" x14ac:dyDescent="0.55000000000000004">
      <c r="B126" t="s">
        <v>148</v>
      </c>
      <c r="C126" s="2">
        <v>0.03</v>
      </c>
      <c r="D126" s="2">
        <v>0.04</v>
      </c>
    </row>
    <row r="127" spans="2:4" x14ac:dyDescent="0.55000000000000004">
      <c r="B127" t="s">
        <v>149</v>
      </c>
      <c r="C127" s="2">
        <v>0.1</v>
      </c>
      <c r="D127" s="2">
        <f>C127+4%</f>
        <v>0.14000000000000001</v>
      </c>
    </row>
    <row r="128" spans="2:4" x14ac:dyDescent="0.55000000000000004">
      <c r="B128" t="s">
        <v>150</v>
      </c>
      <c r="C128" s="2">
        <v>0.12</v>
      </c>
      <c r="D128" s="2">
        <f>C128+4%</f>
        <v>0.16</v>
      </c>
    </row>
    <row r="129" spans="2:4" x14ac:dyDescent="0.55000000000000004">
      <c r="B129" t="s">
        <v>1515</v>
      </c>
      <c r="C129" s="2">
        <v>0.13900000000000001</v>
      </c>
      <c r="D129" s="2">
        <f>C129+4%</f>
        <v>0.17900000000000002</v>
      </c>
    </row>
    <row r="130" spans="2:4" x14ac:dyDescent="0.55000000000000004">
      <c r="B130" t="s">
        <v>146</v>
      </c>
      <c r="C130" s="2">
        <v>0.21</v>
      </c>
      <c r="D130" s="2">
        <f>C130+4%</f>
        <v>0.25</v>
      </c>
    </row>
    <row r="131" spans="2:4" x14ac:dyDescent="0.55000000000000004">
      <c r="B131" t="s">
        <v>147</v>
      </c>
      <c r="C131" s="2">
        <v>0.27</v>
      </c>
      <c r="D131" s="2">
        <f>C131+4%</f>
        <v>0.31</v>
      </c>
    </row>
    <row r="132" spans="2:4" x14ac:dyDescent="0.55000000000000004">
      <c r="B132" t="s">
        <v>145</v>
      </c>
      <c r="C132" s="2">
        <v>0.27</v>
      </c>
      <c r="D132" s="2">
        <f>D86</f>
        <v>0.3867924528301887</v>
      </c>
    </row>
    <row r="133" spans="2:4" x14ac:dyDescent="0.55000000000000004">
      <c r="B133" t="s">
        <v>158</v>
      </c>
      <c r="C133" s="2">
        <v>0.42</v>
      </c>
      <c r="D133" s="2">
        <f>C133+4%</f>
        <v>0.45999999999999996</v>
      </c>
    </row>
    <row r="134" spans="2:4" x14ac:dyDescent="0.55000000000000004">
      <c r="B134" t="s">
        <v>155</v>
      </c>
      <c r="C134" s="2">
        <v>0.53</v>
      </c>
      <c r="D134" s="2">
        <f>C134</f>
        <v>0.53</v>
      </c>
    </row>
    <row r="135" spans="2:4" x14ac:dyDescent="0.55000000000000004">
      <c r="B135" t="s">
        <v>2214</v>
      </c>
      <c r="C135" s="2"/>
      <c r="D135" s="2">
        <v>0.6</v>
      </c>
    </row>
    <row r="136" spans="2:4" x14ac:dyDescent="0.55000000000000004">
      <c r="B136" t="s">
        <v>154</v>
      </c>
      <c r="C136" s="2">
        <v>0.65</v>
      </c>
      <c r="D136" s="2">
        <f>C136</f>
        <v>0.65</v>
      </c>
    </row>
    <row r="137" spans="2:4" x14ac:dyDescent="0.55000000000000004">
      <c r="B137" t="s">
        <v>151</v>
      </c>
      <c r="C137" s="2">
        <v>0.65</v>
      </c>
      <c r="D137" s="2">
        <f>C137</f>
        <v>0.65</v>
      </c>
    </row>
    <row r="138" spans="2:4" x14ac:dyDescent="0.55000000000000004">
      <c r="B138" t="s">
        <v>152</v>
      </c>
      <c r="C138" s="2">
        <v>0.66</v>
      </c>
      <c r="D138" s="2">
        <f>C138</f>
        <v>0.66</v>
      </c>
    </row>
    <row r="139" spans="2:4" x14ac:dyDescent="0.55000000000000004">
      <c r="B139" t="s">
        <v>157</v>
      </c>
      <c r="C139" s="2">
        <v>0.68</v>
      </c>
      <c r="D139" s="2">
        <f>C139</f>
        <v>0.68</v>
      </c>
    </row>
    <row r="140" spans="2:4" x14ac:dyDescent="0.55000000000000004">
      <c r="B140" t="s">
        <v>156</v>
      </c>
      <c r="C140" s="2">
        <v>0.83</v>
      </c>
      <c r="D140" s="2">
        <f>C140</f>
        <v>0.83</v>
      </c>
    </row>
    <row r="141" spans="2:4" x14ac:dyDescent="0.55000000000000004">
      <c r="C141" s="2"/>
    </row>
    <row r="142" spans="2:4" x14ac:dyDescent="0.55000000000000004">
      <c r="B142" s="15" t="s">
        <v>159</v>
      </c>
    </row>
    <row r="143" spans="2:4" x14ac:dyDescent="0.55000000000000004">
      <c r="B143" s="29" t="s">
        <v>153</v>
      </c>
    </row>
    <row r="145" spans="2:12" x14ac:dyDescent="0.55000000000000004">
      <c r="B145" s="18" t="s">
        <v>202</v>
      </c>
      <c r="E145" s="39" t="s">
        <v>211</v>
      </c>
      <c r="F145" s="39" t="s">
        <v>212</v>
      </c>
      <c r="H145" s="39" t="s">
        <v>210</v>
      </c>
      <c r="I145" s="39" t="s">
        <v>212</v>
      </c>
      <c r="J145" s="38">
        <v>5.2</v>
      </c>
    </row>
    <row r="146" spans="2:12" x14ac:dyDescent="0.55000000000000004">
      <c r="D146" s="18" t="s">
        <v>107</v>
      </c>
      <c r="F146" s="18" t="s">
        <v>206</v>
      </c>
      <c r="H146" s="18" t="s">
        <v>208</v>
      </c>
      <c r="I146" s="18" t="s">
        <v>208</v>
      </c>
      <c r="J146" s="18" t="s">
        <v>209</v>
      </c>
    </row>
    <row r="147" spans="2:12" x14ac:dyDescent="0.55000000000000004">
      <c r="B147" s="20" t="s">
        <v>145</v>
      </c>
      <c r="C147" s="21">
        <v>40057</v>
      </c>
      <c r="D147" s="20" t="s">
        <v>203</v>
      </c>
      <c r="E147" s="20"/>
      <c r="F147" s="20" t="s">
        <v>205</v>
      </c>
      <c r="H147" s="20" t="s">
        <v>207</v>
      </c>
      <c r="I147" s="20" t="s">
        <v>207</v>
      </c>
      <c r="J147" s="1"/>
    </row>
    <row r="148" spans="2:12" x14ac:dyDescent="0.55000000000000004">
      <c r="B148" t="s">
        <v>33</v>
      </c>
      <c r="C148">
        <v>1101.1500000000001</v>
      </c>
      <c r="D148">
        <v>1187.7</v>
      </c>
      <c r="E148">
        <f>Pagbank!D25</f>
        <v>122</v>
      </c>
      <c r="F148">
        <f>Pagbank!E25</f>
        <v>132</v>
      </c>
      <c r="H148" s="4">
        <f t="shared" ref="H148:I150" si="2">C148*1000/E148/12</f>
        <v>752.15163934426221</v>
      </c>
      <c r="I148" s="4">
        <f t="shared" si="2"/>
        <v>749.81060606060601</v>
      </c>
      <c r="J148" s="4">
        <f>I148/$J$145</f>
        <v>144.19434731934732</v>
      </c>
      <c r="L148" s="2">
        <f>I148/H148-1</f>
        <v>-3.1124485558485793E-3</v>
      </c>
    </row>
    <row r="149" spans="2:12" x14ac:dyDescent="0.55000000000000004">
      <c r="B149" t="s">
        <v>204</v>
      </c>
      <c r="C149">
        <v>637.1</v>
      </c>
      <c r="D149">
        <v>750.7</v>
      </c>
      <c r="E149">
        <f>Pagbank!D27</f>
        <v>132</v>
      </c>
      <c r="F149">
        <f>Pagbank!E27</f>
        <v>137</v>
      </c>
      <c r="H149" s="4">
        <f t="shared" si="2"/>
        <v>402.20959595959602</v>
      </c>
      <c r="I149" s="4">
        <f t="shared" si="2"/>
        <v>456.6301703163017</v>
      </c>
      <c r="J149" s="4">
        <f>I149/$J$145</f>
        <v>87.813494291596484</v>
      </c>
      <c r="L149" s="2">
        <f>I149/H149-1</f>
        <v>0.13530401786379187</v>
      </c>
    </row>
    <row r="150" spans="2:12" x14ac:dyDescent="0.55000000000000004">
      <c r="B150" t="s">
        <v>183</v>
      </c>
      <c r="C150">
        <v>18.8</v>
      </c>
      <c r="D150">
        <v>34.799999999999997</v>
      </c>
      <c r="E150">
        <f>Pagbank!D29</f>
        <v>5</v>
      </c>
      <c r="F150">
        <f>Pagbank!E29</f>
        <v>12</v>
      </c>
      <c r="H150" s="4">
        <f t="shared" si="2"/>
        <v>313.33333333333331</v>
      </c>
      <c r="I150" s="4">
        <f t="shared" si="2"/>
        <v>241.66666666666666</v>
      </c>
      <c r="J150" s="4">
        <f>I150/$J$145</f>
        <v>46.474358974358971</v>
      </c>
      <c r="L150" s="2">
        <f>I150/H150-1</f>
        <v>-0.22872340425531912</v>
      </c>
    </row>
    <row r="152" spans="2:12" x14ac:dyDescent="0.55000000000000004">
      <c r="B152" t="s">
        <v>230</v>
      </c>
    </row>
    <row r="154" spans="2:12" x14ac:dyDescent="0.55000000000000004">
      <c r="B154" s="9" t="s">
        <v>231</v>
      </c>
      <c r="C154" t="s">
        <v>2339</v>
      </c>
    </row>
    <row r="156" spans="2:12" x14ac:dyDescent="0.55000000000000004">
      <c r="B156" t="s">
        <v>237</v>
      </c>
      <c r="C156" s="2">
        <v>0.96</v>
      </c>
    </row>
    <row r="157" spans="2:12" x14ac:dyDescent="0.55000000000000004">
      <c r="B157" t="s">
        <v>148</v>
      </c>
      <c r="C157" s="2">
        <v>0.89</v>
      </c>
    </row>
    <row r="158" spans="2:12" x14ac:dyDescent="0.55000000000000004">
      <c r="B158" t="s">
        <v>147</v>
      </c>
      <c r="C158" s="2">
        <v>0.87</v>
      </c>
    </row>
    <row r="159" spans="2:12" x14ac:dyDescent="0.55000000000000004">
      <c r="B159" t="s">
        <v>149</v>
      </c>
      <c r="C159" s="2">
        <v>0.86</v>
      </c>
    </row>
    <row r="160" spans="2:12" x14ac:dyDescent="0.55000000000000004">
      <c r="B160" t="s">
        <v>238</v>
      </c>
      <c r="C160" s="2">
        <v>0.72</v>
      </c>
    </row>
    <row r="161" spans="2:3" x14ac:dyDescent="0.55000000000000004">
      <c r="B161" t="s">
        <v>145</v>
      </c>
      <c r="C161" s="2">
        <f>1-Acquirer!H24</f>
        <v>0.61448549363389682</v>
      </c>
    </row>
    <row r="162" spans="2:3" x14ac:dyDescent="0.55000000000000004">
      <c r="B162" t="s">
        <v>157</v>
      </c>
      <c r="C162" s="2">
        <v>0.54</v>
      </c>
    </row>
    <row r="163" spans="2:3" x14ac:dyDescent="0.55000000000000004">
      <c r="B163" t="s">
        <v>146</v>
      </c>
      <c r="C163" s="2">
        <v>0.41</v>
      </c>
    </row>
    <row r="164" spans="2:3" x14ac:dyDescent="0.55000000000000004">
      <c r="B164" t="s">
        <v>233</v>
      </c>
      <c r="C164" s="2">
        <v>0.39</v>
      </c>
    </row>
    <row r="165" spans="2:3" x14ac:dyDescent="0.55000000000000004">
      <c r="B165" t="s">
        <v>232</v>
      </c>
      <c r="C165" s="2">
        <v>0.34</v>
      </c>
    </row>
    <row r="166" spans="2:3" x14ac:dyDescent="0.55000000000000004">
      <c r="B166" t="s">
        <v>152</v>
      </c>
      <c r="C166" s="2">
        <v>0.28000000000000003</v>
      </c>
    </row>
    <row r="167" spans="2:3" x14ac:dyDescent="0.55000000000000004">
      <c r="B167" t="s">
        <v>234</v>
      </c>
      <c r="C167" s="2">
        <v>0.24</v>
      </c>
    </row>
    <row r="168" spans="2:3" x14ac:dyDescent="0.55000000000000004">
      <c r="B168" t="s">
        <v>151</v>
      </c>
      <c r="C168" s="2">
        <v>0.23</v>
      </c>
    </row>
    <row r="169" spans="2:3" x14ac:dyDescent="0.55000000000000004">
      <c r="B169" t="s">
        <v>236</v>
      </c>
      <c r="C169" s="2">
        <v>0.14000000000000001</v>
      </c>
    </row>
    <row r="170" spans="2:3" x14ac:dyDescent="0.55000000000000004">
      <c r="B170" s="1" t="s">
        <v>235</v>
      </c>
      <c r="C170" s="30">
        <v>0.09</v>
      </c>
    </row>
    <row r="171" spans="2:3" x14ac:dyDescent="0.55000000000000004">
      <c r="B171" s="15" t="s">
        <v>2338</v>
      </c>
    </row>
    <row r="180" spans="2:13" x14ac:dyDescent="0.55000000000000004">
      <c r="B180" s="18" t="s">
        <v>595</v>
      </c>
    </row>
    <row r="181" spans="2:13" x14ac:dyDescent="0.55000000000000004">
      <c r="B181" s="20"/>
      <c r="C181" s="20">
        <v>2020</v>
      </c>
      <c r="D181" s="20">
        <f t="shared" ref="D181:M181" si="3">C181+1</f>
        <v>2021</v>
      </c>
      <c r="E181" s="20">
        <f t="shared" si="3"/>
        <v>2022</v>
      </c>
      <c r="F181" s="20">
        <f t="shared" si="3"/>
        <v>2023</v>
      </c>
      <c r="G181" s="20">
        <f t="shared" si="3"/>
        <v>2024</v>
      </c>
      <c r="H181" s="20">
        <f t="shared" si="3"/>
        <v>2025</v>
      </c>
      <c r="I181" s="20">
        <f t="shared" si="3"/>
        <v>2026</v>
      </c>
      <c r="J181" s="20">
        <f t="shared" si="3"/>
        <v>2027</v>
      </c>
      <c r="K181" s="20">
        <f t="shared" si="3"/>
        <v>2028</v>
      </c>
      <c r="L181" s="20">
        <f t="shared" si="3"/>
        <v>2029</v>
      </c>
      <c r="M181" s="20">
        <f t="shared" si="3"/>
        <v>2030</v>
      </c>
    </row>
    <row r="182" spans="2:13" x14ac:dyDescent="0.55000000000000004"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</row>
    <row r="183" spans="2:13" x14ac:dyDescent="0.55000000000000004"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</row>
    <row r="184" spans="2:13" x14ac:dyDescent="0.55000000000000004">
      <c r="B184" t="s">
        <v>597</v>
      </c>
      <c r="C184" s="4">
        <f>Pagbank!E105</f>
        <v>612</v>
      </c>
      <c r="D184" s="4">
        <f>Pagbank!F105</f>
        <v>1907</v>
      </c>
      <c r="E184" s="4">
        <f>Pagbank!G105</f>
        <v>2721</v>
      </c>
      <c r="F184" s="4">
        <f>Pagbank!H105</f>
        <v>2529</v>
      </c>
      <c r="G184" s="4">
        <f>Pagbank!I105</f>
        <v>2723.25</v>
      </c>
      <c r="H184" s="4">
        <f>Pagbank!J105</f>
        <v>3493.1</v>
      </c>
      <c r="I184" s="4">
        <f>Pagbank!K105</f>
        <v>4370.9650000000001</v>
      </c>
      <c r="J184" s="4">
        <f>Pagbank!L105</f>
        <v>5305.5097499999993</v>
      </c>
      <c r="K184" s="4">
        <f>Pagbank!M105</f>
        <v>6305.2362124999991</v>
      </c>
      <c r="L184" s="4">
        <f>Pagbank!N105</f>
        <v>7379.9216443749983</v>
      </c>
      <c r="M184" s="4">
        <f>Pagbank!O105</f>
        <v>8540.8098910312474</v>
      </c>
    </row>
    <row r="185" spans="2:13" x14ac:dyDescent="0.55000000000000004">
      <c r="B185" t="s">
        <v>739</v>
      </c>
      <c r="C185" s="4">
        <f>Pagbank!E111</f>
        <v>23.5</v>
      </c>
      <c r="D185" s="4">
        <f>Pagbank!F111</f>
        <v>111.2</v>
      </c>
      <c r="E185" s="4">
        <f>Pagbank!G111</f>
        <v>865</v>
      </c>
      <c r="F185" s="4">
        <f>Pagbank!H111</f>
        <v>1356</v>
      </c>
      <c r="G185" s="4">
        <f>Pagbank!I111</f>
        <v>0</v>
      </c>
      <c r="H185" s="4">
        <f>Pagbank!J111</f>
        <v>0</v>
      </c>
      <c r="I185" s="4">
        <f>Pagbank!K111</f>
        <v>0</v>
      </c>
      <c r="J185" s="4">
        <f>Pagbank!L111</f>
        <v>0</v>
      </c>
      <c r="K185" s="4">
        <f>Pagbank!M111</f>
        <v>0</v>
      </c>
      <c r="L185" s="4">
        <f>Pagbank!N111</f>
        <v>0</v>
      </c>
      <c r="M185" s="4">
        <f>Pagbank!O111</f>
        <v>0</v>
      </c>
    </row>
    <row r="186" spans="2:13" x14ac:dyDescent="0.55000000000000004">
      <c r="B186" t="s">
        <v>116</v>
      </c>
      <c r="C186" s="4">
        <f>Pagbank!E114</f>
        <v>257.7</v>
      </c>
      <c r="D186" s="4">
        <f>Pagbank!F114</f>
        <v>726.09999999999991</v>
      </c>
      <c r="E186" s="4">
        <f>Pagbank!G114</f>
        <v>1113</v>
      </c>
      <c r="F186" s="4">
        <f>Pagbank!H114</f>
        <v>763</v>
      </c>
      <c r="G186" s="4">
        <f>Pagbank!I114</f>
        <v>0</v>
      </c>
      <c r="H186" s="4">
        <f>Pagbank!J114</f>
        <v>0</v>
      </c>
      <c r="I186" s="4">
        <f>Pagbank!K114</f>
        <v>0</v>
      </c>
      <c r="J186" s="4">
        <f>Pagbank!L114</f>
        <v>0</v>
      </c>
      <c r="K186" s="4">
        <f>Pagbank!M114</f>
        <v>0</v>
      </c>
      <c r="L186" s="4">
        <f>Pagbank!N114</f>
        <v>0</v>
      </c>
      <c r="M186" s="4">
        <f>Pagbank!O114</f>
        <v>0</v>
      </c>
    </row>
    <row r="187" spans="2:13" x14ac:dyDescent="0.55000000000000004">
      <c r="B187" t="s">
        <v>598</v>
      </c>
      <c r="C187" s="4">
        <f>C184/Pagbank!E$128</f>
        <v>107.36842105263158</v>
      </c>
      <c r="D187" s="4">
        <f>D184/Pagbank!F$128</f>
        <v>381.4</v>
      </c>
      <c r="E187" s="4">
        <f>E184/Pagbank!G$128</f>
        <v>544.20000000000005</v>
      </c>
      <c r="F187" s="4">
        <f>F184/Pagbank!H$128</f>
        <v>495.88235294117652</v>
      </c>
      <c r="G187" s="4">
        <f>G184/Pagbank!I$128</f>
        <v>523.50057670126876</v>
      </c>
      <c r="H187" s="4">
        <f>H184/Pagbank!J$128</f>
        <v>658.32522936125622</v>
      </c>
      <c r="I187" s="4">
        <f>I184/Pagbank!K$128</f>
        <v>807.61920451439653</v>
      </c>
      <c r="J187" s="4">
        <f>J184/Pagbank!L$128</f>
        <v>961.07272848560274</v>
      </c>
      <c r="K187" s="4">
        <f>K184/Pagbank!M$128</f>
        <v>1119.7738629248108</v>
      </c>
      <c r="L187" s="4">
        <f>L184/Pagbank!N$128</f>
        <v>1284.9331809767573</v>
      </c>
      <c r="M187" s="4">
        <f>M184/Pagbank!O$128</f>
        <v>1457.8998008320871</v>
      </c>
    </row>
    <row r="188" spans="2:13" x14ac:dyDescent="0.55000000000000004">
      <c r="B188" t="str">
        <f>B185</f>
        <v>Working capital / other</v>
      </c>
      <c r="C188" s="4">
        <f>C185/Pagbank!E$128</f>
        <v>4.1228070175438596</v>
      </c>
      <c r="D188" s="4">
        <f>D185/Pagbank!F$128</f>
        <v>22.240000000000002</v>
      </c>
      <c r="E188" s="4">
        <f>E185/Pagbank!G$128</f>
        <v>173</v>
      </c>
      <c r="F188" s="4">
        <f>F185/Pagbank!H$128</f>
        <v>265.88235294117646</v>
      </c>
      <c r="G188" s="4">
        <f>G185/Pagbank!I$128</f>
        <v>0</v>
      </c>
      <c r="H188" s="4">
        <f>H185/Pagbank!J$128</f>
        <v>0</v>
      </c>
      <c r="I188" s="4">
        <f>I185/Pagbank!K$128</f>
        <v>0</v>
      </c>
      <c r="J188" s="4">
        <f>J185/Pagbank!L$128</f>
        <v>0</v>
      </c>
      <c r="K188" s="4">
        <f>K185/Pagbank!M$128</f>
        <v>0</v>
      </c>
      <c r="L188" s="4">
        <f>L185/Pagbank!N$128</f>
        <v>0</v>
      </c>
      <c r="M188" s="4">
        <f>M185/Pagbank!O$128</f>
        <v>0</v>
      </c>
    </row>
    <row r="189" spans="2:13" x14ac:dyDescent="0.55000000000000004">
      <c r="C189" s="4">
        <f>C186/Pagbank!E$128</f>
        <v>45.210526315789473</v>
      </c>
      <c r="D189" s="4">
        <f>D186/Pagbank!F$128</f>
        <v>145.21999999999997</v>
      </c>
      <c r="E189" s="4">
        <f>E186/Pagbank!G$128</f>
        <v>222.6</v>
      </c>
      <c r="F189" s="4">
        <f>F186/Pagbank!H$128</f>
        <v>149.60784313725492</v>
      </c>
      <c r="G189" s="4">
        <f>G186/Pagbank!I$128</f>
        <v>0</v>
      </c>
      <c r="H189" s="4">
        <f>H186/Pagbank!J$128</f>
        <v>0</v>
      </c>
      <c r="I189" s="4">
        <f>I186/Pagbank!K$128</f>
        <v>0</v>
      </c>
      <c r="J189" s="4">
        <f>J186/Pagbank!L$128</f>
        <v>0</v>
      </c>
      <c r="K189" s="4">
        <f>K186/Pagbank!M$128</f>
        <v>0</v>
      </c>
      <c r="L189" s="4">
        <f>L186/Pagbank!N$128</f>
        <v>0</v>
      </c>
      <c r="M189" s="4">
        <f>M186/Pagbank!O$128</f>
        <v>0</v>
      </c>
    </row>
    <row r="190" spans="2:13" x14ac:dyDescent="0.55000000000000004">
      <c r="B190" t="s">
        <v>596</v>
      </c>
      <c r="C190" s="4">
        <v>200</v>
      </c>
      <c r="D190" s="4">
        <v>785.92803046218319</v>
      </c>
      <c r="E190" s="4">
        <v>1389.2662380234306</v>
      </c>
      <c r="F190" s="4">
        <v>2284.1093680000831</v>
      </c>
      <c r="G190" s="4">
        <v>3458.5570614927356</v>
      </c>
      <c r="H190" s="4">
        <v>5171.5017886009055</v>
      </c>
      <c r="I190" s="4">
        <v>6315.9166086543846</v>
      </c>
      <c r="J190" s="4">
        <v>7602.6419952972929</v>
      </c>
      <c r="K190" s="4">
        <v>9016.7061994496689</v>
      </c>
      <c r="L190" s="4">
        <v>9636.2008168989778</v>
      </c>
      <c r="M190" s="4">
        <v>10238.897389090356</v>
      </c>
    </row>
    <row r="192" spans="2:13" x14ac:dyDescent="0.55000000000000004">
      <c r="B192" t="s">
        <v>599</v>
      </c>
    </row>
    <row r="193" spans="2:9" x14ac:dyDescent="0.55000000000000004">
      <c r="B193" t="s">
        <v>596</v>
      </c>
      <c r="C193" s="4">
        <v>14506</v>
      </c>
    </row>
    <row r="194" spans="2:9" x14ac:dyDescent="0.55000000000000004">
      <c r="B194" t="s">
        <v>4</v>
      </c>
      <c r="C194" s="4">
        <f>(Quarts!Q159+Quarts!Q167)/5.38</f>
        <v>12609.553693998969</v>
      </c>
    </row>
    <row r="196" spans="2:9" x14ac:dyDescent="0.55000000000000004">
      <c r="B196" s="20" t="s">
        <v>180</v>
      </c>
      <c r="C196" s="21">
        <f>'CB data'!E30</f>
        <v>43525</v>
      </c>
      <c r="D196" s="21">
        <f>'CB data'!H30</f>
        <v>43617</v>
      </c>
      <c r="E196" s="21">
        <f>'CB data'!K30</f>
        <v>43709</v>
      </c>
      <c r="F196" s="21">
        <f>'CB data'!N30</f>
        <v>43800</v>
      </c>
      <c r="G196" s="21">
        <f>'CB data'!Q30</f>
        <v>43891</v>
      </c>
      <c r="H196" s="21">
        <f>'CB data'!T30</f>
        <v>43983</v>
      </c>
      <c r="I196" s="21">
        <f>'CB data'!X30</f>
        <v>44105</v>
      </c>
    </row>
    <row r="197" spans="2:9" x14ac:dyDescent="0.55000000000000004">
      <c r="B197" t="s">
        <v>609</v>
      </c>
      <c r="C197">
        <f>'CB data'!E8+'CB data'!E60</f>
        <v>244065</v>
      </c>
      <c r="D197">
        <f>'CB data'!H8+'CB data'!H60</f>
        <v>253811</v>
      </c>
      <c r="E197">
        <f>'CB data'!K8+'CB data'!K60</f>
        <v>268796</v>
      </c>
      <c r="F197">
        <f>'CB data'!N8+'CB data'!N60</f>
        <v>296144</v>
      </c>
      <c r="G197">
        <f>'CB data'!Q8+'CB data'!Q60</f>
        <v>277869</v>
      </c>
      <c r="H197">
        <f>'CB data'!T8+'CB data'!T60</f>
        <v>247353</v>
      </c>
      <c r="I197">
        <f>'CB data'!X8+'CB data'!X60</f>
        <v>274364</v>
      </c>
    </row>
    <row r="199" spans="2:9" x14ac:dyDescent="0.55000000000000004">
      <c r="B199" t="s">
        <v>608</v>
      </c>
      <c r="C199">
        <v>1003000</v>
      </c>
      <c r="D199" s="4">
        <v>1051000</v>
      </c>
      <c r="E199" s="4">
        <v>1101000</v>
      </c>
      <c r="F199" s="4">
        <v>1161000</v>
      </c>
      <c r="G199" s="4">
        <v>1201000</v>
      </c>
      <c r="H199" s="4">
        <v>1175000</v>
      </c>
      <c r="I199" s="4">
        <v>1188000</v>
      </c>
    </row>
    <row r="200" spans="2:9" x14ac:dyDescent="0.55000000000000004">
      <c r="B200" t="s">
        <v>610</v>
      </c>
      <c r="C200" s="2">
        <f t="shared" ref="C200:I200" si="4">C197/C199</f>
        <v>0.24333499501495515</v>
      </c>
      <c r="D200" s="2">
        <f t="shared" si="4"/>
        <v>0.24149476688867744</v>
      </c>
      <c r="E200" s="2">
        <f t="shared" si="4"/>
        <v>0.24413805631244323</v>
      </c>
      <c r="F200" s="2">
        <f t="shared" si="4"/>
        <v>0.25507665805340224</v>
      </c>
      <c r="G200" s="2">
        <f t="shared" si="4"/>
        <v>0.23136469608659452</v>
      </c>
      <c r="H200" s="2">
        <f t="shared" si="4"/>
        <v>0.21051319148936171</v>
      </c>
      <c r="I200" s="2">
        <f t="shared" si="4"/>
        <v>0.23094612794612795</v>
      </c>
    </row>
    <row r="203" spans="2:9" x14ac:dyDescent="0.55000000000000004">
      <c r="B203" s="20"/>
      <c r="C203" s="19" t="str">
        <f>Quarts!K4</f>
        <v>1Q19</v>
      </c>
      <c r="D203" s="19" t="str">
        <f>Quarts!L4</f>
        <v>2Q19</v>
      </c>
      <c r="E203" s="19" t="str">
        <f>Quarts!M4</f>
        <v>3Q19</v>
      </c>
      <c r="F203" s="19"/>
      <c r="G203" s="19" t="str">
        <f>Quarts!O4</f>
        <v>1Q 20</v>
      </c>
      <c r="H203" s="19" t="str">
        <f>Quarts!P4</f>
        <v>2Q 20</v>
      </c>
      <c r="I203" s="19" t="str">
        <f>Quarts!Q4</f>
        <v>3Q 20</v>
      </c>
    </row>
    <row r="204" spans="2:9" x14ac:dyDescent="0.55000000000000004">
      <c r="B204" t="s">
        <v>669</v>
      </c>
      <c r="C204" t="e">
        <f>Quarts!#REF!</f>
        <v>#REF!</v>
      </c>
      <c r="D204" t="e">
        <f>Quarts!#REF!</f>
        <v>#REF!</v>
      </c>
      <c r="E204" t="e">
        <f>Quarts!#REF!</f>
        <v>#REF!</v>
      </c>
      <c r="G204" t="e">
        <f>Quarts!#REF!</f>
        <v>#REF!</v>
      </c>
      <c r="H204" t="e">
        <f>Quarts!#REF!</f>
        <v>#REF!</v>
      </c>
      <c r="I204" t="e">
        <f>Quarts!#REF!</f>
        <v>#REF!</v>
      </c>
    </row>
    <row r="205" spans="2:9" x14ac:dyDescent="0.55000000000000004">
      <c r="B205" t="s">
        <v>670</v>
      </c>
      <c r="C205" s="2" t="e">
        <f>Quarts!#REF!</f>
        <v>#REF!</v>
      </c>
      <c r="D205" s="2" t="e">
        <f>Quarts!#REF!</f>
        <v>#REF!</v>
      </c>
      <c r="E205" s="2" t="e">
        <f>Quarts!#REF!</f>
        <v>#REF!</v>
      </c>
      <c r="F205" s="2"/>
      <c r="G205" s="2" t="e">
        <f>Quarts!#REF!</f>
        <v>#REF!</v>
      </c>
      <c r="H205" s="2" t="e">
        <f>Quarts!#REF!</f>
        <v>#REF!</v>
      </c>
      <c r="I205" s="2" t="e">
        <f>Quarts!#REF!</f>
        <v>#REF!</v>
      </c>
    </row>
    <row r="208" spans="2:9" x14ac:dyDescent="0.55000000000000004">
      <c r="B208" s="20"/>
      <c r="C208" s="19" t="s">
        <v>51</v>
      </c>
      <c r="D208" s="19" t="s">
        <v>704</v>
      </c>
      <c r="E208" s="19" t="s">
        <v>705</v>
      </c>
      <c r="F208" s="19" t="s">
        <v>1079</v>
      </c>
      <c r="G208" s="19" t="s">
        <v>1080</v>
      </c>
    </row>
    <row r="209" spans="2:7" x14ac:dyDescent="0.55000000000000004">
      <c r="B209" t="s">
        <v>694</v>
      </c>
      <c r="C209" s="13">
        <f>Quarts!O160/1000</f>
        <v>5.4960050000000011</v>
      </c>
      <c r="D209" s="13">
        <f>Quarts!P160/1000</f>
        <v>5.7949969999999995</v>
      </c>
      <c r="E209" s="13">
        <f>Quarts!Q160/1000</f>
        <v>6.2689469999999998</v>
      </c>
      <c r="F209" s="13">
        <f>Quarts!R160/1000</f>
        <v>7.0339470000000004</v>
      </c>
      <c r="G209" s="13">
        <f>Quarts!S160/1000</f>
        <v>7.3349470000000005</v>
      </c>
    </row>
    <row r="210" spans="2:7" x14ac:dyDescent="0.55000000000000004">
      <c r="B210" t="s">
        <v>693</v>
      </c>
      <c r="C210" s="31">
        <f>D210-1</f>
        <v>1.2999999999999998</v>
      </c>
      <c r="D210" s="31">
        <f>E210-1.3</f>
        <v>2.2999999999999998</v>
      </c>
      <c r="E210" s="31">
        <v>3.6</v>
      </c>
      <c r="F210" s="31">
        <v>4.8</v>
      </c>
    </row>
    <row r="211" spans="2:7" x14ac:dyDescent="0.55000000000000004">
      <c r="B211" t="s">
        <v>691</v>
      </c>
      <c r="C211" s="13">
        <f>D211/D210*C210</f>
        <v>1.6249999999999998</v>
      </c>
      <c r="D211" s="13">
        <f>E211/E210*D210</f>
        <v>2.875</v>
      </c>
      <c r="E211" s="31">
        <v>4.5</v>
      </c>
      <c r="F211" s="13">
        <f>E211/E210*F210</f>
        <v>6</v>
      </c>
    </row>
    <row r="212" spans="2:7" x14ac:dyDescent="0.55000000000000004">
      <c r="B212" t="s">
        <v>1163</v>
      </c>
      <c r="C212" s="2">
        <v>0.6732965009208105</v>
      </c>
      <c r="D212" s="2">
        <v>0.54735422986181337</v>
      </c>
      <c r="E212" s="2">
        <v>0.58052147239263807</v>
      </c>
      <c r="F212" s="2">
        <v>0.58370044052863435</v>
      </c>
    </row>
    <row r="213" spans="2:7" x14ac:dyDescent="0.55000000000000004">
      <c r="B213" t="s">
        <v>692</v>
      </c>
      <c r="C213" s="13">
        <f>C211*C212</f>
        <v>1.0941068139963168</v>
      </c>
      <c r="D213" s="13">
        <f>D211*D212</f>
        <v>1.5736434108527135</v>
      </c>
      <c r="E213" s="13">
        <f>E211*E212</f>
        <v>2.6123466257668713</v>
      </c>
      <c r="F213" s="13">
        <f>F211*F212</f>
        <v>3.5022026431718061</v>
      </c>
    </row>
    <row r="215" spans="2:7" x14ac:dyDescent="0.55000000000000004">
      <c r="B215" t="s">
        <v>690</v>
      </c>
      <c r="C215" s="13">
        <f>C209</f>
        <v>5.4960050000000011</v>
      </c>
      <c r="D215" s="13">
        <f>D209</f>
        <v>5.7949969999999995</v>
      </c>
      <c r="E215" s="13">
        <f>E209</f>
        <v>6.2689469999999998</v>
      </c>
      <c r="F215" s="13">
        <f>F209</f>
        <v>7.0339470000000004</v>
      </c>
    </row>
    <row r="216" spans="2:7" x14ac:dyDescent="0.55000000000000004">
      <c r="B216" t="s">
        <v>695</v>
      </c>
      <c r="C216" s="13">
        <f>C213</f>
        <v>1.0941068139963168</v>
      </c>
      <c r="D216" s="13">
        <f>D213</f>
        <v>1.5736434108527135</v>
      </c>
      <c r="E216" s="13">
        <f>E213</f>
        <v>2.6123466257668713</v>
      </c>
      <c r="F216" s="13">
        <f>F213</f>
        <v>3.5022026431718061</v>
      </c>
    </row>
    <row r="218" spans="2:7" x14ac:dyDescent="0.55000000000000004">
      <c r="B218" s="1"/>
      <c r="C218" s="1">
        <v>100</v>
      </c>
      <c r="D218" s="1">
        <v>100</v>
      </c>
      <c r="E218" s="1">
        <v>100</v>
      </c>
    </row>
    <row r="219" spans="2:7" x14ac:dyDescent="0.55000000000000004">
      <c r="B219" t="s">
        <v>702</v>
      </c>
      <c r="C219" s="2">
        <v>0.6732965009208105</v>
      </c>
      <c r="D219" s="2">
        <v>0.54735422986181337</v>
      </c>
      <c r="E219" s="2">
        <v>0.58052147239263807</v>
      </c>
    </row>
    <row r="220" spans="2:7" x14ac:dyDescent="0.55000000000000004">
      <c r="B220" t="str">
        <f>B219</f>
        <v>Assume Brazil Pago TPV as % Pago TPV</v>
      </c>
      <c r="C220" s="4">
        <f>C218*C219</f>
        <v>67.329650092081053</v>
      </c>
      <c r="D220" s="4">
        <f>D218*D219</f>
        <v>54.735422986181334</v>
      </c>
      <c r="E220" s="4">
        <f>E218*E219</f>
        <v>58.05214723926381</v>
      </c>
    </row>
    <row r="221" spans="2:7" x14ac:dyDescent="0.55000000000000004">
      <c r="B221" t="str">
        <f>B223</f>
        <v>Assume Brazil Pago TPV as total Brazil TPV</v>
      </c>
      <c r="C221" s="4">
        <f>C223*C220</f>
        <v>45.110865561694311</v>
      </c>
      <c r="D221" s="4">
        <f>D223*D220</f>
        <v>32.841253791708802</v>
      </c>
      <c r="E221" s="4">
        <f>E223*E220</f>
        <v>37.153374233128837</v>
      </c>
    </row>
    <row r="222" spans="2:7" x14ac:dyDescent="0.55000000000000004">
      <c r="B222" t="s">
        <v>698</v>
      </c>
      <c r="C222" s="4">
        <f>C220-C221</f>
        <v>22.218784530386742</v>
      </c>
      <c r="D222" s="4">
        <f>D220-D221</f>
        <v>21.894169194472532</v>
      </c>
      <c r="E222" s="4">
        <f>E220-E221</f>
        <v>20.898773006134974</v>
      </c>
    </row>
    <row r="223" spans="2:7" x14ac:dyDescent="0.55000000000000004">
      <c r="B223" t="s">
        <v>696</v>
      </c>
      <c r="C223" s="2">
        <v>0.67</v>
      </c>
      <c r="D223" s="2">
        <v>0.6</v>
      </c>
      <c r="E223" s="2">
        <v>0.64</v>
      </c>
    </row>
    <row r="224" spans="2:7" x14ac:dyDescent="0.55000000000000004">
      <c r="B224" t="s">
        <v>703</v>
      </c>
      <c r="C224" s="181">
        <f>C221/C222</f>
        <v>2.0303030303030312</v>
      </c>
      <c r="D224" s="181">
        <f>D221/D222</f>
        <v>1.5000000000000002</v>
      </c>
      <c r="E224" s="181">
        <f>E221/E222</f>
        <v>1.7777777777777775</v>
      </c>
    </row>
    <row r="226" spans="2:5" x14ac:dyDescent="0.55000000000000004">
      <c r="B226" t="s">
        <v>697</v>
      </c>
      <c r="C226" s="4">
        <f>C218-C220</f>
        <v>32.670349907918947</v>
      </c>
      <c r="D226" s="4">
        <f>D218-D220</f>
        <v>45.264577013818666</v>
      </c>
      <c r="E226" s="4">
        <f>E218-E220</f>
        <v>41.94785276073619</v>
      </c>
    </row>
    <row r="227" spans="2:5" x14ac:dyDescent="0.55000000000000004">
      <c r="B227" t="s">
        <v>699</v>
      </c>
      <c r="C227" s="31">
        <v>8</v>
      </c>
      <c r="D227" s="31">
        <v>14</v>
      </c>
      <c r="E227" s="31">
        <v>15</v>
      </c>
    </row>
    <row r="228" spans="2:5" x14ac:dyDescent="0.55000000000000004">
      <c r="B228" t="s">
        <v>700</v>
      </c>
      <c r="C228" s="4">
        <f>C226-C227</f>
        <v>24.670349907918947</v>
      </c>
      <c r="D228" s="4">
        <f>D226-D227</f>
        <v>31.264577013818666</v>
      </c>
      <c r="E228" s="4">
        <f>E226-E227</f>
        <v>26.94785276073619</v>
      </c>
    </row>
    <row r="230" spans="2:5" x14ac:dyDescent="0.55000000000000004">
      <c r="B230" t="s">
        <v>701</v>
      </c>
      <c r="C230" s="2">
        <f>(C221+C227)/(C222+C228)</f>
        <v>1.1326902532520591</v>
      </c>
      <c r="D230" s="2">
        <f>(D221+D227)/(D222+D228)</f>
        <v>0.88115798683760049</v>
      </c>
      <c r="E230" s="2">
        <f>(E221+E227)/(E222+E228)</f>
        <v>1.0900115399410182</v>
      </c>
    </row>
    <row r="232" spans="2:5" x14ac:dyDescent="0.55000000000000004">
      <c r="B232" s="9" t="s">
        <v>8</v>
      </c>
    </row>
    <row r="236" spans="2:5" x14ac:dyDescent="0.55000000000000004">
      <c r="B236" t="s">
        <v>728</v>
      </c>
    </row>
    <row r="238" spans="2:5" x14ac:dyDescent="0.55000000000000004">
      <c r="B238" t="s">
        <v>265</v>
      </c>
      <c r="C238" s="4">
        <f>19000/C241</f>
        <v>3584.9056603773588</v>
      </c>
    </row>
    <row r="239" spans="2:5" x14ac:dyDescent="0.55000000000000004">
      <c r="B239" t="s">
        <v>4</v>
      </c>
      <c r="C239" s="4">
        <f>2100/C241</f>
        <v>396.22641509433964</v>
      </c>
    </row>
    <row r="240" spans="2:5" x14ac:dyDescent="0.55000000000000004">
      <c r="B240" t="s">
        <v>729</v>
      </c>
      <c r="C240">
        <v>44</v>
      </c>
    </row>
    <row r="241" spans="2:14" x14ac:dyDescent="0.55000000000000004">
      <c r="C241">
        <v>5.3</v>
      </c>
    </row>
    <row r="242" spans="2:14" x14ac:dyDescent="0.55000000000000004">
      <c r="B242" s="20" t="s">
        <v>736</v>
      </c>
      <c r="C242" s="19" t="s">
        <v>731</v>
      </c>
      <c r="D242" s="19" t="s">
        <v>730</v>
      </c>
      <c r="E242" s="19" t="str">
        <f>C208</f>
        <v>Q1 20</v>
      </c>
      <c r="F242" s="19" t="str">
        <f>D208</f>
        <v>Q2 20</v>
      </c>
      <c r="G242" s="19" t="str">
        <f>E208</f>
        <v>Q3 20</v>
      </c>
    </row>
    <row r="243" spans="2:14" x14ac:dyDescent="0.55000000000000004">
      <c r="B243" t="s">
        <v>732</v>
      </c>
      <c r="C243">
        <v>7.6</v>
      </c>
      <c r="D243">
        <v>24.2</v>
      </c>
      <c r="E243">
        <v>30.9</v>
      </c>
      <c r="F243">
        <v>46.6</v>
      </c>
      <c r="G243" s="13">
        <v>73</v>
      </c>
    </row>
    <row r="244" spans="2:14" x14ac:dyDescent="0.55000000000000004">
      <c r="B244" t="s">
        <v>733</v>
      </c>
      <c r="C244">
        <v>95</v>
      </c>
      <c r="D244">
        <v>166</v>
      </c>
      <c r="E244">
        <v>332</v>
      </c>
      <c r="F244">
        <v>491</v>
      </c>
      <c r="G244">
        <v>1091</v>
      </c>
    </row>
    <row r="245" spans="2:14" x14ac:dyDescent="0.55000000000000004">
      <c r="B245" t="s">
        <v>734</v>
      </c>
      <c r="C245" s="4">
        <f>C244/(C243/1000)</f>
        <v>12500</v>
      </c>
      <c r="D245" s="4">
        <f>D244/(D243/1000)</f>
        <v>6859.5041322314055</v>
      </c>
      <c r="E245" s="4">
        <f>E244/(E243/1000)</f>
        <v>10744.336569579289</v>
      </c>
      <c r="F245" s="4">
        <f>F244/(F243/1000)</f>
        <v>10536.480686695279</v>
      </c>
      <c r="G245" s="4">
        <f>G244/(G243/1000)</f>
        <v>14945.205479452055</v>
      </c>
    </row>
    <row r="246" spans="2:14" x14ac:dyDescent="0.55000000000000004">
      <c r="B246" t="s">
        <v>735</v>
      </c>
      <c r="C246" s="4">
        <f>C245/$C$241</f>
        <v>2358.4905660377358</v>
      </c>
      <c r="D246" s="4">
        <f>D245/$C$241</f>
        <v>1294.246062685171</v>
      </c>
      <c r="E246" s="4">
        <f>E245/$C$241</f>
        <v>2027.2333150149602</v>
      </c>
      <c r="F246" s="4">
        <f>F245/$C$241</f>
        <v>1988.0152239047695</v>
      </c>
      <c r="G246" s="4">
        <f>G245/$C$241</f>
        <v>2819.8500904626521</v>
      </c>
    </row>
    <row r="251" spans="2:14" x14ac:dyDescent="0.55000000000000004">
      <c r="B251" s="20"/>
      <c r="C251" s="20">
        <f>Pagbank!D2</f>
        <v>2019</v>
      </c>
      <c r="D251" s="20">
        <f>Pagbank!E2</f>
        <v>2020</v>
      </c>
      <c r="E251" s="20">
        <f>Pagbank!F2</f>
        <v>2021</v>
      </c>
      <c r="F251" s="20">
        <f>Pagbank!G2</f>
        <v>2022</v>
      </c>
      <c r="G251" s="20">
        <f>Pagbank!H2</f>
        <v>2023</v>
      </c>
      <c r="H251" s="20">
        <f>Pagbank!I2</f>
        <v>2024</v>
      </c>
      <c r="I251" s="20">
        <f>Pagbank!J2</f>
        <v>2025</v>
      </c>
      <c r="J251" s="20">
        <f>Pagbank!K2</f>
        <v>2026</v>
      </c>
      <c r="K251" s="20">
        <f>Pagbank!L2</f>
        <v>2027</v>
      </c>
      <c r="L251" s="20">
        <f>Pagbank!M2</f>
        <v>2028</v>
      </c>
      <c r="M251" s="20">
        <f>Pagbank!N2</f>
        <v>2029</v>
      </c>
      <c r="N251" s="20">
        <f>Pagbank!O2</f>
        <v>2030</v>
      </c>
    </row>
    <row r="252" spans="2:14" x14ac:dyDescent="0.55000000000000004">
      <c r="B252" t="s">
        <v>741</v>
      </c>
      <c r="C252" s="2">
        <f>Pagbank!D38</f>
        <v>0.38364779874213834</v>
      </c>
      <c r="D252" s="2">
        <f>Pagbank!E38</f>
        <v>0.41730606174991614</v>
      </c>
      <c r="E252" s="2">
        <f>Pagbank!F38</f>
        <v>0.45131211152813011</v>
      </c>
      <c r="F252" s="2">
        <f>Pagbank!G38</f>
        <v>0.48566869869658336</v>
      </c>
      <c r="G252" s="2">
        <f>Pagbank!H38</f>
        <v>0.50431752561843302</v>
      </c>
      <c r="H252" s="2">
        <f>Pagbank!I38</f>
        <v>0.52315129517772951</v>
      </c>
      <c r="I252" s="2">
        <f>Pagbank!J38</f>
        <v>0.54217144876909873</v>
      </c>
      <c r="J252" s="2">
        <f>Pagbank!K38</f>
        <v>0.561379437896811</v>
      </c>
      <c r="K252" s="2">
        <f>Pagbank!L38</f>
        <v>0.58077672424159421</v>
      </c>
      <c r="L252" s="2">
        <f>Pagbank!M38</f>
        <v>0.60036477972786928</v>
      </c>
      <c r="M252" s="2">
        <f>Pagbank!N38</f>
        <v>0.62014508659141565</v>
      </c>
      <c r="N252" s="2">
        <f>Pagbank!O38</f>
        <v>0.64011913744746529</v>
      </c>
    </row>
    <row r="253" spans="2:14" x14ac:dyDescent="0.55000000000000004">
      <c r="B253" t="s">
        <v>742</v>
      </c>
      <c r="C253" s="12">
        <f>Pagbank!D5</f>
        <v>2.5409836065573813E-3</v>
      </c>
      <c r="D253" s="12">
        <f>Pagbank!E5</f>
        <v>3.9772727272727303E-3</v>
      </c>
      <c r="E253" s="12">
        <f>Pagbank!F5</f>
        <v>4.7535211267605683E-3</v>
      </c>
      <c r="F253" s="12">
        <f>Pagbank!G5</f>
        <v>4.7697368421052728E-3</v>
      </c>
      <c r="G253" s="12">
        <f>Pagbank!H5</f>
        <v>5.5414012738853567E-3</v>
      </c>
      <c r="H253" s="12">
        <f>Pagbank!I5</f>
        <v>5.3703703703703769E-3</v>
      </c>
      <c r="I253" s="12">
        <f>Pagbank!J5</f>
        <v>5.2095808383233596E-3</v>
      </c>
      <c r="J253" s="12">
        <f>Pagbank!K5</f>
        <v>5.0581395348837264E-3</v>
      </c>
      <c r="K253" s="12">
        <f>Pagbank!L5</f>
        <v>4.9152542372881414E-3</v>
      </c>
      <c r="L253" s="12">
        <f>Pagbank!M5</f>
        <v>4.780219780219786E-3</v>
      </c>
      <c r="M253" s="12">
        <f>Pagbank!N5</f>
        <v>4.6524064171123052E-3</v>
      </c>
      <c r="N253" s="12">
        <f>Pagbank!O5</f>
        <v>4.5312500000000049E-3</v>
      </c>
    </row>
    <row r="254" spans="2:14" x14ac:dyDescent="0.55000000000000004"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2:14" x14ac:dyDescent="0.55000000000000004">
      <c r="B255" t="s">
        <v>116</v>
      </c>
      <c r="C255">
        <f>Pagbank!D4</f>
        <v>0.3100000000000005</v>
      </c>
      <c r="D255">
        <f>Pagbank!E4</f>
        <v>0.52500000000000036</v>
      </c>
      <c r="E255">
        <f>Pagbank!F4</f>
        <v>0.67500000000000071</v>
      </c>
      <c r="F255">
        <f>Pagbank!G4</f>
        <v>0.72500000000000142</v>
      </c>
      <c r="G255">
        <f>Pagbank!H4</f>
        <v>0.87000000000000099</v>
      </c>
      <c r="H255">
        <f>Pagbank!I4</f>
        <v>0.87000000000000099</v>
      </c>
      <c r="I255">
        <f>Pagbank!J4</f>
        <v>0.87000000000000099</v>
      </c>
      <c r="J255">
        <f>Pagbank!K4</f>
        <v>0.87000000000000099</v>
      </c>
      <c r="K255">
        <f>Pagbank!L4</f>
        <v>0.87000000000000099</v>
      </c>
      <c r="L255">
        <f>Pagbank!M4</f>
        <v>0.87000000000000099</v>
      </c>
      <c r="M255">
        <f>Pagbank!N4</f>
        <v>0.87000000000000099</v>
      </c>
      <c r="N255">
        <f>Pagbank!O4</f>
        <v>0.87000000000000099</v>
      </c>
    </row>
    <row r="256" spans="2:14" x14ac:dyDescent="0.55000000000000004">
      <c r="B256" t="s">
        <v>740</v>
      </c>
      <c r="C256">
        <f>Pagbank!D9</f>
        <v>5.89</v>
      </c>
      <c r="D256">
        <f>Pagbank!E9</f>
        <v>9.9749999999999996</v>
      </c>
      <c r="E256">
        <f>Pagbank!F9</f>
        <v>12.824999999999999</v>
      </c>
      <c r="F256">
        <f>Pagbank!G9</f>
        <v>13.774999999999999</v>
      </c>
      <c r="G256">
        <f>Pagbank!H9</f>
        <v>13.629999999999999</v>
      </c>
      <c r="H256">
        <f>Pagbank!I9</f>
        <v>13.629999999999999</v>
      </c>
      <c r="I256">
        <f>Pagbank!J9</f>
        <v>13.629999999999999</v>
      </c>
      <c r="J256">
        <f>Pagbank!K9</f>
        <v>13.629999999999999</v>
      </c>
      <c r="K256">
        <f>Pagbank!L9</f>
        <v>13.629999999999999</v>
      </c>
      <c r="L256">
        <f>Pagbank!M9</f>
        <v>13.629999999999999</v>
      </c>
      <c r="M256">
        <f>Pagbank!N9</f>
        <v>13.629999999999999</v>
      </c>
      <c r="N256">
        <f>Pagbank!O9</f>
        <v>13.629999999999999</v>
      </c>
    </row>
    <row r="277" spans="2:14" x14ac:dyDescent="0.55000000000000004">
      <c r="C277">
        <f t="shared" ref="C277:N277" si="5">C251</f>
        <v>2019</v>
      </c>
      <c r="D277">
        <f t="shared" si="5"/>
        <v>2020</v>
      </c>
      <c r="E277">
        <f t="shared" si="5"/>
        <v>2021</v>
      </c>
      <c r="F277">
        <f t="shared" si="5"/>
        <v>2022</v>
      </c>
      <c r="G277">
        <f t="shared" si="5"/>
        <v>2023</v>
      </c>
      <c r="H277">
        <f t="shared" si="5"/>
        <v>2024</v>
      </c>
      <c r="I277">
        <f t="shared" si="5"/>
        <v>2025</v>
      </c>
      <c r="J277">
        <f t="shared" si="5"/>
        <v>2026</v>
      </c>
      <c r="K277">
        <f t="shared" si="5"/>
        <v>2027</v>
      </c>
      <c r="L277">
        <f t="shared" si="5"/>
        <v>2028</v>
      </c>
      <c r="M277">
        <f t="shared" si="5"/>
        <v>2029</v>
      </c>
      <c r="N277">
        <f t="shared" si="5"/>
        <v>2030</v>
      </c>
    </row>
    <row r="278" spans="2:14" x14ac:dyDescent="0.55000000000000004">
      <c r="B278" t="s">
        <v>744</v>
      </c>
      <c r="C278" s="7">
        <f>Pagbank!D57</f>
        <v>13206.777358109788</v>
      </c>
      <c r="D278" s="7">
        <f>Pagbank!E57</f>
        <v>23038.030930656932</v>
      </c>
      <c r="E278" s="7">
        <f>Pagbank!F57</f>
        <v>30619.94369274635</v>
      </c>
      <c r="F278" s="7">
        <f>Pagbank!G57</f>
        <v>33536.252698562959</v>
      </c>
      <c r="G278" s="7">
        <f>Pagbank!H57</f>
        <v>36038.88542678376</v>
      </c>
      <c r="H278" s="7">
        <f>Pagbank!I57</f>
        <v>37367.844222235406</v>
      </c>
      <c r="I278" s="7">
        <f>Pagbank!J57</f>
        <v>38678.99665108577</v>
      </c>
      <c r="J278" s="7">
        <f>Pagbank!K57</f>
        <v>39990.149079936142</v>
      </c>
      <c r="K278" s="7">
        <f>Pagbank!L57</f>
        <v>41301.301508786506</v>
      </c>
      <c r="L278" s="7">
        <f>Pagbank!M57</f>
        <v>42612.45393763687</v>
      </c>
      <c r="M278" s="7">
        <f>Pagbank!N57</f>
        <v>43923.606366487242</v>
      </c>
      <c r="N278" s="7">
        <f>Pagbank!O57</f>
        <v>45234.758795337606</v>
      </c>
    </row>
    <row r="279" spans="2:14" x14ac:dyDescent="0.55000000000000004">
      <c r="B279" t="s">
        <v>743</v>
      </c>
      <c r="C279" s="7">
        <f>Pagbank!D65</f>
        <v>7262.9226418902126</v>
      </c>
      <c r="D279" s="7">
        <f>Pagbank!E65</f>
        <v>47290.969069343068</v>
      </c>
      <c r="E279" s="7">
        <f>Pagbank!F65</f>
        <v>172145.05630725366</v>
      </c>
      <c r="F279" s="7">
        <f>Pagbank!G65</f>
        <v>343513.74730143702</v>
      </c>
      <c r="G279" s="7">
        <f>Pagbank!H65</f>
        <v>464699.36095162464</v>
      </c>
      <c r="H279" s="7">
        <f>Pagbank!I65</f>
        <v>566623.42078701418</v>
      </c>
      <c r="I279" s="7">
        <f>Pagbank!J65</f>
        <v>612401.94056027604</v>
      </c>
      <c r="J279" s="7">
        <f>Pagbank!K65</f>
        <v>661341.75375889626</v>
      </c>
      <c r="K279" s="7">
        <f>Pagbank!L65</f>
        <v>713644.54342597804</v>
      </c>
      <c r="L279" s="7">
        <f>Pagbank!M65</f>
        <v>769524.25767537067</v>
      </c>
      <c r="M279" s="7">
        <f>Pagbank!N65</f>
        <v>829207.83199113759</v>
      </c>
      <c r="N279" s="7">
        <f>Pagbank!O65</f>
        <v>892935.95309429278</v>
      </c>
    </row>
    <row r="281" spans="2:14" x14ac:dyDescent="0.55000000000000004">
      <c r="B281" t="s">
        <v>745</v>
      </c>
      <c r="C281" s="7">
        <f>Pagbank!D69</f>
        <v>605.24355349085101</v>
      </c>
      <c r="D281" s="7">
        <f>Pagbank!E69</f>
        <v>798.96889794463698</v>
      </c>
      <c r="E281" s="7">
        <f>Pagbank!F69</f>
        <v>1370.2761829150638</v>
      </c>
      <c r="F281" s="7">
        <f>Pagbank!G69</f>
        <v>1955.8053912105413</v>
      </c>
      <c r="G281" s="7">
        <f>Pagbank!H69</f>
        <v>2346.9664694526496</v>
      </c>
      <c r="H281" s="7">
        <f>Pagbank!I69</f>
        <v>2769.4204339541261</v>
      </c>
      <c r="I281" s="7">
        <f>Pagbank!J69</f>
        <v>2907.8914556518325</v>
      </c>
      <c r="J281" s="7">
        <f>Pagbank!K69</f>
        <v>3053.2860284344242</v>
      </c>
      <c r="K281" s="7">
        <f>Pagbank!L69</f>
        <v>3205.9503298561453</v>
      </c>
      <c r="L281" s="7">
        <f>Pagbank!M69</f>
        <v>3366.2478463489529</v>
      </c>
      <c r="M281" s="7">
        <f>Pagbank!N69</f>
        <v>3534.5602386664004</v>
      </c>
      <c r="N281" s="7">
        <f>Pagbank!O69</f>
        <v>3711.2882505997204</v>
      </c>
    </row>
    <row r="284" spans="2:14" x14ac:dyDescent="0.55000000000000004">
      <c r="B284" s="1"/>
      <c r="C284" s="1">
        <f t="shared" ref="C284:N284" si="6">C277</f>
        <v>2019</v>
      </c>
      <c r="D284" s="1">
        <f t="shared" si="6"/>
        <v>2020</v>
      </c>
      <c r="E284" s="1">
        <f t="shared" si="6"/>
        <v>2021</v>
      </c>
      <c r="F284" s="1">
        <f t="shared" si="6"/>
        <v>2022</v>
      </c>
      <c r="G284" s="1">
        <f t="shared" si="6"/>
        <v>2023</v>
      </c>
      <c r="H284" s="1">
        <f t="shared" si="6"/>
        <v>2024</v>
      </c>
      <c r="I284" s="1">
        <f t="shared" si="6"/>
        <v>2025</v>
      </c>
      <c r="J284" s="1">
        <f t="shared" si="6"/>
        <v>2026</v>
      </c>
      <c r="K284" s="1">
        <f t="shared" si="6"/>
        <v>2027</v>
      </c>
      <c r="L284" s="1">
        <f t="shared" si="6"/>
        <v>2028</v>
      </c>
      <c r="M284" s="1">
        <f t="shared" si="6"/>
        <v>2029</v>
      </c>
      <c r="N284" s="1">
        <f t="shared" si="6"/>
        <v>2030</v>
      </c>
    </row>
    <row r="285" spans="2:14" x14ac:dyDescent="0.55000000000000004">
      <c r="B285" t="str">
        <f>Pagbank!B123</f>
        <v>as % active Pagbank users</v>
      </c>
      <c r="C285" s="2">
        <f>Pagbank!D123</f>
        <v>0</v>
      </c>
      <c r="D285" s="2">
        <f>Pagbank!E123</f>
        <v>1.6783216783216783E-2</v>
      </c>
      <c r="E285" s="2">
        <f>Pagbank!F123</f>
        <v>0.02</v>
      </c>
      <c r="F285" s="2">
        <f>Pagbank!G123</f>
        <v>2.5000000000000001E-2</v>
      </c>
      <c r="G285" s="2">
        <f>Pagbank!H123</f>
        <v>3.1E-2</v>
      </c>
      <c r="H285" s="2">
        <f>Pagbank!I123</f>
        <v>3.5000000000000003E-2</v>
      </c>
      <c r="I285" s="2">
        <f>Pagbank!J123</f>
        <v>0.04</v>
      </c>
      <c r="J285" s="2">
        <f>Pagbank!K123</f>
        <v>4.4999999999999998E-2</v>
      </c>
      <c r="K285" s="2">
        <f>Pagbank!L123</f>
        <v>4.9999999999999996E-2</v>
      </c>
      <c r="L285" s="2">
        <f>Pagbank!M123</f>
        <v>5.2499999999999998E-2</v>
      </c>
      <c r="M285" s="2">
        <f>Pagbank!N123</f>
        <v>5.5E-2</v>
      </c>
      <c r="N285" s="2">
        <f>Pagbank!O123</f>
        <v>5.7500000000000002E-2</v>
      </c>
    </row>
    <row r="286" spans="2:14" x14ac:dyDescent="0.55000000000000004">
      <c r="B286" t="str">
        <f>Pagbank!B124</f>
        <v>as % active Merchants</v>
      </c>
      <c r="C286" s="2">
        <f>Pagbank!D124</f>
        <v>0</v>
      </c>
      <c r="D286" s="2">
        <f>Pagbank!E124</f>
        <v>2.5052192066805846E-2</v>
      </c>
      <c r="E286" s="2">
        <f>Pagbank!F124</f>
        <v>3.7171164354806767E-2</v>
      </c>
      <c r="F286" s="2">
        <f>Pagbank!G124</f>
        <v>5.2645261926426629E-2</v>
      </c>
      <c r="G286" s="2">
        <f>Pagbank!H124</f>
        <v>7.3352112676056347E-2</v>
      </c>
      <c r="H286" s="2">
        <f>Pagbank!I124</f>
        <v>9.3153846153846157E-2</v>
      </c>
      <c r="I286" s="2">
        <f>Pagbank!J124</f>
        <v>0.10787878787878789</v>
      </c>
      <c r="J286" s="2">
        <f>Pagbank!K124</f>
        <v>0.12110294117647059</v>
      </c>
      <c r="K286" s="2">
        <f>Pagbank!L124</f>
        <v>0.13428571428571429</v>
      </c>
      <c r="L286" s="2">
        <f>Pagbank!M124</f>
        <v>0.14072916666666666</v>
      </c>
      <c r="M286" s="2">
        <f>Pagbank!N124</f>
        <v>0.14716216216216216</v>
      </c>
      <c r="N286" s="2">
        <f>Pagbank!O124</f>
        <v>0.15358552631578951</v>
      </c>
    </row>
    <row r="307" spans="2:3" x14ac:dyDescent="0.55000000000000004">
      <c r="B307" s="1"/>
      <c r="C307" s="234" t="s">
        <v>705</v>
      </c>
    </row>
    <row r="308" spans="2:3" x14ac:dyDescent="0.55000000000000004">
      <c r="B308" t="s">
        <v>802</v>
      </c>
      <c r="C308" s="2">
        <v>1.0900000000000001</v>
      </c>
    </row>
    <row r="309" spans="2:3" x14ac:dyDescent="0.55000000000000004">
      <c r="B309" t="s">
        <v>803</v>
      </c>
      <c r="C309" s="2">
        <v>0.52</v>
      </c>
    </row>
    <row r="310" spans="2:3" x14ac:dyDescent="0.55000000000000004">
      <c r="B310" t="s">
        <v>3</v>
      </c>
      <c r="C310" s="2">
        <v>0.39</v>
      </c>
    </row>
    <row r="311" spans="2:3" x14ac:dyDescent="0.55000000000000004">
      <c r="B311" t="s">
        <v>804</v>
      </c>
      <c r="C311" s="2">
        <v>0.25</v>
      </c>
    </row>
    <row r="312" spans="2:3" x14ac:dyDescent="0.55000000000000004">
      <c r="B312" t="s">
        <v>801</v>
      </c>
      <c r="C312" s="2">
        <v>0.25</v>
      </c>
    </row>
    <row r="313" spans="2:3" x14ac:dyDescent="0.55000000000000004">
      <c r="B313" t="s">
        <v>4</v>
      </c>
      <c r="C313" s="2">
        <f>Quarts!AS9</f>
        <v>0.21771252979260836</v>
      </c>
    </row>
    <row r="315" spans="2:3" x14ac:dyDescent="0.55000000000000004">
      <c r="B315" t="s">
        <v>805</v>
      </c>
    </row>
    <row r="326" spans="2:5" x14ac:dyDescent="0.55000000000000004">
      <c r="B326" t="s">
        <v>831</v>
      </c>
    </row>
    <row r="327" spans="2:5" x14ac:dyDescent="0.55000000000000004">
      <c r="C327" t="s">
        <v>833</v>
      </c>
    </row>
    <row r="328" spans="2:5" x14ac:dyDescent="0.55000000000000004">
      <c r="C328" t="s">
        <v>832</v>
      </c>
    </row>
    <row r="329" spans="2:5" x14ac:dyDescent="0.55000000000000004">
      <c r="C329" t="s">
        <v>834</v>
      </c>
    </row>
    <row r="330" spans="2:5" x14ac:dyDescent="0.55000000000000004">
      <c r="B330" t="s">
        <v>835</v>
      </c>
    </row>
    <row r="331" spans="2:5" x14ac:dyDescent="0.55000000000000004">
      <c r="C331" s="238">
        <v>2019</v>
      </c>
      <c r="D331" t="s">
        <v>836</v>
      </c>
    </row>
    <row r="333" spans="2:5" x14ac:dyDescent="0.55000000000000004">
      <c r="B333" s="23" t="s">
        <v>862</v>
      </c>
      <c r="C333" s="239" t="s">
        <v>854</v>
      </c>
      <c r="D333" s="239" t="s">
        <v>855</v>
      </c>
    </row>
    <row r="335" spans="2:5" x14ac:dyDescent="0.55000000000000004">
      <c r="B335" t="s">
        <v>858</v>
      </c>
      <c r="D335" s="4">
        <f>Quarts!O9+Quarts!P9+Quarts!Q9</f>
        <v>4726.2125498199994</v>
      </c>
      <c r="E335" s="4" t="e">
        <f>D335+D340+D344</f>
        <v>#REF!</v>
      </c>
    </row>
    <row r="336" spans="2:5" x14ac:dyDescent="0.55000000000000004">
      <c r="B336" t="s">
        <v>857</v>
      </c>
      <c r="D336" s="4">
        <f>Quarts!O110+Quarts!P110+Quarts!Q110</f>
        <v>1004.3805616921159</v>
      </c>
    </row>
    <row r="337" spans="2:5" x14ac:dyDescent="0.55000000000000004">
      <c r="B337" t="s">
        <v>859</v>
      </c>
      <c r="D337" s="12">
        <f>D336/D335</f>
        <v>0.21251277870064653</v>
      </c>
    </row>
    <row r="338" spans="2:5" x14ac:dyDescent="0.55000000000000004">
      <c r="D338" s="12"/>
    </row>
    <row r="339" spans="2:5" x14ac:dyDescent="0.55000000000000004">
      <c r="B339" t="s">
        <v>856</v>
      </c>
    </row>
    <row r="340" spans="2:5" x14ac:dyDescent="0.55000000000000004">
      <c r="B340" t="s">
        <v>294</v>
      </c>
      <c r="D340" s="4" t="e">
        <f>-(D335-D347)-D344</f>
        <v>#REF!</v>
      </c>
      <c r="E340" s="2" t="e">
        <f>D340/D335</f>
        <v>#REF!</v>
      </c>
    </row>
    <row r="341" spans="2:5" x14ac:dyDescent="0.55000000000000004">
      <c r="B341" t="s">
        <v>323</v>
      </c>
      <c r="D341" s="31">
        <v>-238</v>
      </c>
    </row>
    <row r="343" spans="2:5" x14ac:dyDescent="0.55000000000000004">
      <c r="B343" t="s">
        <v>392</v>
      </c>
    </row>
    <row r="344" spans="2:5" x14ac:dyDescent="0.55000000000000004">
      <c r="B344" t="s">
        <v>294</v>
      </c>
      <c r="D344" s="4" t="e">
        <f>Quarts!#REF!+Quarts!#REF!+Quarts!#REF!</f>
        <v>#REF!</v>
      </c>
    </row>
    <row r="345" spans="2:5" x14ac:dyDescent="0.55000000000000004">
      <c r="B345" t="s">
        <v>323</v>
      </c>
      <c r="D345" s="31">
        <v>-141</v>
      </c>
    </row>
    <row r="347" spans="2:5" x14ac:dyDescent="0.55000000000000004">
      <c r="B347" t="s">
        <v>860</v>
      </c>
      <c r="D347" s="4">
        <f>D348/D349</f>
        <v>4721.4353641369144</v>
      </c>
    </row>
    <row r="348" spans="2:5" x14ac:dyDescent="0.55000000000000004">
      <c r="B348" t="s">
        <v>861</v>
      </c>
      <c r="D348" s="4">
        <f>D336-D341-D345</f>
        <v>1383.3805616921159</v>
      </c>
    </row>
    <row r="349" spans="2:5" x14ac:dyDescent="0.55000000000000004">
      <c r="B349" t="s">
        <v>859</v>
      </c>
      <c r="D349" s="46">
        <v>0.29299999999999998</v>
      </c>
    </row>
    <row r="351" spans="2:5" x14ac:dyDescent="0.55000000000000004">
      <c r="B351" s="23" t="s">
        <v>1806</v>
      </c>
    </row>
    <row r="353" spans="2:6" x14ac:dyDescent="0.55000000000000004">
      <c r="B353" s="183" t="s">
        <v>1739</v>
      </c>
      <c r="C353" s="183">
        <v>2022</v>
      </c>
      <c r="D353" s="183">
        <f>C353+1</f>
        <v>2023</v>
      </c>
      <c r="E353" s="183">
        <f>D353+1</f>
        <v>2024</v>
      </c>
      <c r="F353" s="183">
        <f>E353+1</f>
        <v>2025</v>
      </c>
    </row>
    <row r="354" spans="2:6" x14ac:dyDescent="0.55000000000000004">
      <c r="B354" s="185" t="s">
        <v>683</v>
      </c>
      <c r="C354" s="186">
        <f>Acquirer!K83</f>
        <v>354</v>
      </c>
      <c r="D354" s="186">
        <f>Acquirer!L83</f>
        <v>394.6</v>
      </c>
      <c r="E354" s="186">
        <f>Acquirer!M83</f>
        <v>457.82619834710738</v>
      </c>
      <c r="F354" s="186">
        <f>Acquirer!N83</f>
        <v>522.17537685950413</v>
      </c>
    </row>
    <row r="355" spans="2:6" x14ac:dyDescent="0.55000000000000004">
      <c r="B355" s="136" t="s">
        <v>1828</v>
      </c>
      <c r="C355" s="138">
        <f>Master!J12</f>
        <v>15334.8</v>
      </c>
      <c r="D355" s="138">
        <f>Master!K12</f>
        <v>15949</v>
      </c>
      <c r="E355" s="138">
        <f>Master!L12</f>
        <v>17433.882583367609</v>
      </c>
      <c r="F355" s="138">
        <f>Master!M12</f>
        <v>19159.259496036688</v>
      </c>
    </row>
    <row r="356" spans="2:6" x14ac:dyDescent="0.55000000000000004">
      <c r="B356" s="185" t="s">
        <v>1829</v>
      </c>
      <c r="C356" s="186">
        <f>Master!J26</f>
        <v>9949.7999999999993</v>
      </c>
      <c r="D356" s="186">
        <f>Master!K26</f>
        <v>10175</v>
      </c>
      <c r="E356" s="186">
        <f>Master!L26</f>
        <v>10835.624552523543</v>
      </c>
      <c r="F356" s="186">
        <f>Master!M26</f>
        <v>11751.109282259747</v>
      </c>
    </row>
    <row r="357" spans="2:6" x14ac:dyDescent="0.55000000000000004">
      <c r="B357" s="136" t="s">
        <v>679</v>
      </c>
      <c r="C357" s="399">
        <f>Master!J33</f>
        <v>2.7103107344632768E-2</v>
      </c>
      <c r="D357" s="399">
        <f>Master!K33</f>
        <v>2.4643943233654333E-2</v>
      </c>
      <c r="E357" s="399">
        <f>Master!L33</f>
        <v>2.2755086078811694E-2</v>
      </c>
      <c r="F357" s="399">
        <f>Master!M33</f>
        <v>2.1736757007815924E-2</v>
      </c>
    </row>
    <row r="358" spans="2:6" x14ac:dyDescent="0.55000000000000004">
      <c r="B358" s="185" t="s">
        <v>1830</v>
      </c>
      <c r="C358" s="186">
        <f>Master!J103</f>
        <v>1597.8999999999994</v>
      </c>
      <c r="D358" s="186">
        <f>Master!K103</f>
        <v>1740.6199999999994</v>
      </c>
      <c r="E358" s="186">
        <f>Master!L103</f>
        <v>2167.4068836829047</v>
      </c>
      <c r="F358" s="186">
        <f>Master!M103</f>
        <v>2717.7870420817958</v>
      </c>
    </row>
    <row r="359" spans="2:6" x14ac:dyDescent="0.55000000000000004">
      <c r="B359" s="136"/>
      <c r="C359" s="138"/>
      <c r="D359" s="138"/>
      <c r="E359" s="138"/>
      <c r="F359" s="138"/>
    </row>
    <row r="360" spans="2:6" outlineLevel="1" x14ac:dyDescent="0.55000000000000004">
      <c r="B360" s="400" t="s">
        <v>1804</v>
      </c>
      <c r="C360" s="186"/>
      <c r="D360" s="186"/>
      <c r="E360" s="186"/>
      <c r="F360" s="186"/>
    </row>
    <row r="361" spans="2:6" outlineLevel="1" x14ac:dyDescent="0.55000000000000004">
      <c r="B361" s="136" t="str">
        <f>B354</f>
        <v>TPV, BRL billion</v>
      </c>
      <c r="C361" s="138">
        <v>333.60888120729237</v>
      </c>
      <c r="D361" s="138">
        <v>420.00163117662612</v>
      </c>
      <c r="E361" s="138">
        <v>509.57401943167025</v>
      </c>
      <c r="F361" s="138">
        <v>609.75070300449431</v>
      </c>
    </row>
    <row r="362" spans="2:6" outlineLevel="1" x14ac:dyDescent="0.55000000000000004">
      <c r="B362" s="185" t="str">
        <f>B355</f>
        <v>Revenue, BRL m</v>
      </c>
      <c r="C362" s="186">
        <v>13846.072795710565</v>
      </c>
      <c r="D362" s="186">
        <v>17827.365463470742</v>
      </c>
      <c r="E362" s="186">
        <v>21492.545085480386</v>
      </c>
      <c r="F362" s="186">
        <v>24997.934974187909</v>
      </c>
    </row>
    <row r="363" spans="2:6" outlineLevel="1" x14ac:dyDescent="0.55000000000000004">
      <c r="B363" s="136" t="str">
        <f>B356</f>
        <v>Revenue ex ITC, BRL m</v>
      </c>
      <c r="C363" s="138">
        <v>8977.955888710052</v>
      </c>
      <c r="D363" s="138">
        <v>11393.079757685511</v>
      </c>
      <c r="E363" s="138">
        <v>13731.221040237375</v>
      </c>
      <c r="F363" s="138">
        <v>15845.924586026635</v>
      </c>
    </row>
    <row r="364" spans="2:6" outlineLevel="1" x14ac:dyDescent="0.55000000000000004">
      <c r="B364" s="185" t="s">
        <v>679</v>
      </c>
      <c r="C364" s="401">
        <v>2.4735320594340048E-2</v>
      </c>
      <c r="D364" s="401">
        <v>2.533956220303997E-2</v>
      </c>
      <c r="E364" s="401">
        <v>2.5393842174169925E-2</v>
      </c>
      <c r="F364" s="401">
        <v>2.4577818609624633E-2</v>
      </c>
    </row>
    <row r="365" spans="2:6" outlineLevel="1" x14ac:dyDescent="0.55000000000000004">
      <c r="B365" s="136" t="str">
        <f>B358</f>
        <v>Net income, non GAAP, BRL m</v>
      </c>
      <c r="C365" s="138">
        <v>1616.185512315674</v>
      </c>
      <c r="D365" s="138">
        <v>2578.1712772399583</v>
      </c>
      <c r="E365" s="138">
        <v>3911.2871349710213</v>
      </c>
      <c r="F365" s="138">
        <v>4990.2639577752743</v>
      </c>
    </row>
    <row r="366" spans="2:6" x14ac:dyDescent="0.55000000000000004">
      <c r="B366" s="185"/>
      <c r="C366" s="185"/>
      <c r="D366" s="185"/>
      <c r="E366" s="185"/>
      <c r="F366" s="185"/>
    </row>
    <row r="367" spans="2:6" x14ac:dyDescent="0.55000000000000004">
      <c r="B367" s="129" t="s">
        <v>7</v>
      </c>
      <c r="C367" s="136"/>
      <c r="D367" s="136"/>
      <c r="E367" s="136"/>
      <c r="F367" s="136"/>
    </row>
    <row r="368" spans="2:6" x14ac:dyDescent="0.55000000000000004">
      <c r="B368" s="185" t="str">
        <f>B361</f>
        <v>TPV, BRL billion</v>
      </c>
      <c r="C368" s="188">
        <f t="shared" ref="C368:F372" si="7">C354/C361-1</f>
        <v>6.1122829580898763E-2</v>
      </c>
      <c r="D368" s="188">
        <f t="shared" si="7"/>
        <v>-6.0479839341251895E-2</v>
      </c>
      <c r="E368" s="188">
        <f t="shared" si="7"/>
        <v>-0.10155113705027075</v>
      </c>
      <c r="F368" s="188">
        <f t="shared" si="7"/>
        <v>-0.14362480553686985</v>
      </c>
    </row>
    <row r="369" spans="2:7" x14ac:dyDescent="0.55000000000000004">
      <c r="B369" s="136" t="str">
        <f>B362</f>
        <v>Revenue, BRL m</v>
      </c>
      <c r="C369" s="190">
        <f t="shared" si="7"/>
        <v>0.10751981635909313</v>
      </c>
      <c r="D369" s="190">
        <f t="shared" si="7"/>
        <v>-0.10536416428549789</v>
      </c>
      <c r="E369" s="190">
        <f t="shared" si="7"/>
        <v>-0.1888404786855451</v>
      </c>
      <c r="F369" s="190">
        <f t="shared" si="7"/>
        <v>-0.23356631194456889</v>
      </c>
    </row>
    <row r="370" spans="2:7" x14ac:dyDescent="0.55000000000000004">
      <c r="B370" s="185" t="str">
        <f>B363</f>
        <v>Revenue ex ITC, BRL m</v>
      </c>
      <c r="C370" s="188">
        <f t="shared" si="7"/>
        <v>0.10824781535316519</v>
      </c>
      <c r="D370" s="188">
        <f t="shared" si="7"/>
        <v>-0.10691400249908922</v>
      </c>
      <c r="E370" s="188">
        <f t="shared" si="7"/>
        <v>-0.21087683893724396</v>
      </c>
      <c r="F370" s="188">
        <f t="shared" si="7"/>
        <v>-0.25841441321624148</v>
      </c>
    </row>
    <row r="371" spans="2:7" x14ac:dyDescent="0.55000000000000004">
      <c r="B371" s="136" t="str">
        <f>B364</f>
        <v>Take-rate</v>
      </c>
      <c r="C371" s="190">
        <f t="shared" si="7"/>
        <v>9.5724926679726208E-2</v>
      </c>
      <c r="D371" s="190">
        <f t="shared" si="7"/>
        <v>-2.7451893754588341E-2</v>
      </c>
      <c r="E371" s="190">
        <f t="shared" si="7"/>
        <v>-0.10391322735880892</v>
      </c>
      <c r="F371" s="190">
        <f t="shared" si="7"/>
        <v>-0.11559453859327262</v>
      </c>
    </row>
    <row r="372" spans="2:7" x14ac:dyDescent="0.55000000000000004">
      <c r="B372" s="185" t="str">
        <f>B365</f>
        <v>Net income, non GAAP, BRL m</v>
      </c>
      <c r="C372" s="188">
        <f t="shared" si="7"/>
        <v>-1.1313993459497795E-2</v>
      </c>
      <c r="D372" s="188">
        <f t="shared" si="7"/>
        <v>-0.32486254293259875</v>
      </c>
      <c r="E372" s="188">
        <f t="shared" si="7"/>
        <v>-0.44585840699241763</v>
      </c>
      <c r="F372" s="188">
        <f t="shared" si="7"/>
        <v>-0.45538210702316817</v>
      </c>
    </row>
    <row r="374" spans="2:7" x14ac:dyDescent="0.55000000000000004">
      <c r="B374" s="1" t="s">
        <v>1078</v>
      </c>
      <c r="C374" s="234" t="s">
        <v>704</v>
      </c>
      <c r="D374" s="234" t="s">
        <v>705</v>
      </c>
      <c r="E374" s="234" t="s">
        <v>1079</v>
      </c>
      <c r="F374" s="234" t="s">
        <v>1080</v>
      </c>
      <c r="G374" s="234" t="s">
        <v>1081</v>
      </c>
    </row>
    <row r="375" spans="2:7" ht="14.7" thickBot="1" x14ac:dyDescent="0.6"/>
    <row r="376" spans="2:7" ht="14.7" thickBot="1" x14ac:dyDescent="0.6">
      <c r="B376" s="18"/>
      <c r="C376" s="679" t="s">
        <v>4</v>
      </c>
      <c r="D376" s="680"/>
      <c r="E376" s="18"/>
      <c r="F376" s="679" t="s">
        <v>1412</v>
      </c>
      <c r="G376" s="680"/>
    </row>
    <row r="377" spans="2:7" x14ac:dyDescent="0.55000000000000004">
      <c r="B377" s="297">
        <v>2020</v>
      </c>
      <c r="C377" s="19" t="s">
        <v>1405</v>
      </c>
      <c r="D377" s="19" t="s">
        <v>1419</v>
      </c>
      <c r="F377" s="19" t="s">
        <v>1405</v>
      </c>
      <c r="G377" s="19" t="s">
        <v>1419</v>
      </c>
    </row>
    <row r="378" spans="2:7" x14ac:dyDescent="0.55000000000000004">
      <c r="B378" s="173" t="s">
        <v>1404</v>
      </c>
      <c r="C378" s="174">
        <v>2193</v>
      </c>
      <c r="D378" s="174">
        <f>C378</f>
        <v>2193</v>
      </c>
      <c r="E378" s="174"/>
      <c r="F378" s="174">
        <v>1647</v>
      </c>
      <c r="G378" s="174">
        <f>F378</f>
        <v>1647</v>
      </c>
    </row>
    <row r="379" spans="2:7" x14ac:dyDescent="0.55000000000000004">
      <c r="B379" s="10" t="s">
        <v>1420</v>
      </c>
      <c r="C379" s="7">
        <f>C378</f>
        <v>2193</v>
      </c>
      <c r="D379" s="7">
        <f>D378</f>
        <v>2193</v>
      </c>
      <c r="E379" s="7"/>
      <c r="F379" s="7">
        <f>F378-F380</f>
        <v>1289</v>
      </c>
      <c r="G379" s="7">
        <f>F379</f>
        <v>1289</v>
      </c>
    </row>
    <row r="380" spans="2:7" x14ac:dyDescent="0.55000000000000004">
      <c r="B380" s="304" t="s">
        <v>241</v>
      </c>
      <c r="C380" s="174">
        <v>0</v>
      </c>
      <c r="D380" s="174">
        <v>0</v>
      </c>
      <c r="E380" s="174"/>
      <c r="F380" s="174">
        <v>358</v>
      </c>
      <c r="G380" s="174">
        <f>F380</f>
        <v>358</v>
      </c>
    </row>
    <row r="381" spans="2:7" x14ac:dyDescent="0.55000000000000004">
      <c r="B381" t="s">
        <v>470</v>
      </c>
      <c r="C381" s="7">
        <f>Master!H10</f>
        <v>2177.4</v>
      </c>
      <c r="D381" s="7">
        <f>D378-D392</f>
        <v>2091.0255000000002</v>
      </c>
      <c r="E381" s="7"/>
      <c r="F381" s="7">
        <v>1647</v>
      </c>
      <c r="G381" s="7">
        <f>G378-G392</f>
        <v>1626.9034924418961</v>
      </c>
    </row>
    <row r="382" spans="2:7" x14ac:dyDescent="0.55000000000000004">
      <c r="B382" s="173"/>
      <c r="C382" s="174"/>
      <c r="D382" s="174"/>
      <c r="E382" s="174"/>
      <c r="F382" s="174"/>
      <c r="G382" s="174"/>
    </row>
    <row r="383" spans="2:7" x14ac:dyDescent="0.55000000000000004">
      <c r="B383" t="s">
        <v>1415</v>
      </c>
      <c r="C383" s="7"/>
      <c r="D383" s="7"/>
      <c r="E383" s="7"/>
      <c r="F383" s="7"/>
      <c r="G383" s="7">
        <v>4374</v>
      </c>
    </row>
    <row r="384" spans="2:7" x14ac:dyDescent="0.55000000000000004">
      <c r="B384" s="173" t="s">
        <v>868</v>
      </c>
      <c r="C384" s="174"/>
      <c r="D384" s="174"/>
      <c r="E384" s="174"/>
      <c r="F384" s="174"/>
      <c r="G384" s="174">
        <v>16307</v>
      </c>
    </row>
    <row r="385" spans="2:7" x14ac:dyDescent="0.55000000000000004">
      <c r="B385" s="10" t="s">
        <v>1413</v>
      </c>
      <c r="C385" s="4"/>
      <c r="D385" s="4"/>
      <c r="F385" s="4"/>
      <c r="G385" s="2">
        <v>0.8</v>
      </c>
    </row>
    <row r="386" spans="2:7" x14ac:dyDescent="0.55000000000000004">
      <c r="B386" s="304" t="s">
        <v>1414</v>
      </c>
      <c r="C386" s="193"/>
      <c r="D386" s="193"/>
      <c r="E386" s="173"/>
      <c r="F386" s="193"/>
      <c r="G386" s="179">
        <f>100%-G385</f>
        <v>0.19999999999999996</v>
      </c>
    </row>
    <row r="387" spans="2:7" x14ac:dyDescent="0.55000000000000004">
      <c r="C387" s="4"/>
      <c r="D387" s="4"/>
      <c r="F387" s="4"/>
      <c r="G387" s="4"/>
    </row>
    <row r="388" spans="2:7" x14ac:dyDescent="0.55000000000000004">
      <c r="B388" s="173" t="s">
        <v>1427</v>
      </c>
      <c r="C388" s="193"/>
      <c r="D388" s="193"/>
      <c r="E388" s="193"/>
      <c r="F388" s="193"/>
      <c r="G388" s="174">
        <f>G385*G384</f>
        <v>13045.6</v>
      </c>
    </row>
    <row r="389" spans="2:7" x14ac:dyDescent="0.55000000000000004">
      <c r="B389" t="s">
        <v>1416</v>
      </c>
      <c r="C389" s="4"/>
      <c r="D389" s="2">
        <v>1</v>
      </c>
      <c r="F389" s="4"/>
      <c r="G389" s="2">
        <f>G383/G388</f>
        <v>0.33528546023180228</v>
      </c>
    </row>
    <row r="390" spans="2:7" x14ac:dyDescent="0.55000000000000004">
      <c r="B390" s="173"/>
      <c r="C390" s="193"/>
      <c r="D390" s="193"/>
      <c r="E390" s="173"/>
      <c r="F390" s="193"/>
      <c r="G390" s="193"/>
    </row>
    <row r="391" spans="2:7" x14ac:dyDescent="0.55000000000000004">
      <c r="B391" t="s">
        <v>1417</v>
      </c>
      <c r="C391" s="12">
        <f>C392/C379</f>
        <v>7.113543091655225E-3</v>
      </c>
      <c r="D391" s="11">
        <v>4.65E-2</v>
      </c>
      <c r="F391" s="12">
        <f>F392/F379</f>
        <v>0</v>
      </c>
      <c r="G391" s="11">
        <v>4.65E-2</v>
      </c>
    </row>
    <row r="392" spans="2:7" ht="14.7" thickBot="1" x14ac:dyDescent="0.6">
      <c r="B392" s="173" t="s">
        <v>1418</v>
      </c>
      <c r="C392" s="193">
        <f>C378-C381</f>
        <v>15.599999999999909</v>
      </c>
      <c r="D392" s="193">
        <f>D391*D379*D389</f>
        <v>101.97450000000001</v>
      </c>
      <c r="E392" s="173"/>
      <c r="F392" s="193">
        <f>F378-F381</f>
        <v>0</v>
      </c>
      <c r="G392" s="193">
        <f>G391*G379*G389</f>
        <v>20.09650755810388</v>
      </c>
    </row>
    <row r="393" spans="2:7" ht="14.7" thickBot="1" x14ac:dyDescent="0.6">
      <c r="B393" s="298" t="s">
        <v>523</v>
      </c>
      <c r="C393" s="301"/>
      <c r="D393" s="302">
        <f>C392-D392</f>
        <v>-86.374500000000097</v>
      </c>
      <c r="E393" s="18"/>
      <c r="F393" s="303"/>
      <c r="G393" s="302">
        <f>F392-G392</f>
        <v>-20.09650755810388</v>
      </c>
    </row>
    <row r="394" spans="2:7" x14ac:dyDescent="0.55000000000000004">
      <c r="B394" s="173"/>
      <c r="C394" s="173"/>
      <c r="D394" s="173"/>
      <c r="E394" s="173"/>
      <c r="F394" s="173"/>
      <c r="G394" s="173"/>
    </row>
    <row r="395" spans="2:7" x14ac:dyDescent="0.55000000000000004">
      <c r="B395" t="s">
        <v>476</v>
      </c>
      <c r="C395" s="4">
        <f>Master!H89</f>
        <v>1774.8999999999996</v>
      </c>
      <c r="D395" s="4">
        <f>C395-D393</f>
        <v>1861.2744999999998</v>
      </c>
      <c r="F395" s="4">
        <v>1128</v>
      </c>
      <c r="G395" s="4">
        <f>F395-G393</f>
        <v>1148.0965075581039</v>
      </c>
    </row>
    <row r="396" spans="2:7" x14ac:dyDescent="0.55000000000000004">
      <c r="B396" s="173" t="s">
        <v>1406</v>
      </c>
      <c r="C396" s="179">
        <f>C401/C395</f>
        <v>0.27178995999774641</v>
      </c>
      <c r="D396" s="179"/>
      <c r="E396" s="173"/>
      <c r="F396" s="179">
        <f>F401/F395</f>
        <v>0.25726950354609929</v>
      </c>
      <c r="G396" s="179"/>
    </row>
    <row r="397" spans="2:7" x14ac:dyDescent="0.55000000000000004">
      <c r="B397" s="10" t="s">
        <v>1407</v>
      </c>
      <c r="C397" s="2"/>
      <c r="D397" s="2">
        <v>-7.0000000000000007E-2</v>
      </c>
      <c r="F397" s="2"/>
      <c r="G397" s="2">
        <v>-7.0000000000000007E-2</v>
      </c>
    </row>
    <row r="398" spans="2:7" x14ac:dyDescent="0.55000000000000004">
      <c r="B398" s="304" t="s">
        <v>1408</v>
      </c>
      <c r="C398" s="179"/>
      <c r="D398" s="179">
        <v>0.01</v>
      </c>
      <c r="E398" s="173"/>
      <c r="F398" s="179"/>
      <c r="G398" s="179">
        <v>0</v>
      </c>
    </row>
    <row r="399" spans="2:7" x14ac:dyDescent="0.55000000000000004">
      <c r="B399" s="10" t="s">
        <v>1409</v>
      </c>
      <c r="C399" s="2"/>
      <c r="D399" s="2">
        <f>C396+D397+D398</f>
        <v>0.21178995999774641</v>
      </c>
      <c r="F399" s="2"/>
      <c r="G399" s="2">
        <f>F396+G397+G398</f>
        <v>0.18726950354609928</v>
      </c>
    </row>
    <row r="400" spans="2:7" x14ac:dyDescent="0.55000000000000004">
      <c r="B400" s="304"/>
      <c r="C400" s="179"/>
      <c r="D400" s="179"/>
      <c r="E400" s="173"/>
      <c r="F400" s="179"/>
      <c r="G400" s="179"/>
    </row>
    <row r="401" spans="2:8" ht="14.7" thickBot="1" x14ac:dyDescent="0.6">
      <c r="B401" t="s">
        <v>321</v>
      </c>
      <c r="C401" s="4">
        <f>Master!H91</f>
        <v>482.4</v>
      </c>
      <c r="D401" s="4">
        <f>D399*D395</f>
        <v>394.19925189982541</v>
      </c>
      <c r="F401" s="4">
        <v>290.2</v>
      </c>
      <c r="G401" s="4">
        <f>G399*G395</f>
        <v>215.00346299341655</v>
      </c>
    </row>
    <row r="402" spans="2:8" ht="14.7" thickBot="1" x14ac:dyDescent="0.6">
      <c r="B402" s="305" t="s">
        <v>523</v>
      </c>
      <c r="C402" s="306"/>
      <c r="D402" s="307">
        <f>C401-D401</f>
        <v>88.200748100174565</v>
      </c>
      <c r="E402" s="175"/>
      <c r="F402" s="308"/>
      <c r="G402" s="307">
        <f>F401-G401</f>
        <v>75.196537006583441</v>
      </c>
    </row>
    <row r="403" spans="2:8" ht="14.7" thickBot="1" x14ac:dyDescent="0.6"/>
    <row r="404" spans="2:8" ht="14.7" thickBot="1" x14ac:dyDescent="0.6">
      <c r="B404" s="305" t="s">
        <v>1411</v>
      </c>
      <c r="C404" s="309"/>
      <c r="D404" s="307">
        <v>0</v>
      </c>
      <c r="E404" s="175"/>
      <c r="F404" s="305"/>
      <c r="G404" s="310">
        <v>-35</v>
      </c>
    </row>
    <row r="406" spans="2:8" ht="14.7" thickBot="1" x14ac:dyDescent="0.6">
      <c r="B406" s="173" t="s">
        <v>1410</v>
      </c>
      <c r="C406" s="173"/>
      <c r="D406" s="193">
        <f>D402+D393+D404</f>
        <v>1.8262481001744675</v>
      </c>
      <c r="E406" s="173"/>
      <c r="F406" s="173"/>
      <c r="G406" s="193">
        <f>G402+G393+G404</f>
        <v>20.10002944847956</v>
      </c>
    </row>
    <row r="407" spans="2:8" ht="14.7" thickBot="1" x14ac:dyDescent="0.6">
      <c r="B407" s="298" t="s">
        <v>227</v>
      </c>
      <c r="C407" s="299"/>
      <c r="D407" s="300">
        <f>D406/Master!H103</f>
        <v>1.2740673225718347E-3</v>
      </c>
      <c r="F407" s="298"/>
      <c r="G407" s="300">
        <f>G406/958</f>
        <v>2.0981241595490148E-2</v>
      </c>
    </row>
    <row r="410" spans="2:8" x14ac:dyDescent="0.55000000000000004">
      <c r="G410" s="311" t="s">
        <v>1421</v>
      </c>
      <c r="H410" s="311" t="s">
        <v>273</v>
      </c>
    </row>
    <row r="411" spans="2:8" x14ac:dyDescent="0.55000000000000004">
      <c r="B411" s="297" t="s">
        <v>1514</v>
      </c>
      <c r="C411" s="19" t="s">
        <v>51</v>
      </c>
      <c r="D411" s="19" t="s">
        <v>705</v>
      </c>
      <c r="E411" s="19" t="s">
        <v>1080</v>
      </c>
      <c r="G411" s="19" t="s">
        <v>1080</v>
      </c>
      <c r="H411" s="19" t="s">
        <v>1080</v>
      </c>
    </row>
    <row r="412" spans="2:8" x14ac:dyDescent="0.55000000000000004">
      <c r="B412" t="s">
        <v>1425</v>
      </c>
      <c r="C412" s="7">
        <f>E412/(1+H412)</f>
        <v>7428.7136294027559</v>
      </c>
      <c r="D412" s="7">
        <f>E412/(1+G412)</f>
        <v>7919.9183673469379</v>
      </c>
      <c r="E412" s="7">
        <v>9701.9</v>
      </c>
      <c r="G412" s="11">
        <v>0.22500000000000001</v>
      </c>
      <c r="H412" s="11">
        <v>0.30599999999999999</v>
      </c>
    </row>
    <row r="413" spans="2:8" x14ac:dyDescent="0.55000000000000004">
      <c r="B413" t="s">
        <v>1422</v>
      </c>
      <c r="C413" s="7">
        <f>E413/(1+H413)</f>
        <v>2322.4279835390948</v>
      </c>
      <c r="D413" s="7">
        <f>E413/(1+G413)</f>
        <v>2373.7118822292327</v>
      </c>
      <c r="E413" s="7">
        <v>2257.4</v>
      </c>
      <c r="G413" s="11">
        <v>-4.9000000000000002E-2</v>
      </c>
      <c r="H413" s="11">
        <v>-2.8000000000000001E-2</v>
      </c>
    </row>
    <row r="414" spans="2:8" x14ac:dyDescent="0.55000000000000004">
      <c r="B414" s="1" t="s">
        <v>1430</v>
      </c>
      <c r="C414" s="172">
        <f>E414/(1+H414)</f>
        <v>963.76101860920676</v>
      </c>
      <c r="D414" s="172">
        <f>E414/(1+G414)</f>
        <v>1120.7289293849658</v>
      </c>
      <c r="E414" s="172">
        <v>984</v>
      </c>
      <c r="G414" s="312">
        <v>-0.122</v>
      </c>
      <c r="H414" s="312">
        <v>2.1000000000000001E-2</v>
      </c>
    </row>
    <row r="415" spans="2:8" x14ac:dyDescent="0.55000000000000004">
      <c r="B415" t="s">
        <v>1423</v>
      </c>
      <c r="C415" s="7">
        <f>C412+C413+C414</f>
        <v>10714.902631551056</v>
      </c>
      <c r="D415" s="7">
        <f>D412+D413+D414</f>
        <v>11414.359178961136</v>
      </c>
      <c r="E415" s="7">
        <f>E412+E413+E414</f>
        <v>12943.3</v>
      </c>
      <c r="G415" s="11"/>
      <c r="H415" s="11">
        <f>E415/C415-1</f>
        <v>0.20797177959295809</v>
      </c>
    </row>
    <row r="416" spans="2:8" x14ac:dyDescent="0.55000000000000004">
      <c r="C416" s="7"/>
      <c r="D416" s="7"/>
      <c r="E416" s="7"/>
    </row>
    <row r="417" spans="2:15" x14ac:dyDescent="0.55000000000000004">
      <c r="B417" t="s">
        <v>1424</v>
      </c>
      <c r="C417" s="7">
        <f>E417/(1+H417)</f>
        <v>2195.7609297177642</v>
      </c>
      <c r="D417" s="7">
        <f>E417/(1+G417)</f>
        <v>3778.7999999999997</v>
      </c>
      <c r="E417" s="7">
        <v>3967.74</v>
      </c>
      <c r="G417" s="11">
        <v>0.05</v>
      </c>
      <c r="H417" s="11">
        <v>0.80700000000000005</v>
      </c>
    </row>
    <row r="419" spans="2:15" x14ac:dyDescent="0.55000000000000004">
      <c r="B419" t="s">
        <v>243</v>
      </c>
      <c r="C419" s="7">
        <f>E419/(1+H419)</f>
        <v>12960.754716981133</v>
      </c>
      <c r="D419" s="7">
        <f>E419/(1+G419)</f>
        <v>14640.238704177322</v>
      </c>
      <c r="E419">
        <v>17173</v>
      </c>
      <c r="G419" s="11">
        <v>0.17299999999999999</v>
      </c>
      <c r="H419" s="11">
        <v>0.32500000000000001</v>
      </c>
    </row>
    <row r="420" spans="2:15" x14ac:dyDescent="0.55000000000000004">
      <c r="B420" t="s">
        <v>5</v>
      </c>
      <c r="C420" s="7">
        <f>C419-C415</f>
        <v>2245.8520854300768</v>
      </c>
      <c r="D420" s="7">
        <f>D419-D415</f>
        <v>3225.8795252161854</v>
      </c>
      <c r="E420" s="7">
        <f>E419-E415</f>
        <v>4229.7000000000007</v>
      </c>
    </row>
    <row r="422" spans="2:15" x14ac:dyDescent="0.55000000000000004">
      <c r="B422" t="s">
        <v>1429</v>
      </c>
      <c r="E422" s="2">
        <v>-0.4</v>
      </c>
    </row>
    <row r="429" spans="2:15" x14ac:dyDescent="0.55000000000000004">
      <c r="L429" s="311" t="s">
        <v>273</v>
      </c>
      <c r="M429" s="311" t="s">
        <v>273</v>
      </c>
      <c r="N429" s="311" t="s">
        <v>273</v>
      </c>
      <c r="O429" s="311" t="s">
        <v>273</v>
      </c>
    </row>
    <row r="430" spans="2:15" x14ac:dyDescent="0.55000000000000004">
      <c r="B430" s="183" t="s">
        <v>684</v>
      </c>
      <c r="C430" s="184" t="s">
        <v>51</v>
      </c>
      <c r="D430" s="184" t="s">
        <v>704</v>
      </c>
      <c r="E430" s="184" t="s">
        <v>705</v>
      </c>
      <c r="F430" s="184" t="s">
        <v>1079</v>
      </c>
      <c r="G430" s="184" t="s">
        <v>1080</v>
      </c>
      <c r="H430" s="184" t="s">
        <v>1081</v>
      </c>
      <c r="I430" s="184" t="s">
        <v>1159</v>
      </c>
      <c r="J430" s="184" t="s">
        <v>1511</v>
      </c>
      <c r="L430" s="184" t="str">
        <f>G430</f>
        <v>Q1 21</v>
      </c>
      <c r="M430" s="184" t="str">
        <f>H430</f>
        <v>Q2 21</v>
      </c>
      <c r="N430" s="184" t="str">
        <f>I430</f>
        <v>Q3 21</v>
      </c>
      <c r="O430" s="184" t="str">
        <f>J430</f>
        <v>Q4 21e</v>
      </c>
    </row>
    <row r="431" spans="2:15" x14ac:dyDescent="0.55000000000000004">
      <c r="B431" s="185" t="s">
        <v>182</v>
      </c>
      <c r="C431" s="185">
        <v>298</v>
      </c>
      <c r="D431" s="185">
        <v>247</v>
      </c>
      <c r="E431" s="185">
        <v>295</v>
      </c>
      <c r="F431" s="185">
        <v>349</v>
      </c>
      <c r="G431" s="185">
        <v>336</v>
      </c>
      <c r="H431" s="185">
        <v>371</v>
      </c>
      <c r="I431" s="185"/>
      <c r="J431" s="185"/>
      <c r="L431" s="278">
        <f t="shared" ref="L431:M434" si="8">G431/C431-1</f>
        <v>0.12751677852348986</v>
      </c>
      <c r="M431" s="278">
        <f t="shared" si="8"/>
        <v>0.50202429149797578</v>
      </c>
      <c r="N431" s="278"/>
      <c r="O431" s="278"/>
    </row>
    <row r="432" spans="2:15" x14ac:dyDescent="0.55000000000000004">
      <c r="B432" s="342" t="s">
        <v>34</v>
      </c>
      <c r="C432" s="136">
        <v>171</v>
      </c>
      <c r="D432" s="136">
        <v>154</v>
      </c>
      <c r="E432" s="136">
        <v>198</v>
      </c>
      <c r="F432" s="136">
        <v>243</v>
      </c>
      <c r="G432" s="136">
        <v>205</v>
      </c>
      <c r="H432" s="136">
        <v>218</v>
      </c>
      <c r="I432" s="136"/>
      <c r="J432" s="136"/>
      <c r="L432" s="139">
        <f t="shared" si="8"/>
        <v>0.19883040935672525</v>
      </c>
      <c r="M432" s="139">
        <f t="shared" si="8"/>
        <v>0.4155844155844155</v>
      </c>
      <c r="N432" s="139"/>
      <c r="O432" s="139"/>
    </row>
    <row r="433" spans="1:15" x14ac:dyDescent="0.55000000000000004">
      <c r="B433" s="189" t="s">
        <v>183</v>
      </c>
      <c r="C433" s="189">
        <v>7</v>
      </c>
      <c r="D433" s="189">
        <v>12</v>
      </c>
      <c r="E433" s="189">
        <v>12</v>
      </c>
      <c r="F433" s="189">
        <v>18</v>
      </c>
      <c r="G433" s="189">
        <v>18</v>
      </c>
      <c r="H433" s="189">
        <v>24</v>
      </c>
      <c r="I433" s="189"/>
      <c r="J433" s="189"/>
      <c r="L433" s="340">
        <f t="shared" si="8"/>
        <v>1.5714285714285716</v>
      </c>
      <c r="M433" s="340">
        <f t="shared" si="8"/>
        <v>1</v>
      </c>
      <c r="N433" s="340"/>
      <c r="O433" s="340"/>
    </row>
    <row r="434" spans="1:15" x14ac:dyDescent="0.55000000000000004">
      <c r="B434" s="129" t="s">
        <v>1434</v>
      </c>
      <c r="C434" s="129">
        <f t="shared" ref="C434:H434" si="9">SUM(C431:C433)</f>
        <v>476</v>
      </c>
      <c r="D434" s="129">
        <f t="shared" si="9"/>
        <v>413</v>
      </c>
      <c r="E434" s="129">
        <f t="shared" si="9"/>
        <v>505</v>
      </c>
      <c r="F434" s="129">
        <f t="shared" si="9"/>
        <v>610</v>
      </c>
      <c r="G434" s="129">
        <f t="shared" si="9"/>
        <v>559</v>
      </c>
      <c r="H434" s="129">
        <f t="shared" si="9"/>
        <v>613</v>
      </c>
      <c r="I434" s="129">
        <v>650</v>
      </c>
      <c r="J434" s="339">
        <f>Acquirer!J9-G434-H434-I434</f>
        <v>840</v>
      </c>
      <c r="K434" s="2"/>
      <c r="L434" s="341">
        <f t="shared" si="8"/>
        <v>0.17436974789915971</v>
      </c>
      <c r="M434" s="341">
        <f t="shared" si="8"/>
        <v>0.4842615012106537</v>
      </c>
      <c r="N434" s="341">
        <f>I434/E434-1</f>
        <v>0.28712871287128716</v>
      </c>
      <c r="O434" s="341">
        <f>J434/F434-1</f>
        <v>0.37704918032786883</v>
      </c>
    </row>
    <row r="435" spans="1:15" x14ac:dyDescent="0.55000000000000004">
      <c r="B435" s="185" t="s">
        <v>1431</v>
      </c>
      <c r="C435" s="188">
        <f t="shared" ref="C435:H435" si="10">C431/C434</f>
        <v>0.62605042016806722</v>
      </c>
      <c r="D435" s="188">
        <f t="shared" si="10"/>
        <v>0.59806295399515741</v>
      </c>
      <c r="E435" s="188">
        <f t="shared" si="10"/>
        <v>0.58415841584158412</v>
      </c>
      <c r="F435" s="188">
        <f t="shared" si="10"/>
        <v>0.5721311475409836</v>
      </c>
      <c r="G435" s="188">
        <f t="shared" si="10"/>
        <v>0.60107334525939182</v>
      </c>
      <c r="H435" s="188">
        <f t="shared" si="10"/>
        <v>0.6052202283849919</v>
      </c>
      <c r="I435" s="188"/>
      <c r="J435" s="347"/>
      <c r="L435" s="188"/>
      <c r="M435" s="188"/>
      <c r="N435" s="188"/>
      <c r="O435" s="188"/>
    </row>
    <row r="436" spans="1:15" x14ac:dyDescent="0.55000000000000004">
      <c r="B436" s="136"/>
      <c r="C436" s="136"/>
      <c r="D436" s="136"/>
      <c r="E436" s="136"/>
      <c r="F436" s="136"/>
      <c r="G436" s="190"/>
      <c r="H436" s="136"/>
      <c r="I436" s="136"/>
      <c r="J436" s="348"/>
      <c r="L436" s="136"/>
      <c r="M436" s="136"/>
      <c r="N436" s="136"/>
      <c r="O436" s="136"/>
    </row>
    <row r="437" spans="1:15" x14ac:dyDescent="0.55000000000000004">
      <c r="B437" s="185"/>
      <c r="C437" s="185"/>
      <c r="D437" s="185"/>
      <c r="E437" s="185"/>
      <c r="F437" s="185"/>
      <c r="G437" s="185"/>
      <c r="H437" s="185"/>
      <c r="I437" s="185"/>
      <c r="J437" s="347"/>
      <c r="L437" s="185"/>
      <c r="M437" s="185"/>
      <c r="N437" s="185"/>
      <c r="O437" s="185"/>
    </row>
    <row r="438" spans="1:15" x14ac:dyDescent="0.55000000000000004">
      <c r="B438" s="136" t="s">
        <v>264</v>
      </c>
      <c r="C438" s="313">
        <f>Quarts!O163/1000</f>
        <v>31.657257480282038</v>
      </c>
      <c r="D438" s="313">
        <f>Quarts!P163/1000</f>
        <v>29.794425458241061</v>
      </c>
      <c r="E438" s="313">
        <f>Quarts!Q163/1000</f>
        <v>44.861264196384468</v>
      </c>
      <c r="F438" s="313">
        <f>Quarts!R163/1000</f>
        <v>55.23136310456001</v>
      </c>
      <c r="G438" s="313">
        <f>Quarts!S163/1000</f>
        <v>50.03</v>
      </c>
      <c r="H438" s="313">
        <f>Quarts!T163/1000</f>
        <v>56.335000000000001</v>
      </c>
      <c r="I438" s="313">
        <f>Quarts!U163/1000</f>
        <v>66.816500000000005</v>
      </c>
      <c r="J438" s="313" t="e">
        <f>Quarts!#REF!/1000</f>
        <v>#REF!</v>
      </c>
      <c r="K438" s="2"/>
      <c r="L438" s="139">
        <f t="shared" ref="L438:O441" si="11">G438/C438-1</f>
        <v>0.58036431397007671</v>
      </c>
      <c r="M438" s="139">
        <f t="shared" si="11"/>
        <v>0.89078994253328969</v>
      </c>
      <c r="N438" s="139">
        <f t="shared" si="11"/>
        <v>0.48940296705648767</v>
      </c>
      <c r="O438" s="139" t="e">
        <f t="shared" si="11"/>
        <v>#REF!</v>
      </c>
    </row>
    <row r="439" spans="1:15" x14ac:dyDescent="0.55000000000000004">
      <c r="B439" s="185" t="s">
        <v>265</v>
      </c>
      <c r="C439" s="185">
        <v>37.6</v>
      </c>
      <c r="D439" s="185">
        <v>36.1</v>
      </c>
      <c r="E439" s="185">
        <v>48.1</v>
      </c>
      <c r="F439" s="185">
        <v>57.300000000000004</v>
      </c>
      <c r="G439" s="187">
        <v>50.8</v>
      </c>
      <c r="H439" s="185">
        <v>58.6</v>
      </c>
      <c r="I439" s="185">
        <v>73.900000000000006</v>
      </c>
      <c r="J439" s="187">
        <f>Acquirer!J6-G439-H439-I439</f>
        <v>91.699999999999989</v>
      </c>
      <c r="K439" s="2"/>
      <c r="L439" s="278">
        <f t="shared" si="11"/>
        <v>0.35106382978723394</v>
      </c>
      <c r="M439" s="278">
        <f t="shared" si="11"/>
        <v>0.62326869806094187</v>
      </c>
      <c r="N439" s="278">
        <f t="shared" si="11"/>
        <v>0.53638253638253652</v>
      </c>
      <c r="O439" s="278">
        <f t="shared" si="11"/>
        <v>0.60034904013961565</v>
      </c>
    </row>
    <row r="440" spans="1:15" x14ac:dyDescent="0.55000000000000004">
      <c r="B440" s="136" t="s">
        <v>2</v>
      </c>
      <c r="C440" s="313">
        <f>117.2-D440</f>
        <v>62.2</v>
      </c>
      <c r="D440" s="313">
        <v>55</v>
      </c>
      <c r="E440" s="313">
        <v>71</v>
      </c>
      <c r="F440" s="313">
        <f>(273.2-C440-D440-E440)</f>
        <v>85</v>
      </c>
      <c r="G440" s="313">
        <v>87</v>
      </c>
      <c r="H440" s="313">
        <f>183.2-G440</f>
        <v>96.199999999999989</v>
      </c>
      <c r="I440" s="313">
        <v>105.4</v>
      </c>
      <c r="J440" s="313">
        <f>Acquirer!J5-G440-H440-I440</f>
        <v>121.4</v>
      </c>
      <c r="K440" s="2"/>
      <c r="L440" s="139">
        <f t="shared" si="11"/>
        <v>0.3987138263665595</v>
      </c>
      <c r="M440" s="139">
        <f t="shared" si="11"/>
        <v>0.74909090909090881</v>
      </c>
      <c r="N440" s="139">
        <f t="shared" si="11"/>
        <v>0.48450704225352115</v>
      </c>
      <c r="O440" s="139">
        <f t="shared" si="11"/>
        <v>0.42823529411764705</v>
      </c>
    </row>
    <row r="441" spans="1:15" x14ac:dyDescent="0.55000000000000004">
      <c r="B441" s="185" t="s">
        <v>0</v>
      </c>
      <c r="C441" s="185">
        <v>159.80000000000001</v>
      </c>
      <c r="D441" s="185">
        <v>127.9</v>
      </c>
      <c r="E441" s="185">
        <v>165.6</v>
      </c>
      <c r="F441" s="185">
        <v>190.6</v>
      </c>
      <c r="G441" s="187">
        <v>160</v>
      </c>
      <c r="H441" s="185">
        <v>165.2</v>
      </c>
      <c r="I441" s="187">
        <v>179.76599999999999</v>
      </c>
      <c r="J441" s="187">
        <f>Acquirer!J3-G441-H441-I441</f>
        <v>208.03400000000002</v>
      </c>
      <c r="L441" s="278">
        <f t="shared" si="11"/>
        <v>1.2515644555692873E-3</v>
      </c>
      <c r="M441" s="278">
        <f t="shared" si="11"/>
        <v>0.29163408913213429</v>
      </c>
      <c r="N441" s="278">
        <f t="shared" si="11"/>
        <v>8.5543478260869499E-2</v>
      </c>
      <c r="O441" s="278">
        <f t="shared" si="11"/>
        <v>9.1469045120671666E-2</v>
      </c>
    </row>
    <row r="442" spans="1:15" x14ac:dyDescent="0.55000000000000004">
      <c r="B442" s="192" t="s">
        <v>241</v>
      </c>
      <c r="C442" s="136">
        <v>95</v>
      </c>
      <c r="D442" s="136">
        <v>70.8</v>
      </c>
      <c r="E442" s="136">
        <v>90.7</v>
      </c>
      <c r="F442" s="136">
        <v>103.7</v>
      </c>
      <c r="G442" s="136">
        <v>88.8</v>
      </c>
      <c r="H442" s="136">
        <v>92.9</v>
      </c>
      <c r="I442" s="313">
        <v>102.917</v>
      </c>
      <c r="J442" s="136"/>
      <c r="L442" s="136"/>
      <c r="M442" s="136"/>
      <c r="N442" s="136"/>
      <c r="O442" s="136"/>
    </row>
    <row r="443" spans="1:15" x14ac:dyDescent="0.55000000000000004">
      <c r="B443" s="291" t="s">
        <v>1433</v>
      </c>
      <c r="C443" s="185">
        <f t="shared" ref="C443:I443" si="12">C441-C442</f>
        <v>64.800000000000011</v>
      </c>
      <c r="D443" s="185">
        <f t="shared" si="12"/>
        <v>57.100000000000009</v>
      </c>
      <c r="E443" s="185">
        <f t="shared" si="12"/>
        <v>74.899999999999991</v>
      </c>
      <c r="F443" s="185">
        <f t="shared" si="12"/>
        <v>86.899999999999991</v>
      </c>
      <c r="G443" s="185">
        <f t="shared" si="12"/>
        <v>71.2</v>
      </c>
      <c r="H443" s="185">
        <f t="shared" si="12"/>
        <v>72.299999999999983</v>
      </c>
      <c r="I443" s="187">
        <f t="shared" si="12"/>
        <v>76.84899999999999</v>
      </c>
      <c r="J443" s="185"/>
      <c r="L443" s="185"/>
      <c r="M443" s="185"/>
      <c r="N443" s="185"/>
      <c r="O443" s="185"/>
    </row>
    <row r="444" spans="1:15" x14ac:dyDescent="0.55000000000000004">
      <c r="B444" s="192" t="s">
        <v>1432</v>
      </c>
      <c r="C444" s="139">
        <f t="shared" ref="C444:I444" si="13">C442/C441</f>
        <v>0.59449311639549429</v>
      </c>
      <c r="D444" s="139">
        <f t="shared" si="13"/>
        <v>0.55355746677091477</v>
      </c>
      <c r="E444" s="139">
        <f t="shared" si="13"/>
        <v>0.54770531400966183</v>
      </c>
      <c r="F444" s="139">
        <f t="shared" si="13"/>
        <v>0.54407135362014691</v>
      </c>
      <c r="G444" s="139">
        <f t="shared" si="13"/>
        <v>0.55499999999999994</v>
      </c>
      <c r="H444" s="139">
        <f t="shared" si="13"/>
        <v>0.56234866828087171</v>
      </c>
      <c r="I444" s="139">
        <f t="shared" si="13"/>
        <v>0.57250536808962771</v>
      </c>
      <c r="J444" s="139"/>
      <c r="L444" s="139"/>
      <c r="M444" s="139"/>
      <c r="N444" s="139"/>
      <c r="O444" s="139"/>
    </row>
    <row r="445" spans="1:15" x14ac:dyDescent="0.55000000000000004">
      <c r="B445" s="185"/>
      <c r="C445" s="185"/>
      <c r="D445" s="185"/>
      <c r="E445" s="185"/>
      <c r="F445" s="185"/>
      <c r="G445" s="185"/>
      <c r="H445" s="185"/>
      <c r="I445" s="185"/>
      <c r="J445" s="185"/>
      <c r="L445" s="185"/>
      <c r="M445" s="185"/>
      <c r="N445" s="185"/>
      <c r="O445" s="185"/>
    </row>
    <row r="446" spans="1:15" x14ac:dyDescent="0.55000000000000004">
      <c r="B446" s="344" t="s">
        <v>8</v>
      </c>
      <c r="C446" s="345" t="str">
        <f t="shared" ref="C446:J446" si="14">C430</f>
        <v>Q1 20</v>
      </c>
      <c r="D446" s="345" t="str">
        <f t="shared" si="14"/>
        <v>Q2 20</v>
      </c>
      <c r="E446" s="345" t="str">
        <f t="shared" si="14"/>
        <v>Q3 20</v>
      </c>
      <c r="F446" s="345" t="str">
        <f t="shared" si="14"/>
        <v>Q4 20</v>
      </c>
      <c r="G446" s="345" t="str">
        <f t="shared" si="14"/>
        <v>Q1 21</v>
      </c>
      <c r="H446" s="345" t="str">
        <f t="shared" si="14"/>
        <v>Q2 21</v>
      </c>
      <c r="I446" s="345" t="str">
        <f t="shared" si="14"/>
        <v>Q3 21</v>
      </c>
      <c r="J446" s="345" t="str">
        <f t="shared" si="14"/>
        <v>Q4 21e</v>
      </c>
      <c r="L446" s="345" t="str">
        <f>L430</f>
        <v>Q1 21</v>
      </c>
      <c r="M446" s="345" t="str">
        <f>M430</f>
        <v>Q2 21</v>
      </c>
      <c r="N446" s="345" t="str">
        <f>N430</f>
        <v>Q3 21</v>
      </c>
      <c r="O446" s="345" t="str">
        <f>O430</f>
        <v>Q4 21e</v>
      </c>
    </row>
    <row r="447" spans="1:15" x14ac:dyDescent="0.55000000000000004">
      <c r="A447" s="343"/>
      <c r="B447" s="185" t="str">
        <f>B438</f>
        <v>PagSeguro</v>
      </c>
      <c r="C447" s="188">
        <f t="shared" ref="C447:J450" si="15">C438/C$434</f>
        <v>6.6506843445970673E-2</v>
      </c>
      <c r="D447" s="188">
        <f t="shared" si="15"/>
        <v>7.2141466000583687E-2</v>
      </c>
      <c r="E447" s="188">
        <f t="shared" si="15"/>
        <v>8.8834186527494002E-2</v>
      </c>
      <c r="F447" s="188">
        <f t="shared" si="15"/>
        <v>9.0543218204196738E-2</v>
      </c>
      <c r="G447" s="188">
        <f t="shared" si="15"/>
        <v>8.9499105545617172E-2</v>
      </c>
      <c r="H447" s="188">
        <f t="shared" si="15"/>
        <v>9.19004893964111E-2</v>
      </c>
      <c r="I447" s="188">
        <f t="shared" si="15"/>
        <v>0.10279461538461539</v>
      </c>
      <c r="J447" s="188" t="e">
        <f t="shared" si="15"/>
        <v>#REF!</v>
      </c>
      <c r="L447" s="188">
        <f t="shared" ref="L447:O449" si="16">G447-C447</f>
        <v>2.2992262099646499E-2</v>
      </c>
      <c r="M447" s="188">
        <f t="shared" si="16"/>
        <v>1.9759023395827413E-2</v>
      </c>
      <c r="N447" s="188">
        <f t="shared" si="16"/>
        <v>1.3960428857121385E-2</v>
      </c>
      <c r="O447" s="188" t="e">
        <f t="shared" si="16"/>
        <v>#REF!</v>
      </c>
    </row>
    <row r="448" spans="1:15" x14ac:dyDescent="0.55000000000000004">
      <c r="B448" s="136" t="str">
        <f>B439</f>
        <v>Stone</v>
      </c>
      <c r="C448" s="190">
        <f t="shared" si="15"/>
        <v>7.8991596638655459E-2</v>
      </c>
      <c r="D448" s="190">
        <f t="shared" si="15"/>
        <v>8.7409200968523004E-2</v>
      </c>
      <c r="E448" s="190">
        <f t="shared" si="15"/>
        <v>9.5247524752475249E-2</v>
      </c>
      <c r="F448" s="190">
        <f t="shared" si="15"/>
        <v>9.3934426229508206E-2</v>
      </c>
      <c r="G448" s="190">
        <f t="shared" si="15"/>
        <v>9.0876565295169937E-2</v>
      </c>
      <c r="H448" s="190">
        <f t="shared" si="15"/>
        <v>9.5595432300163138E-2</v>
      </c>
      <c r="I448" s="190">
        <f t="shared" si="15"/>
        <v>0.1136923076923077</v>
      </c>
      <c r="J448" s="190">
        <f t="shared" si="15"/>
        <v>0.10916666666666665</v>
      </c>
      <c r="L448" s="190">
        <f t="shared" si="16"/>
        <v>1.1884968656514477E-2</v>
      </c>
      <c r="M448" s="190">
        <f t="shared" si="16"/>
        <v>8.1862313316401342E-3</v>
      </c>
      <c r="N448" s="190">
        <f t="shared" si="16"/>
        <v>1.8444782939832455E-2</v>
      </c>
      <c r="O448" s="190">
        <f t="shared" si="16"/>
        <v>1.5232240437158442E-2</v>
      </c>
    </row>
    <row r="449" spans="2:15" x14ac:dyDescent="0.55000000000000004">
      <c r="B449" s="185" t="str">
        <f>B440</f>
        <v>Getnet</v>
      </c>
      <c r="C449" s="188">
        <f t="shared" si="15"/>
        <v>0.13067226890756303</v>
      </c>
      <c r="D449" s="188">
        <f t="shared" si="15"/>
        <v>0.13317191283292978</v>
      </c>
      <c r="E449" s="188">
        <f t="shared" si="15"/>
        <v>0.14059405940594061</v>
      </c>
      <c r="F449" s="188">
        <f t="shared" si="15"/>
        <v>0.13934426229508196</v>
      </c>
      <c r="G449" s="188">
        <f t="shared" si="15"/>
        <v>0.15563506261180679</v>
      </c>
      <c r="H449" s="188">
        <f t="shared" si="15"/>
        <v>0.15693311582381728</v>
      </c>
      <c r="I449" s="188">
        <f t="shared" si="15"/>
        <v>0.16215384615384618</v>
      </c>
      <c r="J449" s="188">
        <f t="shared" si="15"/>
        <v>0.14452380952380953</v>
      </c>
      <c r="L449" s="188">
        <f t="shared" si="16"/>
        <v>2.4962793704243758E-2</v>
      </c>
      <c r="M449" s="188">
        <f t="shared" si="16"/>
        <v>2.3761202990887492E-2</v>
      </c>
      <c r="N449" s="188">
        <f t="shared" si="16"/>
        <v>2.1559786747905568E-2</v>
      </c>
      <c r="O449" s="188">
        <f t="shared" si="16"/>
        <v>5.1795472287275712E-3</v>
      </c>
    </row>
    <row r="450" spans="2:15" x14ac:dyDescent="0.55000000000000004">
      <c r="B450" s="136" t="str">
        <f>B441</f>
        <v>Cielo</v>
      </c>
      <c r="C450" s="190">
        <f t="shared" si="15"/>
        <v>0.33571428571428574</v>
      </c>
      <c r="D450" s="190">
        <f t="shared" si="15"/>
        <v>0.30968523002421311</v>
      </c>
      <c r="E450" s="190">
        <f t="shared" si="15"/>
        <v>0.32792079207920793</v>
      </c>
      <c r="F450" s="190">
        <f t="shared" si="15"/>
        <v>0.31245901639344259</v>
      </c>
      <c r="G450" s="190">
        <f t="shared" si="15"/>
        <v>0.28622540250447226</v>
      </c>
      <c r="H450" s="190">
        <f t="shared" si="15"/>
        <v>0.26949429037520389</v>
      </c>
      <c r="I450" s="190">
        <f t="shared" si="15"/>
        <v>0.27656307692307691</v>
      </c>
      <c r="J450" s="190">
        <f t="shared" si="15"/>
        <v>0.24765952380952383</v>
      </c>
      <c r="L450" s="190">
        <f>G450-C450</f>
        <v>-4.9488883209813483E-2</v>
      </c>
      <c r="M450" s="190">
        <f>H450-D450</f>
        <v>-4.0190939649009216E-2</v>
      </c>
      <c r="N450" s="190"/>
      <c r="O450" s="190"/>
    </row>
    <row r="451" spans="2:15" x14ac:dyDescent="0.55000000000000004">
      <c r="B451" s="189" t="s">
        <v>1453</v>
      </c>
      <c r="C451" s="191">
        <f t="shared" ref="C451:J451" si="17">100%-C447-C448-C449-C450</f>
        <v>0.38811500529352505</v>
      </c>
      <c r="D451" s="191">
        <f t="shared" si="17"/>
        <v>0.39759219017375036</v>
      </c>
      <c r="E451" s="191">
        <f t="shared" si="17"/>
        <v>0.34740343723488226</v>
      </c>
      <c r="F451" s="191">
        <f t="shared" si="17"/>
        <v>0.36371907687777055</v>
      </c>
      <c r="G451" s="191">
        <f t="shared" si="17"/>
        <v>0.37776386404293383</v>
      </c>
      <c r="H451" s="191">
        <f t="shared" si="17"/>
        <v>0.38607667210440466</v>
      </c>
      <c r="I451" s="191">
        <f t="shared" si="17"/>
        <v>0.34479615384615381</v>
      </c>
      <c r="J451" s="191" t="e">
        <f t="shared" si="17"/>
        <v>#REF!</v>
      </c>
      <c r="L451" s="191"/>
      <c r="M451" s="191"/>
      <c r="N451" s="191"/>
      <c r="O451" s="191"/>
    </row>
    <row r="453" spans="2:15" x14ac:dyDescent="0.55000000000000004">
      <c r="D453" s="11">
        <v>7.2499999999999995E-2</v>
      </c>
    </row>
    <row r="454" spans="2:15" x14ac:dyDescent="0.55000000000000004">
      <c r="B454" t="s">
        <v>929</v>
      </c>
      <c r="D454" t="s">
        <v>1440</v>
      </c>
    </row>
    <row r="455" spans="2:15" x14ac:dyDescent="0.55000000000000004">
      <c r="C455" t="s">
        <v>1438</v>
      </c>
      <c r="D455" t="s">
        <v>1439</v>
      </c>
    </row>
    <row r="456" spans="2:15" x14ac:dyDescent="0.55000000000000004">
      <c r="B456" t="s">
        <v>868</v>
      </c>
      <c r="C456">
        <v>16500</v>
      </c>
      <c r="D456" s="2">
        <v>0</v>
      </c>
      <c r="E456">
        <f>C456*D456</f>
        <v>0</v>
      </c>
    </row>
    <row r="457" spans="2:15" x14ac:dyDescent="0.55000000000000004">
      <c r="B457" s="1" t="s">
        <v>1435</v>
      </c>
      <c r="C457" s="1">
        <v>2200</v>
      </c>
      <c r="D457" s="312">
        <f>D453</f>
        <v>7.2499999999999995E-2</v>
      </c>
      <c r="E457" s="6">
        <f>C457*D457</f>
        <v>159.5</v>
      </c>
    </row>
    <row r="458" spans="2:15" x14ac:dyDescent="0.55000000000000004">
      <c r="B458" t="s">
        <v>1444</v>
      </c>
      <c r="D458" s="11"/>
      <c r="E458" s="4">
        <f>SUM(E456:E457)</f>
        <v>159.5</v>
      </c>
    </row>
    <row r="460" spans="2:15" x14ac:dyDescent="0.55000000000000004">
      <c r="B460" t="s">
        <v>1436</v>
      </c>
      <c r="C460">
        <v>1800</v>
      </c>
      <c r="D460" s="12">
        <f>D453*1.25</f>
        <v>9.0624999999999997E-2</v>
      </c>
      <c r="E460" s="4">
        <f>C460*D460</f>
        <v>163.125</v>
      </c>
    </row>
    <row r="461" spans="2:15" x14ac:dyDescent="0.55000000000000004">
      <c r="B461" t="s">
        <v>1437</v>
      </c>
      <c r="C461">
        <v>2400</v>
      </c>
      <c r="D461" s="11">
        <f>D453</f>
        <v>7.2499999999999995E-2</v>
      </c>
      <c r="E461" s="4">
        <f>C461*D461</f>
        <v>174</v>
      </c>
    </row>
    <row r="462" spans="2:15" x14ac:dyDescent="0.55000000000000004">
      <c r="B462" s="1" t="s">
        <v>869</v>
      </c>
      <c r="C462" s="1">
        <v>6400</v>
      </c>
      <c r="D462" s="43">
        <v>0</v>
      </c>
      <c r="E462" s="6">
        <f>C462*D462</f>
        <v>0</v>
      </c>
    </row>
    <row r="463" spans="2:15" x14ac:dyDescent="0.55000000000000004">
      <c r="B463" t="s">
        <v>1443</v>
      </c>
      <c r="E463" s="4">
        <f>SUM(E460:E462)</f>
        <v>337.125</v>
      </c>
    </row>
    <row r="465" spans="2:8" x14ac:dyDescent="0.55000000000000004">
      <c r="B465" t="s">
        <v>1442</v>
      </c>
      <c r="E465" s="4">
        <f>E463-E458</f>
        <v>177.625</v>
      </c>
      <c r="F465">
        <v>153</v>
      </c>
      <c r="G465" s="4">
        <f>E465-F465</f>
        <v>24.625</v>
      </c>
      <c r="H465" s="12">
        <f>G465/Master!J94</f>
        <v>1.6342580302628095E-2</v>
      </c>
    </row>
    <row r="467" spans="2:8" x14ac:dyDescent="0.55000000000000004">
      <c r="B467" t="s">
        <v>182</v>
      </c>
      <c r="C467">
        <v>1100</v>
      </c>
      <c r="D467" s="2">
        <v>0.4</v>
      </c>
      <c r="E467">
        <f>C467*D467</f>
        <v>440</v>
      </c>
    </row>
    <row r="468" spans="2:8" x14ac:dyDescent="0.55000000000000004">
      <c r="B468" t="s">
        <v>1441</v>
      </c>
    </row>
    <row r="471" spans="2:8" x14ac:dyDescent="0.55000000000000004">
      <c r="B471" s="20" t="s">
        <v>723</v>
      </c>
      <c r="C471" s="20">
        <v>2020</v>
      </c>
      <c r="D471" s="20">
        <f>C471+1</f>
        <v>2021</v>
      </c>
      <c r="E471" s="20">
        <f>D471+1</f>
        <v>2022</v>
      </c>
      <c r="F471" s="20">
        <f>E471+1</f>
        <v>2023</v>
      </c>
      <c r="G471" s="20">
        <f>F471+1</f>
        <v>2024</v>
      </c>
      <c r="H471" s="20">
        <f>G471+1</f>
        <v>2025</v>
      </c>
    </row>
    <row r="472" spans="2:8" x14ac:dyDescent="0.55000000000000004">
      <c r="B472" t="s">
        <v>28</v>
      </c>
      <c r="C472" s="7">
        <f>Pagbank!E92</f>
        <v>310.4968917826186</v>
      </c>
      <c r="D472" s="7">
        <f>Pagbank!F92</f>
        <v>339.85543874520988</v>
      </c>
      <c r="E472" s="7">
        <f>Pagbank!G92</f>
        <v>503.06992742037039</v>
      </c>
      <c r="F472" s="7">
        <f>Pagbank!H92</f>
        <v>321.96475354903708</v>
      </c>
      <c r="G472" s="7">
        <f>Pagbank!I92</f>
        <v>313.91563471031117</v>
      </c>
      <c r="H472" s="7">
        <f>Pagbank!J92</f>
        <v>329.61141644582676</v>
      </c>
    </row>
    <row r="473" spans="2:8" x14ac:dyDescent="0.55000000000000004">
      <c r="B473" t="s">
        <v>1456</v>
      </c>
      <c r="C473" s="7">
        <f>Pagbank!E93+Pagbank!E94</f>
        <v>253.70310821738144</v>
      </c>
      <c r="D473" s="7">
        <f>Pagbank!F93+Pagbank!F94</f>
        <v>577.0445612547901</v>
      </c>
      <c r="E473" s="7">
        <f>Pagbank!G93+Pagbank!G94</f>
        <v>910.93007257962961</v>
      </c>
      <c r="F473" s="7">
        <f>Pagbank!H93+Pagbank!H94</f>
        <v>737.72577213541672</v>
      </c>
      <c r="G473" s="7">
        <f>Pagbank!I93+Pagbank!I94</f>
        <v>759.36512138671878</v>
      </c>
      <c r="H473" s="7">
        <f>Pagbank!J93+Pagbank!J94</f>
        <v>1149.1181223046876</v>
      </c>
    </row>
    <row r="474" spans="2:8" x14ac:dyDescent="0.55000000000000004">
      <c r="B474" s="1" t="s">
        <v>1457</v>
      </c>
      <c r="C474" s="172">
        <f>Master!H12-C472-C473</f>
        <v>6250.5</v>
      </c>
      <c r="D474" s="172">
        <f>Master!I12-D472-D473</f>
        <v>9529.1</v>
      </c>
      <c r="E474" s="172">
        <f>Master!J12-E472-E473</f>
        <v>13920.8</v>
      </c>
      <c r="F474" s="172">
        <f>Master!K12-F472-F473</f>
        <v>14889.309474315547</v>
      </c>
      <c r="G474" s="172">
        <f>Master!L12-G472-G473</f>
        <v>16360.601827270577</v>
      </c>
      <c r="H474" s="172">
        <f>Master!M12-H472-H473</f>
        <v>17680.529957286173</v>
      </c>
    </row>
    <row r="475" spans="2:8" x14ac:dyDescent="0.55000000000000004">
      <c r="B475" t="s">
        <v>1458</v>
      </c>
      <c r="C475" s="7">
        <f t="shared" ref="C475:H475" si="18">SUM(C472:C474)</f>
        <v>6814.7</v>
      </c>
      <c r="D475" s="7">
        <f t="shared" si="18"/>
        <v>10446</v>
      </c>
      <c r="E475" s="7">
        <f t="shared" si="18"/>
        <v>15334.8</v>
      </c>
      <c r="F475" s="7">
        <f t="shared" si="18"/>
        <v>15949</v>
      </c>
      <c r="G475" s="7">
        <f t="shared" si="18"/>
        <v>17433.882583367606</v>
      </c>
      <c r="H475" s="7">
        <f t="shared" si="18"/>
        <v>19159.259496036688</v>
      </c>
    </row>
    <row r="477" spans="2:8" x14ac:dyDescent="0.55000000000000004">
      <c r="B477" t="s">
        <v>1459</v>
      </c>
      <c r="C477" s="2">
        <f t="shared" ref="C477:H477" si="19">C472/C475</f>
        <v>4.5562811537209064E-2</v>
      </c>
      <c r="D477" s="2">
        <f t="shared" si="19"/>
        <v>3.2534504953590837E-2</v>
      </c>
      <c r="E477" s="2">
        <f t="shared" si="19"/>
        <v>3.280577036677168E-2</v>
      </c>
      <c r="F477" s="2">
        <f t="shared" si="19"/>
        <v>2.0187143617094307E-2</v>
      </c>
      <c r="G477" s="2">
        <f t="shared" si="19"/>
        <v>1.8006065671785306E-2</v>
      </c>
      <c r="H477" s="2">
        <f t="shared" si="19"/>
        <v>1.7203765965694586E-2</v>
      </c>
    </row>
    <row r="479" spans="2:8" x14ac:dyDescent="0.55000000000000004">
      <c r="B479" t="s">
        <v>1460</v>
      </c>
      <c r="C479" s="7">
        <f t="shared" ref="C479:H479" si="20">C472*0.66*0.72</f>
        <v>147.54812297510037</v>
      </c>
      <c r="D479" s="7">
        <f t="shared" si="20"/>
        <v>161.49930449172373</v>
      </c>
      <c r="E479" s="7">
        <f t="shared" si="20"/>
        <v>239.05882951016002</v>
      </c>
      <c r="F479" s="7">
        <f t="shared" si="20"/>
        <v>152.99765088650244</v>
      </c>
      <c r="G479" s="7">
        <f t="shared" si="20"/>
        <v>149.17270961433988</v>
      </c>
      <c r="H479" s="7">
        <f t="shared" si="20"/>
        <v>156.63134509505687</v>
      </c>
    </row>
    <row r="480" spans="2:8" x14ac:dyDescent="0.55000000000000004">
      <c r="B480" t="s">
        <v>1461</v>
      </c>
      <c r="C480" s="2">
        <f>C479/Master!H103</f>
        <v>0.10293576320294433</v>
      </c>
      <c r="D480" s="2">
        <f>D479/Master!I103</f>
        <v>0.11348415746730645</v>
      </c>
      <c r="E480" s="2">
        <f>E479/Master!J103</f>
        <v>0.14960812911331128</v>
      </c>
      <c r="F480" s="2">
        <f>F479/Master!K103</f>
        <v>8.7898364310706814E-2</v>
      </c>
      <c r="G480" s="2">
        <f>G479/Master!L103</f>
        <v>6.8825429473981542E-2</v>
      </c>
      <c r="H480" s="2">
        <f>H479/Master!M103</f>
        <v>5.7631941969625011E-2</v>
      </c>
    </row>
    <row r="482" spans="2:3" x14ac:dyDescent="0.55000000000000004">
      <c r="B482" s="20"/>
      <c r="C482" s="20">
        <v>2021</v>
      </c>
    </row>
    <row r="483" spans="2:3" x14ac:dyDescent="0.55000000000000004">
      <c r="B483" t="s">
        <v>1462</v>
      </c>
      <c r="C483" s="7">
        <f>Pagbank!F55</f>
        <v>29101.914630246349</v>
      </c>
    </row>
    <row r="484" spans="2:3" x14ac:dyDescent="0.55000000000000004">
      <c r="B484" t="s">
        <v>1464</v>
      </c>
      <c r="C484" s="7">
        <f>C483/12</f>
        <v>2425.1595525205289</v>
      </c>
    </row>
    <row r="485" spans="2:3" x14ac:dyDescent="0.55000000000000004">
      <c r="B485" t="s">
        <v>1463</v>
      </c>
      <c r="C485" s="11">
        <v>6.25E-2</v>
      </c>
    </row>
    <row r="486" spans="2:3" x14ac:dyDescent="0.55000000000000004">
      <c r="B486" t="s">
        <v>1465</v>
      </c>
      <c r="C486" s="7">
        <f>C485*C484</f>
        <v>151.57247203253306</v>
      </c>
    </row>
    <row r="491" spans="2:3" x14ac:dyDescent="0.55000000000000004">
      <c r="B491" s="38"/>
      <c r="C491" s="311"/>
    </row>
    <row r="492" spans="2:3" x14ac:dyDescent="0.55000000000000004">
      <c r="B492" s="173" t="s">
        <v>1517</v>
      </c>
      <c r="C492" s="174">
        <v>2193</v>
      </c>
    </row>
    <row r="493" spans="2:3" x14ac:dyDescent="0.55000000000000004">
      <c r="B493" s="10" t="s">
        <v>1286</v>
      </c>
      <c r="C493" s="346">
        <v>0.15</v>
      </c>
    </row>
    <row r="494" spans="2:3" x14ac:dyDescent="0.55000000000000004">
      <c r="B494" s="304" t="s">
        <v>1284</v>
      </c>
      <c r="C494" s="174">
        <v>0</v>
      </c>
    </row>
    <row r="495" spans="2:3" x14ac:dyDescent="0.55000000000000004">
      <c r="B495" t="s">
        <v>1518</v>
      </c>
      <c r="C495" s="7">
        <f>Master!H160</f>
        <v>107.09999999999945</v>
      </c>
    </row>
    <row r="496" spans="2:3" x14ac:dyDescent="0.55000000000000004">
      <c r="B496" s="173" t="s">
        <v>1283</v>
      </c>
      <c r="C496" s="174"/>
    </row>
    <row r="497" spans="2:4" x14ac:dyDescent="0.55000000000000004">
      <c r="B497" t="s">
        <v>1287</v>
      </c>
      <c r="C497" s="7"/>
    </row>
    <row r="498" spans="2:4" x14ac:dyDescent="0.55000000000000004">
      <c r="B498" s="173"/>
      <c r="C498" s="174"/>
    </row>
    <row r="500" spans="2:4" x14ac:dyDescent="0.55000000000000004">
      <c r="B500" s="20" t="s">
        <v>1532</v>
      </c>
      <c r="C500" s="355">
        <v>10</v>
      </c>
      <c r="D500" s="355">
        <v>15</v>
      </c>
    </row>
    <row r="501" spans="2:4" x14ac:dyDescent="0.55000000000000004">
      <c r="B501" s="182" t="s">
        <v>392</v>
      </c>
      <c r="C501" s="173"/>
      <c r="D501" s="173"/>
    </row>
    <row r="502" spans="2:4" x14ac:dyDescent="0.55000000000000004">
      <c r="B502" t="s">
        <v>1522</v>
      </c>
      <c r="C502" s="7" t="e">
        <f>Pagbank!#REF!</f>
        <v>#REF!</v>
      </c>
      <c r="D502" s="7" t="e">
        <f>C502</f>
        <v>#REF!</v>
      </c>
    </row>
    <row r="503" spans="2:4" x14ac:dyDescent="0.55000000000000004">
      <c r="B503" s="173" t="s">
        <v>1530</v>
      </c>
      <c r="C503" s="174" t="e">
        <f>C500*C502</f>
        <v>#REF!</v>
      </c>
      <c r="D503" s="174" t="e">
        <f>D500*D502</f>
        <v>#REF!</v>
      </c>
    </row>
    <row r="504" spans="2:4" x14ac:dyDescent="0.55000000000000004">
      <c r="B504" t="s">
        <v>1519</v>
      </c>
      <c r="C504" s="13">
        <v>5.6</v>
      </c>
      <c r="D504" s="13">
        <f>C504</f>
        <v>5.6</v>
      </c>
    </row>
    <row r="505" spans="2:4" x14ac:dyDescent="0.55000000000000004">
      <c r="B505" s="175" t="s">
        <v>1531</v>
      </c>
      <c r="C505" s="176" t="e">
        <f>C503/C504</f>
        <v>#REF!</v>
      </c>
      <c r="D505" s="176" t="e">
        <f>D503/D504</f>
        <v>#REF!</v>
      </c>
    </row>
    <row r="506" spans="2:4" x14ac:dyDescent="0.55000000000000004">
      <c r="C506" s="7"/>
      <c r="D506" s="7"/>
    </row>
    <row r="507" spans="2:4" x14ac:dyDescent="0.55000000000000004">
      <c r="B507" s="173" t="s">
        <v>1523</v>
      </c>
      <c r="C507" s="174">
        <f>Valuation!G36</f>
        <v>4499.0129999999999</v>
      </c>
      <c r="D507" s="174">
        <f>C507</f>
        <v>4499.0129999999999</v>
      </c>
    </row>
    <row r="508" spans="2:4" x14ac:dyDescent="0.55000000000000004">
      <c r="B508" s="18" t="s">
        <v>1524</v>
      </c>
      <c r="C508" s="356" t="e">
        <f>C507-C505</f>
        <v>#REF!</v>
      </c>
      <c r="D508" s="356" t="e">
        <f>D507-D505</f>
        <v>#REF!</v>
      </c>
    </row>
    <row r="509" spans="2:4" x14ac:dyDescent="0.55000000000000004">
      <c r="B509" s="173"/>
      <c r="C509" s="174"/>
      <c r="D509" s="174"/>
    </row>
    <row r="510" spans="2:4" x14ac:dyDescent="0.55000000000000004">
      <c r="B510" t="s">
        <v>1521</v>
      </c>
      <c r="C510" s="7">
        <f>Master!J103</f>
        <v>1597.8999999999994</v>
      </c>
      <c r="D510" s="7">
        <f>C510</f>
        <v>1597.8999999999994</v>
      </c>
    </row>
    <row r="511" spans="2:4" x14ac:dyDescent="0.55000000000000004">
      <c r="B511" s="173" t="s">
        <v>1527</v>
      </c>
      <c r="C511" s="179">
        <v>-0.2</v>
      </c>
      <c r="D511" s="179">
        <f>C511</f>
        <v>-0.2</v>
      </c>
    </row>
    <row r="512" spans="2:4" x14ac:dyDescent="0.55000000000000004">
      <c r="B512" t="s">
        <v>1520</v>
      </c>
      <c r="C512" s="7">
        <f>C510*C511</f>
        <v>-319.57999999999993</v>
      </c>
      <c r="D512" s="7">
        <f>D510*D511</f>
        <v>-319.57999999999993</v>
      </c>
    </row>
    <row r="513" spans="2:4" x14ac:dyDescent="0.55000000000000004">
      <c r="B513" s="173" t="s">
        <v>1525</v>
      </c>
      <c r="C513" s="174">
        <f>C510-C512</f>
        <v>1917.4799999999993</v>
      </c>
      <c r="D513" s="174">
        <f>D510-D512</f>
        <v>1917.4799999999993</v>
      </c>
    </row>
    <row r="514" spans="2:4" x14ac:dyDescent="0.55000000000000004">
      <c r="B514" t="s">
        <v>1529</v>
      </c>
      <c r="C514" s="2" t="e">
        <f>C513/(Master!J26-Analysis!C502)</f>
        <v>#REF!</v>
      </c>
      <c r="D514" s="2" t="e">
        <f>D513/(Master!J26-Analysis!D502)</f>
        <v>#REF!</v>
      </c>
    </row>
    <row r="515" spans="2:4" x14ac:dyDescent="0.55000000000000004">
      <c r="B515" s="173"/>
      <c r="C515" s="173"/>
      <c r="D515" s="173"/>
    </row>
    <row r="516" spans="2:4" ht="14.7" thickBot="1" x14ac:dyDescent="0.6">
      <c r="B516" t="s">
        <v>1528</v>
      </c>
      <c r="C516" s="7">
        <f>C513/C504</f>
        <v>342.40714285714279</v>
      </c>
      <c r="D516" s="7">
        <f>D513/D504</f>
        <v>342.40714285714279</v>
      </c>
    </row>
    <row r="517" spans="2:4" ht="14.7" thickBot="1" x14ac:dyDescent="0.6">
      <c r="B517" s="305" t="s">
        <v>1526</v>
      </c>
      <c r="C517" s="357" t="e">
        <f>C508/C516</f>
        <v>#REF!</v>
      </c>
      <c r="D517" s="358" t="e">
        <f>D508/D516</f>
        <v>#REF!</v>
      </c>
    </row>
    <row r="519" spans="2:4" x14ac:dyDescent="0.55000000000000004">
      <c r="B519" t="s">
        <v>1621</v>
      </c>
    </row>
    <row r="521" spans="2:4" x14ac:dyDescent="0.55000000000000004">
      <c r="B521" s="1"/>
      <c r="C521" s="19" t="s">
        <v>1622</v>
      </c>
      <c r="D521" s="19" t="s">
        <v>463</v>
      </c>
    </row>
    <row r="522" spans="2:4" x14ac:dyDescent="0.55000000000000004">
      <c r="B522" t="s">
        <v>942</v>
      </c>
      <c r="C522" s="8" t="s">
        <v>1623</v>
      </c>
      <c r="D522" s="366">
        <f>Acquirer!J84</f>
        <v>0.56613841830099498</v>
      </c>
    </row>
    <row r="523" spans="2:4" x14ac:dyDescent="0.55000000000000004">
      <c r="B523" t="s">
        <v>449</v>
      </c>
      <c r="C523" s="8" t="s">
        <v>1624</v>
      </c>
      <c r="D523" s="14">
        <f>Master!I135/1000</f>
        <v>1.7518</v>
      </c>
    </row>
    <row r="524" spans="2:4" x14ac:dyDescent="0.55000000000000004">
      <c r="B524" t="s">
        <v>396</v>
      </c>
      <c r="C524" s="365" t="s">
        <v>1625</v>
      </c>
      <c r="D524" s="14">
        <f>Master!I72/1000</f>
        <v>0.76860000000000006</v>
      </c>
    </row>
    <row r="526" spans="2:4" x14ac:dyDescent="0.55000000000000004">
      <c r="C526">
        <v>2021</v>
      </c>
    </row>
    <row r="527" spans="2:4" x14ac:dyDescent="0.55000000000000004">
      <c r="B527" t="s">
        <v>294</v>
      </c>
    </row>
    <row r="531" spans="2:5" x14ac:dyDescent="0.55000000000000004">
      <c r="C531" t="s">
        <v>705</v>
      </c>
      <c r="E531" s="3">
        <f>Quarts!Q111</f>
        <v>0.18545450848299097</v>
      </c>
    </row>
    <row r="532" spans="2:5" x14ac:dyDescent="0.55000000000000004">
      <c r="C532" t="s">
        <v>1440</v>
      </c>
      <c r="D532" s="2">
        <f>E531-E532</f>
        <v>0.14942885822000374</v>
      </c>
      <c r="E532" s="2">
        <f>D545</f>
        <v>3.6025650262987242E-2</v>
      </c>
    </row>
    <row r="533" spans="2:5" x14ac:dyDescent="0.55000000000000004">
      <c r="C533" t="s">
        <v>1679</v>
      </c>
      <c r="D533" s="2">
        <f>D532-E533</f>
        <v>0.13317973339851361</v>
      </c>
      <c r="E533" s="2">
        <f>C538-D538</f>
        <v>1.624912482149013E-2</v>
      </c>
    </row>
    <row r="534" spans="2:5" x14ac:dyDescent="0.55000000000000004">
      <c r="C534" t="s">
        <v>1678</v>
      </c>
      <c r="D534" s="2">
        <f>D533</f>
        <v>0.13317973339851361</v>
      </c>
      <c r="E534" s="2">
        <f>E533</f>
        <v>1.624912482149013E-2</v>
      </c>
    </row>
    <row r="535" spans="2:5" x14ac:dyDescent="0.55000000000000004">
      <c r="C535" t="s">
        <v>1159</v>
      </c>
      <c r="D535" s="2">
        <v>-9.9999999999999992E-2</v>
      </c>
      <c r="E535" s="3">
        <f>Quarts!U111</f>
        <v>0.15083939765112758</v>
      </c>
    </row>
    <row r="536" spans="2:5" x14ac:dyDescent="0.55000000000000004">
      <c r="D536" s="2"/>
      <c r="E536" s="2"/>
    </row>
    <row r="537" spans="2:5" x14ac:dyDescent="0.55000000000000004">
      <c r="D537" s="2"/>
      <c r="E537" s="2"/>
    </row>
    <row r="538" spans="2:5" x14ac:dyDescent="0.55000000000000004">
      <c r="C538" s="12">
        <f>Quarts!Q69/Quarts!Q9</f>
        <v>-5.6991022163162944E-2</v>
      </c>
      <c r="D538" s="12">
        <f>Quarts!U69/Quarts!U9</f>
        <v>-7.3240146984653073E-2</v>
      </c>
    </row>
    <row r="541" spans="2:5" x14ac:dyDescent="0.55000000000000004">
      <c r="B541" t="s">
        <v>1677</v>
      </c>
    </row>
    <row r="542" spans="2:5" x14ac:dyDescent="0.55000000000000004">
      <c r="C542" s="11">
        <v>0.02</v>
      </c>
    </row>
    <row r="543" spans="2:5" x14ac:dyDescent="0.55000000000000004">
      <c r="C543" s="11">
        <v>0.06</v>
      </c>
    </row>
    <row r="544" spans="2:5" x14ac:dyDescent="0.55000000000000004">
      <c r="C544">
        <f>(C543-C542)*10000</f>
        <v>399.99999999999994</v>
      </c>
      <c r="D544">
        <f>C544/4</f>
        <v>99.999999999999986</v>
      </c>
    </row>
    <row r="545" spans="2:8" x14ac:dyDescent="0.55000000000000004">
      <c r="D545" s="12">
        <f>D544/Quarts!U9</f>
        <v>3.6025650262987242E-2</v>
      </c>
    </row>
    <row r="552" spans="2:8" x14ac:dyDescent="0.55000000000000004">
      <c r="B552" t="s">
        <v>4</v>
      </c>
    </row>
    <row r="553" spans="2:8" x14ac:dyDescent="0.55000000000000004">
      <c r="B553" s="1"/>
      <c r="C553" s="1">
        <v>2020</v>
      </c>
      <c r="D553" s="1">
        <f>C553+1</f>
        <v>2021</v>
      </c>
      <c r="E553" s="1">
        <f>D553+1</f>
        <v>2022</v>
      </c>
      <c r="F553" s="1">
        <f>E553+1</f>
        <v>2023</v>
      </c>
      <c r="G553" s="1">
        <f>F553+1</f>
        <v>2024</v>
      </c>
      <c r="H553" s="1">
        <f>G553+1</f>
        <v>2025</v>
      </c>
    </row>
    <row r="554" spans="2:8" x14ac:dyDescent="0.55000000000000004">
      <c r="B554" t="s">
        <v>1701</v>
      </c>
      <c r="C554" s="12" t="e">
        <f>Pagbank!#REF!</f>
        <v>#REF!</v>
      </c>
      <c r="D554" s="12" t="e">
        <f>Pagbank!#REF!</f>
        <v>#REF!</v>
      </c>
      <c r="E554" s="12" t="e">
        <f>Pagbank!#REF!</f>
        <v>#REF!</v>
      </c>
      <c r="F554" s="12" t="e">
        <f>Pagbank!#REF!</f>
        <v>#REF!</v>
      </c>
      <c r="G554" s="12" t="e">
        <f>Pagbank!#REF!</f>
        <v>#REF!</v>
      </c>
      <c r="H554" s="12" t="e">
        <f>Pagbank!#REF!</f>
        <v>#REF!</v>
      </c>
    </row>
    <row r="556" spans="2:8" x14ac:dyDescent="0.55000000000000004">
      <c r="B556" t="s">
        <v>595</v>
      </c>
    </row>
    <row r="557" spans="2:8" x14ac:dyDescent="0.55000000000000004">
      <c r="B557" t="s">
        <v>1702</v>
      </c>
      <c r="C557" s="7">
        <f>Pagbank!E111</f>
        <v>23.5</v>
      </c>
      <c r="D557" s="7">
        <f>Pagbank!F111</f>
        <v>111.2</v>
      </c>
      <c r="E557" s="7">
        <f>Pagbank!G111</f>
        <v>865</v>
      </c>
      <c r="F557" s="7">
        <f>Pagbank!H111</f>
        <v>1356</v>
      </c>
      <c r="G557" s="7">
        <f>Pagbank!I111</f>
        <v>0</v>
      </c>
      <c r="H557" s="7">
        <f>Pagbank!J111</f>
        <v>0</v>
      </c>
    </row>
    <row r="558" spans="2:8" x14ac:dyDescent="0.55000000000000004">
      <c r="B558" t="s">
        <v>116</v>
      </c>
      <c r="C558" s="7">
        <f>Pagbank!E114</f>
        <v>257.7</v>
      </c>
      <c r="D558" s="7">
        <f>Pagbank!F114</f>
        <v>726.09999999999991</v>
      </c>
      <c r="E558" s="7">
        <f>Pagbank!G114</f>
        <v>1113</v>
      </c>
      <c r="F558" s="7">
        <f>Pagbank!H114</f>
        <v>763</v>
      </c>
      <c r="G558" s="7">
        <f>Pagbank!I114</f>
        <v>0</v>
      </c>
      <c r="H558" s="7">
        <f>Pagbank!J114</f>
        <v>0</v>
      </c>
    </row>
    <row r="570" spans="2:28" x14ac:dyDescent="0.55000000000000004">
      <c r="B570" t="s">
        <v>710</v>
      </c>
    </row>
    <row r="571" spans="2:28" x14ac:dyDescent="0.55000000000000004">
      <c r="B571" t="s">
        <v>1711</v>
      </c>
      <c r="C571" s="4">
        <v>74</v>
      </c>
    </row>
    <row r="572" spans="2:28" x14ac:dyDescent="0.55000000000000004">
      <c r="B572" t="s">
        <v>1710</v>
      </c>
      <c r="C572">
        <v>71</v>
      </c>
    </row>
    <row r="573" spans="2:28" x14ac:dyDescent="0.55000000000000004">
      <c r="B573" t="s">
        <v>1706</v>
      </c>
      <c r="C573" s="4">
        <v>59.3</v>
      </c>
    </row>
    <row r="574" spans="2:28" x14ac:dyDescent="0.55000000000000004">
      <c r="B574" t="s">
        <v>596</v>
      </c>
      <c r="C574">
        <v>59</v>
      </c>
    </row>
    <row r="575" spans="2:28" x14ac:dyDescent="0.55000000000000004">
      <c r="B575" t="s">
        <v>1703</v>
      </c>
      <c r="C575" s="4">
        <v>46</v>
      </c>
      <c r="E575" s="2"/>
      <c r="Y575" s="374" t="s">
        <v>463</v>
      </c>
      <c r="Z575" s="375">
        <v>2021</v>
      </c>
      <c r="AA575" s="375">
        <v>2022</v>
      </c>
      <c r="AB575" s="375">
        <v>2023</v>
      </c>
    </row>
    <row r="576" spans="2:28" x14ac:dyDescent="0.55000000000000004">
      <c r="B576" t="s">
        <v>1705</v>
      </c>
      <c r="C576" s="4">
        <v>35</v>
      </c>
      <c r="Y576" s="376" t="s">
        <v>294</v>
      </c>
      <c r="Z576" s="377">
        <f>Master!I12</f>
        <v>10446</v>
      </c>
      <c r="AA576" s="377">
        <f>Master!J12</f>
        <v>15334.8</v>
      </c>
      <c r="AB576" s="377">
        <f>Master!K12</f>
        <v>15949</v>
      </c>
    </row>
    <row r="577" spans="2:28" x14ac:dyDescent="0.55000000000000004">
      <c r="B577" t="s">
        <v>1708</v>
      </c>
      <c r="C577" s="4">
        <v>28.626095578053434</v>
      </c>
      <c r="Y577" s="378" t="s">
        <v>1713</v>
      </c>
      <c r="Z577" s="379">
        <f>Master!I103</f>
        <v>1423.0999999999995</v>
      </c>
      <c r="AA577" s="379">
        <f>Master!J103</f>
        <v>1597.8999999999994</v>
      </c>
      <c r="AB577" s="379">
        <f>Master!K103</f>
        <v>1740.6199999999994</v>
      </c>
    </row>
    <row r="578" spans="2:28" x14ac:dyDescent="0.55000000000000004">
      <c r="B578" t="s">
        <v>1707</v>
      </c>
      <c r="C578" s="4">
        <v>29.353295140019465</v>
      </c>
      <c r="Y578" s="376"/>
      <c r="Z578" s="380"/>
      <c r="AA578" s="380"/>
      <c r="AB578" s="381"/>
    </row>
    <row r="579" spans="2:28" x14ac:dyDescent="0.55000000000000004">
      <c r="B579" t="s">
        <v>1709</v>
      </c>
      <c r="C579" s="4">
        <v>26.382754878852658</v>
      </c>
      <c r="Y579" s="374" t="s">
        <v>240</v>
      </c>
      <c r="Z579" s="375">
        <v>2021</v>
      </c>
      <c r="AA579" s="375">
        <v>2022</v>
      </c>
      <c r="AB579" s="375">
        <v>2023</v>
      </c>
    </row>
    <row r="580" spans="2:28" x14ac:dyDescent="0.55000000000000004">
      <c r="B580" t="s">
        <v>3</v>
      </c>
      <c r="C580" s="4">
        <v>24</v>
      </c>
      <c r="Y580" s="376" t="s">
        <v>294</v>
      </c>
      <c r="Z580" s="377">
        <v>10236</v>
      </c>
      <c r="AA580" s="377">
        <v>12729</v>
      </c>
      <c r="AB580" s="377">
        <v>15881</v>
      </c>
    </row>
    <row r="581" spans="2:28" x14ac:dyDescent="0.55000000000000004">
      <c r="B581" t="s">
        <v>4</v>
      </c>
      <c r="C581" s="7">
        <v>17</v>
      </c>
      <c r="Y581" s="378" t="s">
        <v>323</v>
      </c>
      <c r="Z581" s="379">
        <v>1511</v>
      </c>
      <c r="AA581" s="379">
        <v>2002</v>
      </c>
      <c r="AB581" s="379">
        <v>2877</v>
      </c>
    </row>
    <row r="582" spans="2:28" x14ac:dyDescent="0.55000000000000004">
      <c r="B582" t="s">
        <v>1704</v>
      </c>
      <c r="C582" s="4">
        <v>7.5</v>
      </c>
    </row>
    <row r="583" spans="2:28" x14ac:dyDescent="0.55000000000000004">
      <c r="B583" t="s">
        <v>0</v>
      </c>
      <c r="C583" s="4">
        <v>6.1817990898359358</v>
      </c>
      <c r="Y583" s="374" t="s">
        <v>1712</v>
      </c>
      <c r="Z583" s="375">
        <v>2021</v>
      </c>
      <c r="AA583" s="375">
        <v>2022</v>
      </c>
      <c r="AB583" s="375">
        <v>2023</v>
      </c>
    </row>
    <row r="584" spans="2:28" x14ac:dyDescent="0.55000000000000004">
      <c r="Y584" s="376" t="s">
        <v>294</v>
      </c>
      <c r="Z584" s="382">
        <f t="shared" ref="Z584:AB585" si="21">Z576/Z580-1</f>
        <v>2.0515826494724498E-2</v>
      </c>
      <c r="AA584" s="382">
        <f t="shared" si="21"/>
        <v>0.20471364600518505</v>
      </c>
      <c r="AB584" s="382">
        <f t="shared" si="21"/>
        <v>4.2818462313456429E-3</v>
      </c>
    </row>
    <row r="585" spans="2:28" x14ac:dyDescent="0.55000000000000004">
      <c r="Y585" s="378" t="s">
        <v>323</v>
      </c>
      <c r="Z585" s="383">
        <f t="shared" si="21"/>
        <v>-5.817339510258146E-2</v>
      </c>
      <c r="AA585" s="383">
        <f t="shared" si="21"/>
        <v>-0.20184815184815219</v>
      </c>
      <c r="AB585" s="383">
        <f t="shared" si="21"/>
        <v>-0.39498783454987851</v>
      </c>
    </row>
    <row r="588" spans="2:28" x14ac:dyDescent="0.55000000000000004">
      <c r="B588" t="s">
        <v>1714</v>
      </c>
    </row>
    <row r="590" spans="2:28" x14ac:dyDescent="0.55000000000000004">
      <c r="B590" t="s">
        <v>1703</v>
      </c>
      <c r="C590" s="2">
        <v>0.79</v>
      </c>
    </row>
    <row r="591" spans="2:28" x14ac:dyDescent="0.55000000000000004">
      <c r="B591" t="s">
        <v>1715</v>
      </c>
      <c r="C591" s="2">
        <v>0.72</v>
      </c>
    </row>
    <row r="592" spans="2:28" x14ac:dyDescent="0.55000000000000004">
      <c r="B592" t="s">
        <v>3</v>
      </c>
      <c r="C592" s="2">
        <v>0.61767937411081941</v>
      </c>
    </row>
    <row r="593" spans="2:3" x14ac:dyDescent="0.55000000000000004">
      <c r="B593" t="s">
        <v>596</v>
      </c>
      <c r="C593" s="2">
        <v>0.61</v>
      </c>
    </row>
    <row r="594" spans="2:3" x14ac:dyDescent="0.55000000000000004">
      <c r="B594" t="s">
        <v>4</v>
      </c>
      <c r="C594" s="2">
        <f>Valuation!D116/Valuation!D117</f>
        <v>0.62283147393961324</v>
      </c>
    </row>
    <row r="595" spans="2:3" x14ac:dyDescent="0.55000000000000004">
      <c r="B595" t="s">
        <v>1704</v>
      </c>
      <c r="C595" s="2">
        <v>0.47</v>
      </c>
    </row>
    <row r="618" spans="2:3" x14ac:dyDescent="0.55000000000000004">
      <c r="B618" s="18" t="s">
        <v>1723</v>
      </c>
    </row>
    <row r="619" spans="2:3" x14ac:dyDescent="0.55000000000000004">
      <c r="B619" t="s">
        <v>462</v>
      </c>
      <c r="C619">
        <f>Quarts!U159</f>
        <v>66800</v>
      </c>
    </row>
    <row r="620" spans="2:3" x14ac:dyDescent="0.55000000000000004">
      <c r="B620" t="s">
        <v>1724</v>
      </c>
      <c r="C620" s="2">
        <v>0.4</v>
      </c>
    </row>
    <row r="621" spans="2:3" x14ac:dyDescent="0.55000000000000004">
      <c r="B621" t="s">
        <v>278</v>
      </c>
      <c r="C621">
        <f>C620*C619</f>
        <v>26720</v>
      </c>
    </row>
    <row r="623" spans="2:3" x14ac:dyDescent="0.55000000000000004">
      <c r="B623" t="s">
        <v>1725</v>
      </c>
      <c r="C623" s="11">
        <v>1.9900000000000001E-2</v>
      </c>
    </row>
    <row r="624" spans="2:3" x14ac:dyDescent="0.55000000000000004">
      <c r="B624" t="s">
        <v>1726</v>
      </c>
      <c r="C624" s="4">
        <f>C623*C621</f>
        <v>531.72800000000007</v>
      </c>
    </row>
    <row r="625" spans="2:9" x14ac:dyDescent="0.55000000000000004">
      <c r="B625" t="s">
        <v>249</v>
      </c>
      <c r="C625">
        <f>Quarts!U9</f>
        <v>2775.8</v>
      </c>
    </row>
    <row r="626" spans="2:9" x14ac:dyDescent="0.55000000000000004">
      <c r="C626" s="2">
        <f>C624/C625</f>
        <v>0.19155846963037684</v>
      </c>
    </row>
    <row r="628" spans="2:9" x14ac:dyDescent="0.55000000000000004">
      <c r="B628" t="s">
        <v>28</v>
      </c>
      <c r="C628" s="11">
        <v>5.0000000000000001E-3</v>
      </c>
    </row>
    <row r="629" spans="2:9" x14ac:dyDescent="0.55000000000000004">
      <c r="B629" s="1" t="s">
        <v>252</v>
      </c>
      <c r="C629" s="312">
        <v>4.0000000000000001E-3</v>
      </c>
    </row>
    <row r="630" spans="2:9" x14ac:dyDescent="0.55000000000000004">
      <c r="B630" t="s">
        <v>243</v>
      </c>
      <c r="C630" s="11">
        <f>C628+C629</f>
        <v>9.0000000000000011E-3</v>
      </c>
    </row>
    <row r="631" spans="2:9" x14ac:dyDescent="0.55000000000000004">
      <c r="B631" t="s">
        <v>1727</v>
      </c>
      <c r="C631" s="4">
        <f>C630*C621</f>
        <v>240.48000000000002</v>
      </c>
    </row>
    <row r="632" spans="2:9" x14ac:dyDescent="0.55000000000000004">
      <c r="B632" t="s">
        <v>717</v>
      </c>
      <c r="C632" s="4">
        <f>C624-C631</f>
        <v>291.24800000000005</v>
      </c>
    </row>
    <row r="633" spans="2:9" x14ac:dyDescent="0.55000000000000004">
      <c r="B633" t="s">
        <v>1728</v>
      </c>
      <c r="C633" s="2">
        <f>C632/Quarts!U13</f>
        <v>0.16263569354478447</v>
      </c>
    </row>
    <row r="636" spans="2:9" x14ac:dyDescent="0.55000000000000004">
      <c r="B636" s="20" t="s">
        <v>1729</v>
      </c>
      <c r="C636" s="20">
        <v>2020</v>
      </c>
      <c r="D636" s="20">
        <v>2021</v>
      </c>
      <c r="E636" s="20">
        <f>D636+1</f>
        <v>2022</v>
      </c>
      <c r="F636" s="20">
        <f>E636+1</f>
        <v>2023</v>
      </c>
      <c r="G636" s="20">
        <f>F636+1</f>
        <v>2024</v>
      </c>
      <c r="H636" s="20">
        <f>G636+1</f>
        <v>2025</v>
      </c>
      <c r="I636" s="20" t="s">
        <v>1730</v>
      </c>
    </row>
    <row r="638" spans="2:9" x14ac:dyDescent="0.55000000000000004">
      <c r="B638" t="s">
        <v>264</v>
      </c>
      <c r="C638" s="7">
        <f>Master!H12-Master!H5</f>
        <v>6250.5000000000009</v>
      </c>
      <c r="D638" s="7">
        <f>Master!I12-Master!I5</f>
        <v>9529.1</v>
      </c>
      <c r="E638" s="7">
        <f>Master!J12-Master!J5</f>
        <v>13920.8</v>
      </c>
      <c r="F638" s="7">
        <f>Master!K12-Master!K5</f>
        <v>14889.309474315545</v>
      </c>
      <c r="G638" s="7">
        <f>Master!L12-Master!L5</f>
        <v>16360.601827270579</v>
      </c>
      <c r="H638" s="7">
        <f>Master!M12-Master!M5</f>
        <v>17680.529957286173</v>
      </c>
      <c r="I638" s="2">
        <f>(H638/D638)^(1/4)-1</f>
        <v>0.16710746928404951</v>
      </c>
    </row>
    <row r="639" spans="2:9" x14ac:dyDescent="0.55000000000000004">
      <c r="B639" t="s">
        <v>195</v>
      </c>
      <c r="D639" s="2">
        <f>D638/C638-1</f>
        <v>0.52453403727701775</v>
      </c>
      <c r="E639" s="2">
        <f>E638/D638-1</f>
        <v>0.46087248533439662</v>
      </c>
      <c r="F639" s="2">
        <f>F638/E638-1</f>
        <v>6.9572831612805697E-2</v>
      </c>
      <c r="G639" s="2">
        <f>G638/F638-1</f>
        <v>9.8815351745697333E-2</v>
      </c>
      <c r="H639" s="2">
        <f>H638/G638-1</f>
        <v>8.0677235712409923E-2</v>
      </c>
      <c r="I639" s="2"/>
    </row>
    <row r="640" spans="2:9" x14ac:dyDescent="0.55000000000000004">
      <c r="B640" t="s">
        <v>265</v>
      </c>
      <c r="C640" s="7">
        <v>2953.1101999999996</v>
      </c>
      <c r="D640" s="7">
        <v>4359.0641822134166</v>
      </c>
      <c r="E640" s="7">
        <v>6248.4202256805547</v>
      </c>
      <c r="F640" s="7">
        <v>7789.0525198164614</v>
      </c>
      <c r="G640" s="7">
        <v>8957.5188996239431</v>
      </c>
      <c r="H640" s="7">
        <v>9934.0296058897129</v>
      </c>
      <c r="I640" s="2">
        <f>(H640/D640)^(1/4)-1</f>
        <v>0.22866375393308958</v>
      </c>
    </row>
    <row r="641" spans="2:14" x14ac:dyDescent="0.55000000000000004">
      <c r="D641" s="2">
        <f>D640/C640-1</f>
        <v>0.47609262336820923</v>
      </c>
      <c r="E641" s="2">
        <f>E640/D640-1</f>
        <v>0.43343157257844589</v>
      </c>
      <c r="F641" s="2">
        <f>F640/E640-1</f>
        <v>0.24656348940873407</v>
      </c>
      <c r="G641" s="2">
        <f>G640/F640-1</f>
        <v>0.15001393004280517</v>
      </c>
      <c r="H641" s="2">
        <f>H640/G640-1</f>
        <v>0.10901575728818913</v>
      </c>
    </row>
    <row r="642" spans="2:14" x14ac:dyDescent="0.55000000000000004">
      <c r="D642" s="2"/>
      <c r="E642" s="2"/>
      <c r="F642" s="2"/>
      <c r="G642" s="2"/>
      <c r="H642" s="2"/>
    </row>
    <row r="643" spans="2:14" x14ac:dyDescent="0.55000000000000004">
      <c r="B643" t="s">
        <v>462</v>
      </c>
      <c r="C643" s="8" t="s">
        <v>1080</v>
      </c>
      <c r="D643" s="8" t="s">
        <v>1081</v>
      </c>
      <c r="E643" s="8" t="s">
        <v>1159</v>
      </c>
      <c r="F643" s="8" t="s">
        <v>1511</v>
      </c>
      <c r="G643" s="8" t="s">
        <v>1731</v>
      </c>
      <c r="H643" s="8" t="s">
        <v>1732</v>
      </c>
      <c r="I643" s="8" t="s">
        <v>1733</v>
      </c>
      <c r="J643" s="8" t="s">
        <v>1734</v>
      </c>
      <c r="K643" s="8" t="s">
        <v>1735</v>
      </c>
      <c r="L643" s="8" t="s">
        <v>1736</v>
      </c>
      <c r="M643" s="8" t="s">
        <v>1737</v>
      </c>
      <c r="N643" s="8" t="s">
        <v>1738</v>
      </c>
    </row>
    <row r="644" spans="2:14" x14ac:dyDescent="0.55000000000000004">
      <c r="B644" t="s">
        <v>265</v>
      </c>
      <c r="C644" s="3">
        <v>0.35106382978723394</v>
      </c>
      <c r="D644" s="3">
        <v>0.62326869806094187</v>
      </c>
      <c r="E644" s="3">
        <v>0.53638253638253652</v>
      </c>
      <c r="F644" s="3">
        <v>0.54317578303280789</v>
      </c>
      <c r="G644" s="3">
        <v>0.59448818897637801</v>
      </c>
      <c r="H644" s="3">
        <v>0.51877133105802042</v>
      </c>
      <c r="I644" s="3">
        <v>0.33964817320703644</v>
      </c>
      <c r="J644" s="3">
        <v>0.31038315904986047</v>
      </c>
      <c r="K644" s="3">
        <v>0.35802469135802473</v>
      </c>
      <c r="L644" s="3">
        <v>0.3707865168539326</v>
      </c>
      <c r="M644" s="3">
        <v>0.34343434343434343</v>
      </c>
      <c r="N644" s="3">
        <v>0.22986126824591557</v>
      </c>
    </row>
    <row r="645" spans="2:14" x14ac:dyDescent="0.55000000000000004">
      <c r="B645" t="s">
        <v>4</v>
      </c>
      <c r="C645" s="2">
        <f>Quarts!AU159</f>
        <v>0.57941666397169356</v>
      </c>
      <c r="D645" s="2">
        <f>Quarts!AV159</f>
        <v>0.89078994253328969</v>
      </c>
      <c r="E645" s="2">
        <f>Quarts!AW159</f>
        <v>0.48903516645399536</v>
      </c>
      <c r="F645" s="2" t="e">
        <f>Quarts!#REF!</f>
        <v>#REF!</v>
      </c>
      <c r="G645" s="2" t="e">
        <f>Quarts!#REF!</f>
        <v>#REF!</v>
      </c>
      <c r="H645" s="2" t="e">
        <f>Quarts!#REF!</f>
        <v>#REF!</v>
      </c>
      <c r="I645" s="2" t="e">
        <f>Quarts!#REF!</f>
        <v>#REF!</v>
      </c>
      <c r="J645" s="2" t="e">
        <f>Quarts!#REF!</f>
        <v>#REF!</v>
      </c>
      <c r="K645" s="2" t="e">
        <f>Quarts!#REF!</f>
        <v>#REF!</v>
      </c>
      <c r="L645" s="2" t="e">
        <f>Quarts!#REF!</f>
        <v>#REF!</v>
      </c>
      <c r="M645" s="2" t="e">
        <f>Quarts!#REF!</f>
        <v>#REF!</v>
      </c>
      <c r="N645" s="2" t="e">
        <f>Quarts!#REF!</f>
        <v>#REF!</v>
      </c>
    </row>
    <row r="669" spans="2:9" x14ac:dyDescent="0.55000000000000004">
      <c r="B669" s="20" t="s">
        <v>725</v>
      </c>
      <c r="C669" s="20">
        <v>2020</v>
      </c>
      <c r="D669" s="20">
        <v>2021</v>
      </c>
      <c r="E669" s="20">
        <f>D669+1</f>
        <v>2022</v>
      </c>
      <c r="F669" s="20">
        <f>E669+1</f>
        <v>2023</v>
      </c>
      <c r="G669" s="20">
        <f>F669+1</f>
        <v>2024</v>
      </c>
      <c r="H669" s="20">
        <f>G669+1</f>
        <v>2025</v>
      </c>
      <c r="I669" s="20" t="s">
        <v>1730</v>
      </c>
    </row>
    <row r="670" spans="2:9" x14ac:dyDescent="0.55000000000000004">
      <c r="B670" t="str">
        <f>B638</f>
        <v>PagSeguro</v>
      </c>
      <c r="C670" s="4">
        <f>Acquirer!I7</f>
        <v>161.54383102003447</v>
      </c>
      <c r="D670" s="4">
        <f>Acquirer!J7</f>
        <v>253</v>
      </c>
      <c r="E670" s="4">
        <f>Acquirer!K7</f>
        <v>354</v>
      </c>
      <c r="F670" s="4">
        <f>Acquirer!L7</f>
        <v>394.6</v>
      </c>
      <c r="G670" s="4">
        <f>Acquirer!M7</f>
        <v>457.82619834710738</v>
      </c>
      <c r="H670" s="4">
        <f>Acquirer!N7</f>
        <v>522.17537685950413</v>
      </c>
      <c r="I670" s="2">
        <f>(H670/D670)^(1/4)-1</f>
        <v>0.19859915425523211</v>
      </c>
    </row>
    <row r="671" spans="2:9" x14ac:dyDescent="0.55000000000000004">
      <c r="B671" t="str">
        <f>B640</f>
        <v>Stone</v>
      </c>
      <c r="C671" s="4">
        <v>209.8</v>
      </c>
      <c r="D671" s="4">
        <v>274.8239723677799</v>
      </c>
      <c r="E671" s="4">
        <v>384.86928424702899</v>
      </c>
      <c r="F671" s="4">
        <v>507.50314487479756</v>
      </c>
      <c r="G671" s="4">
        <v>621.84997455876089</v>
      </c>
      <c r="H671" s="4">
        <v>731.14874599846758</v>
      </c>
      <c r="I671" s="2">
        <f>(H671/D671)^(1/4)-1</f>
        <v>0.27713786645940619</v>
      </c>
    </row>
    <row r="673" spans="2:8" x14ac:dyDescent="0.55000000000000004">
      <c r="B673" s="384">
        <v>44562</v>
      </c>
      <c r="C673">
        <f t="shared" ref="C673:H673" si="22">C669</f>
        <v>2020</v>
      </c>
      <c r="D673">
        <f t="shared" si="22"/>
        <v>2021</v>
      </c>
      <c r="E673">
        <f t="shared" si="22"/>
        <v>2022</v>
      </c>
      <c r="F673">
        <f t="shared" si="22"/>
        <v>2023</v>
      </c>
      <c r="G673">
        <f t="shared" si="22"/>
        <v>2024</v>
      </c>
      <c r="H673">
        <f t="shared" si="22"/>
        <v>2025</v>
      </c>
    </row>
    <row r="674" spans="2:8" x14ac:dyDescent="0.55000000000000004">
      <c r="B674" t="s">
        <v>1739</v>
      </c>
    </row>
    <row r="675" spans="2:8" x14ac:dyDescent="0.55000000000000004">
      <c r="B675" t="s">
        <v>1741</v>
      </c>
      <c r="C675" s="4">
        <f>Master!H12</f>
        <v>6814.7000000000007</v>
      </c>
      <c r="D675" s="4">
        <f>Master!I12</f>
        <v>10446</v>
      </c>
      <c r="E675" s="4">
        <f>Master!J12</f>
        <v>15334.8</v>
      </c>
      <c r="F675" s="4">
        <f>Master!K12</f>
        <v>15949</v>
      </c>
      <c r="G675" s="4">
        <f>Master!L12</f>
        <v>17433.882583367609</v>
      </c>
      <c r="H675" s="4">
        <f>Master!M12</f>
        <v>19159.259496036688</v>
      </c>
    </row>
    <row r="676" spans="2:8" x14ac:dyDescent="0.55000000000000004">
      <c r="B676" t="s">
        <v>1742</v>
      </c>
      <c r="C676" s="4">
        <f>Master!H26</f>
        <v>4696.9000000000005</v>
      </c>
      <c r="D676" s="4">
        <f>Master!I26</f>
        <v>6749</v>
      </c>
      <c r="E676" s="4">
        <f>Master!J26</f>
        <v>9949.7999999999993</v>
      </c>
      <c r="F676" s="4">
        <f>Master!K26</f>
        <v>10175</v>
      </c>
      <c r="G676" s="4">
        <f>Master!L26</f>
        <v>10835.624552523543</v>
      </c>
      <c r="H676" s="4">
        <f>Master!M26</f>
        <v>11751.109282259747</v>
      </c>
    </row>
    <row r="677" spans="2:8" x14ac:dyDescent="0.55000000000000004">
      <c r="B677" t="s">
        <v>323</v>
      </c>
      <c r="C677" s="4">
        <f>Master!H103</f>
        <v>1433.3999999999996</v>
      </c>
      <c r="D677" s="4">
        <f>Master!I103</f>
        <v>1423.0999999999995</v>
      </c>
      <c r="E677" s="4">
        <f>Master!J103</f>
        <v>1597.8999999999994</v>
      </c>
      <c r="F677" s="4">
        <f>Master!K103</f>
        <v>1740.6199999999994</v>
      </c>
      <c r="G677" s="4">
        <f>Master!L103</f>
        <v>2167.4068836829047</v>
      </c>
      <c r="H677" s="4">
        <f>Master!M103</f>
        <v>2717.7870420817958</v>
      </c>
    </row>
    <row r="679" spans="2:8" x14ac:dyDescent="0.55000000000000004">
      <c r="B679" t="s">
        <v>1740</v>
      </c>
    </row>
    <row r="680" spans="2:8" x14ac:dyDescent="0.55000000000000004">
      <c r="B680" t="str">
        <f>B675</f>
        <v>Gross revs</v>
      </c>
      <c r="C680">
        <v>6814.7000000000007</v>
      </c>
      <c r="D680">
        <v>9639.7044968635055</v>
      </c>
      <c r="E680">
        <v>13253.762126465619</v>
      </c>
      <c r="F680">
        <v>17338.425733859316</v>
      </c>
      <c r="G680">
        <v>20889.280407455517</v>
      </c>
      <c r="H680">
        <v>24156.102267640184</v>
      </c>
    </row>
    <row r="681" spans="2:8" x14ac:dyDescent="0.55000000000000004">
      <c r="B681" t="str">
        <f>B676</f>
        <v>Net revs</v>
      </c>
      <c r="C681">
        <v>4696.9000000000005</v>
      </c>
      <c r="D681">
        <v>6360.2274767199333</v>
      </c>
      <c r="E681">
        <v>8717.5405958179617</v>
      </c>
      <c r="F681">
        <v>11438.672783962702</v>
      </c>
      <c r="G681">
        <v>13729.812272738336</v>
      </c>
      <c r="H681">
        <v>15678.221520561488</v>
      </c>
    </row>
    <row r="682" spans="2:8" x14ac:dyDescent="0.55000000000000004">
      <c r="B682" t="str">
        <f>B677</f>
        <v>Net income</v>
      </c>
      <c r="C682">
        <v>1433.3999999999996</v>
      </c>
      <c r="D682">
        <v>1497.1905716342214</v>
      </c>
      <c r="E682">
        <v>2072.490529087614</v>
      </c>
      <c r="F682">
        <v>3187.3321080422165</v>
      </c>
      <c r="G682">
        <v>4332.164215422401</v>
      </c>
      <c r="H682">
        <v>5267.4551317975229</v>
      </c>
    </row>
    <row r="684" spans="2:8" ht="14.7" thickBot="1" x14ac:dyDescent="0.6"/>
    <row r="685" spans="2:8" ht="14.7" thickBot="1" x14ac:dyDescent="0.6">
      <c r="B685" t="s">
        <v>1060</v>
      </c>
      <c r="C685" s="11">
        <v>8.0833333333333326E-2</v>
      </c>
      <c r="D685" s="11">
        <v>4.5416666666666661E-2</v>
      </c>
      <c r="E685">
        <v>317.91666666666663</v>
      </c>
      <c r="F685" s="396">
        <v>4.7083333333333338E-2</v>
      </c>
    </row>
    <row r="686" spans="2:8" x14ac:dyDescent="0.55000000000000004">
      <c r="B686" t="s">
        <v>1802</v>
      </c>
      <c r="C686" s="11">
        <v>0.10249999999999999</v>
      </c>
      <c r="D686" s="2">
        <f>C686/C685-1</f>
        <v>0.268041237113402</v>
      </c>
    </row>
    <row r="687" spans="2:8" x14ac:dyDescent="0.55000000000000004">
      <c r="B687" t="s">
        <v>1058</v>
      </c>
      <c r="C687" s="11">
        <v>0.12416666666666666</v>
      </c>
      <c r="D687" s="2">
        <f>C687/C686-1</f>
        <v>0.21138211382113825</v>
      </c>
    </row>
    <row r="688" spans="2:8" ht="14.7" thickBot="1" x14ac:dyDescent="0.6">
      <c r="B688" t="s">
        <v>1059</v>
      </c>
      <c r="C688" s="11">
        <v>0.13500000000000001</v>
      </c>
      <c r="D688" s="2">
        <f>C688/C687-1</f>
        <v>8.7248322147651214E-2</v>
      </c>
    </row>
    <row r="689" spans="2:18" ht="14.7" thickBot="1" x14ac:dyDescent="0.6">
      <c r="B689" t="s">
        <v>1060</v>
      </c>
      <c r="C689" s="11">
        <v>0.13500000000000001</v>
      </c>
      <c r="D689" s="2">
        <f>C689/C688-1</f>
        <v>0</v>
      </c>
      <c r="F689" s="396">
        <v>0.12416666666666666</v>
      </c>
    </row>
    <row r="692" spans="2:18" x14ac:dyDescent="0.55000000000000004">
      <c r="B692" s="20" t="s">
        <v>1811</v>
      </c>
      <c r="C692" s="19" t="str">
        <f>Quarts!O4</f>
        <v>1Q 20</v>
      </c>
      <c r="D692" s="19" t="str">
        <f>Quarts!P4</f>
        <v>2Q 20</v>
      </c>
      <c r="E692" s="19" t="str">
        <f>Quarts!Q4</f>
        <v>3Q 20</v>
      </c>
      <c r="F692" s="19" t="str">
        <f>Quarts!R4</f>
        <v>4Q 20</v>
      </c>
      <c r="G692" s="19" t="str">
        <f>Quarts!S4</f>
        <v>1Q 21</v>
      </c>
      <c r="H692" s="19" t="str">
        <f>Quarts!T4</f>
        <v>2Q 21</v>
      </c>
      <c r="I692" s="19" t="str">
        <f>Quarts!U4</f>
        <v>3Q 21</v>
      </c>
      <c r="J692" s="19" t="str">
        <f>Quarts!V4</f>
        <v>4Q 21</v>
      </c>
      <c r="K692" s="19" t="e">
        <f>Quarts!#REF!</f>
        <v>#REF!</v>
      </c>
      <c r="L692" s="19" t="e">
        <f>Quarts!#REF!</f>
        <v>#REF!</v>
      </c>
      <c r="M692" s="19" t="e">
        <f>Quarts!#REF!</f>
        <v>#REF!</v>
      </c>
      <c r="N692" s="19" t="e">
        <f>Quarts!#REF!</f>
        <v>#REF!</v>
      </c>
      <c r="O692" s="19" t="e">
        <f>Quarts!#REF!</f>
        <v>#REF!</v>
      </c>
      <c r="P692" s="19" t="e">
        <f>Quarts!#REF!</f>
        <v>#REF!</v>
      </c>
      <c r="Q692" s="19" t="e">
        <f>Quarts!#REF!</f>
        <v>#REF!</v>
      </c>
      <c r="R692" s="19" t="e">
        <f>Quarts!#REF!</f>
        <v>#REF!</v>
      </c>
    </row>
    <row r="693" spans="2:18" x14ac:dyDescent="0.55000000000000004">
      <c r="B693" t="s">
        <v>679</v>
      </c>
      <c r="C693" s="12">
        <f>Quarts!O43</f>
        <v>2.80694245804789E-2</v>
      </c>
      <c r="D693" s="12">
        <f>Quarts!P43</f>
        <v>2.4342391163562307E-2</v>
      </c>
      <c r="E693" s="12">
        <f>Quarts!Q43</f>
        <v>2.0295743387978665E-2</v>
      </c>
      <c r="F693" s="12">
        <f>Quarts!R43</f>
        <v>1.9748686399967869E-2</v>
      </c>
      <c r="G693" s="12">
        <f>Quarts!S43</f>
        <v>2.09631721879588E-2</v>
      </c>
      <c r="H693" s="12">
        <f>Quarts!T43</f>
        <v>2.0882654890729147E-2</v>
      </c>
      <c r="I693" s="12">
        <f>Quarts!U43</f>
        <v>2.0343508504983728E-2</v>
      </c>
      <c r="J693" s="12">
        <f>Quarts!V43</f>
        <v>1.8793229014612538E-2</v>
      </c>
      <c r="K693" s="12" t="e">
        <f>Quarts!#REF!</f>
        <v>#REF!</v>
      </c>
      <c r="L693" s="12" t="e">
        <f>Quarts!#REF!</f>
        <v>#REF!</v>
      </c>
      <c r="M693" s="12" t="e">
        <f>Quarts!#REF!</f>
        <v>#REF!</v>
      </c>
      <c r="N693" s="12" t="e">
        <f>Quarts!#REF!</f>
        <v>#REF!</v>
      </c>
      <c r="O693" s="12" t="e">
        <f>Quarts!#REF!</f>
        <v>#REF!</v>
      </c>
      <c r="P693" s="12" t="e">
        <f>Quarts!#REF!</f>
        <v>#REF!</v>
      </c>
      <c r="Q693" s="12" t="e">
        <f>Quarts!#REF!</f>
        <v>#REF!</v>
      </c>
      <c r="R693" s="12" t="e">
        <f>Quarts!#REF!</f>
        <v>#REF!</v>
      </c>
    </row>
    <row r="694" spans="2:18" x14ac:dyDescent="0.55000000000000004">
      <c r="B694" t="s">
        <v>1807</v>
      </c>
      <c r="C694" s="12">
        <f>Quarts!O48</f>
        <v>0</v>
      </c>
      <c r="D694" s="12">
        <f>Quarts!P48</f>
        <v>0</v>
      </c>
      <c r="E694" s="12">
        <f>Quarts!Q48</f>
        <v>0</v>
      </c>
      <c r="F694" s="12">
        <f>Quarts!R48</f>
        <v>0</v>
      </c>
      <c r="G694" s="12">
        <f>Quarts!S48</f>
        <v>1.9899810205148485E-2</v>
      </c>
      <c r="H694" s="12">
        <f>Quarts!T48</f>
        <v>1.8498701753248008E-2</v>
      </c>
      <c r="I694" s="12">
        <f>Quarts!U48</f>
        <v>1.7203221300475857E-2</v>
      </c>
      <c r="J694" s="12">
        <f>Quarts!V48</f>
        <v>1.3690567417654363E-2</v>
      </c>
      <c r="K694" s="12" t="e">
        <f>Quarts!#REF!</f>
        <v>#REF!</v>
      </c>
      <c r="L694" s="12" t="e">
        <f>Quarts!#REF!</f>
        <v>#REF!</v>
      </c>
      <c r="M694" s="12" t="e">
        <f>Quarts!#REF!</f>
        <v>#REF!</v>
      </c>
      <c r="N694" s="12" t="e">
        <f>Quarts!#REF!</f>
        <v>#REF!</v>
      </c>
      <c r="O694" s="12" t="e">
        <f>Quarts!#REF!</f>
        <v>#REF!</v>
      </c>
      <c r="P694" s="12" t="e">
        <f>Quarts!#REF!</f>
        <v>#REF!</v>
      </c>
      <c r="Q694" s="12" t="e">
        <f>Quarts!#REF!</f>
        <v>#REF!</v>
      </c>
      <c r="R694" s="12" t="e">
        <f>Quarts!#REF!</f>
        <v>#REF!</v>
      </c>
    </row>
    <row r="696" spans="2:18" x14ac:dyDescent="0.55000000000000004">
      <c r="B696" s="18" t="s">
        <v>1810</v>
      </c>
    </row>
    <row r="697" spans="2:18" x14ac:dyDescent="0.55000000000000004">
      <c r="B697" t="s">
        <v>1808</v>
      </c>
      <c r="C697" s="12">
        <v>2.12E-2</v>
      </c>
      <c r="D697" s="12">
        <v>0.02</v>
      </c>
      <c r="E697" s="12">
        <v>1.8100000000000002E-2</v>
      </c>
      <c r="F697" s="12">
        <v>1.7999999999999999E-2</v>
      </c>
      <c r="G697" s="12">
        <v>1.7899999999999999E-2</v>
      </c>
      <c r="H697" s="12">
        <v>1.7899999999999999E-2</v>
      </c>
      <c r="I697" s="12">
        <v>1.67E-2</v>
      </c>
      <c r="J697" s="12">
        <v>1.7100000000000001E-2</v>
      </c>
      <c r="K697" s="12">
        <v>2.0400000000000001E-2</v>
      </c>
      <c r="L697" s="12">
        <v>2.1499999999999998E-2</v>
      </c>
      <c r="M697" s="12">
        <v>2.12E-2</v>
      </c>
      <c r="N697" s="12">
        <v>2.0969494322500001E-2</v>
      </c>
    </row>
    <row r="698" spans="2:18" x14ac:dyDescent="0.55000000000000004">
      <c r="B698" t="s">
        <v>1809</v>
      </c>
      <c r="C698" s="12">
        <v>1.684095744680851E-2</v>
      </c>
      <c r="D698" s="12">
        <v>1.8060367454068242E-2</v>
      </c>
      <c r="E698" s="12">
        <v>1.6887661406025826E-2</v>
      </c>
      <c r="F698" s="12">
        <v>1.6703416149068322E-2</v>
      </c>
      <c r="G698" s="12">
        <v>1.5794117647058823E-2</v>
      </c>
      <c r="H698" s="12">
        <v>1.5022516556291388E-2</v>
      </c>
      <c r="I698" s="12">
        <v>1.2890666666666667E-2</v>
      </c>
      <c r="J698" s="12">
        <v>1.1111235955056182E-2</v>
      </c>
      <c r="K698" s="12">
        <v>1.2802867393480922E-2</v>
      </c>
      <c r="L698" s="12">
        <v>1.2605795972855712E-2</v>
      </c>
      <c r="M698" s="12">
        <v>1.2166082851262659E-2</v>
      </c>
      <c r="N698" s="12">
        <v>1.2043677667679799E-2</v>
      </c>
    </row>
    <row r="726" spans="2:7" x14ac:dyDescent="0.55000000000000004">
      <c r="B726" s="1" t="s">
        <v>1813</v>
      </c>
      <c r="C726" s="1">
        <v>2021</v>
      </c>
      <c r="D726" s="1">
        <f>C726+1</f>
        <v>2022</v>
      </c>
      <c r="E726" s="1">
        <f>D726+1</f>
        <v>2023</v>
      </c>
      <c r="F726" s="1">
        <f>E726+1</f>
        <v>2024</v>
      </c>
      <c r="G726" s="1">
        <f>F726+1</f>
        <v>2025</v>
      </c>
    </row>
    <row r="727" spans="2:7" x14ac:dyDescent="0.55000000000000004">
      <c r="B727" t="s">
        <v>4</v>
      </c>
      <c r="C727" s="7">
        <f>Master!I103</f>
        <v>1423.0999999999995</v>
      </c>
      <c r="D727" s="7">
        <f>Master!J103</f>
        <v>1597.8999999999994</v>
      </c>
      <c r="E727" s="7">
        <f>Master!K103</f>
        <v>1740.6199999999994</v>
      </c>
      <c r="F727" s="7">
        <f>Master!L103</f>
        <v>2167.4068836829047</v>
      </c>
      <c r="G727" s="7">
        <f>Master!M103</f>
        <v>2717.7870420817958</v>
      </c>
    </row>
    <row r="728" spans="2:7" x14ac:dyDescent="0.55000000000000004">
      <c r="B728" t="s">
        <v>1814</v>
      </c>
      <c r="C728" s="7">
        <v>92.300000000001091</v>
      </c>
      <c r="D728" s="7">
        <v>122.58134025091405</v>
      </c>
      <c r="E728" s="7">
        <v>969.122641830671</v>
      </c>
      <c r="F728" s="7">
        <v>1513.9648660345924</v>
      </c>
      <c r="G728" s="7">
        <v>1939.7254960496909</v>
      </c>
    </row>
    <row r="729" spans="2:7" x14ac:dyDescent="0.55000000000000004">
      <c r="B729" t="s">
        <v>2</v>
      </c>
    </row>
    <row r="731" spans="2:7" x14ac:dyDescent="0.55000000000000004">
      <c r="B731" s="1" t="s">
        <v>600</v>
      </c>
      <c r="C731" s="1">
        <v>2021</v>
      </c>
      <c r="D731" s="1">
        <f>C731+1</f>
        <v>2022</v>
      </c>
      <c r="E731" s="1">
        <f>D731+1</f>
        <v>2023</v>
      </c>
      <c r="F731" s="1">
        <f>E731+1</f>
        <v>2024</v>
      </c>
      <c r="G731" s="1">
        <f>F731+1</f>
        <v>2025</v>
      </c>
    </row>
    <row r="732" spans="2:7" x14ac:dyDescent="0.55000000000000004">
      <c r="B732" t="s">
        <v>1815</v>
      </c>
      <c r="C732" s="2">
        <f>Master!I107</f>
        <v>0.21086086827678166</v>
      </c>
      <c r="D732" s="2">
        <f>Master!J107</f>
        <v>0.16059619288829921</v>
      </c>
      <c r="E732" s="2">
        <f>Master!K107</f>
        <v>0.17106830466830461</v>
      </c>
      <c r="F732" s="2">
        <f>Master!L107</f>
        <v>0.20002602278962595</v>
      </c>
      <c r="G732" s="2">
        <f>Master!M107</f>
        <v>0.23127919048329734</v>
      </c>
    </row>
    <row r="733" spans="2:7" x14ac:dyDescent="0.55000000000000004">
      <c r="B733" t="str">
        <f>B728</f>
        <v>StoneCo</v>
      </c>
      <c r="C733" s="2">
        <v>1.7367579264277181E-2</v>
      </c>
      <c r="D733" s="2">
        <v>1.3510228657955854E-2</v>
      </c>
      <c r="E733" s="2">
        <v>8.4199987166509449E-2</v>
      </c>
      <c r="F733" s="2">
        <v>0.11309909114596522</v>
      </c>
      <c r="G733" s="2">
        <v>0.12914857948325642</v>
      </c>
    </row>
    <row r="734" spans="2:7" x14ac:dyDescent="0.55000000000000004">
      <c r="B734" t="str">
        <f>B729</f>
        <v>Getnet</v>
      </c>
    </row>
    <row r="736" spans="2:7" x14ac:dyDescent="0.55000000000000004">
      <c r="B736" t="s">
        <v>1817</v>
      </c>
      <c r="C736" s="2">
        <v>0.05</v>
      </c>
    </row>
    <row r="737" spans="2:3" x14ac:dyDescent="0.55000000000000004">
      <c r="B737" t="s">
        <v>1818</v>
      </c>
      <c r="C737" s="2">
        <v>0.2</v>
      </c>
    </row>
    <row r="752" spans="2:3" x14ac:dyDescent="0.55000000000000004">
      <c r="B752" s="244">
        <v>44682</v>
      </c>
    </row>
    <row r="754" spans="2:12" x14ac:dyDescent="0.55000000000000004">
      <c r="B754" s="20" t="s">
        <v>1825</v>
      </c>
      <c r="C754" s="20">
        <v>2021</v>
      </c>
      <c r="D754" s="20">
        <f t="shared" ref="D754:L754" si="23">C754+1</f>
        <v>2022</v>
      </c>
      <c r="E754" s="20">
        <f t="shared" si="23"/>
        <v>2023</v>
      </c>
      <c r="F754" s="20">
        <f t="shared" si="23"/>
        <v>2024</v>
      </c>
      <c r="G754" s="20">
        <f t="shared" si="23"/>
        <v>2025</v>
      </c>
      <c r="H754" s="20">
        <f t="shared" si="23"/>
        <v>2026</v>
      </c>
      <c r="I754" s="20">
        <f t="shared" si="23"/>
        <v>2027</v>
      </c>
      <c r="J754" s="20">
        <f t="shared" si="23"/>
        <v>2028</v>
      </c>
      <c r="K754" s="20">
        <f t="shared" si="23"/>
        <v>2029</v>
      </c>
      <c r="L754" s="20">
        <f t="shared" si="23"/>
        <v>2030</v>
      </c>
    </row>
    <row r="755" spans="2:12" x14ac:dyDescent="0.55000000000000004">
      <c r="B755" t="s">
        <v>725</v>
      </c>
      <c r="C755" s="7">
        <f>Acquirer!J9</f>
        <v>2662</v>
      </c>
      <c r="D755" s="7">
        <f>Acquirer!K9</f>
        <v>3394</v>
      </c>
      <c r="E755" s="7">
        <f>Acquirer!L9</f>
        <v>3735</v>
      </c>
      <c r="F755" s="7">
        <f>Acquirer!M9</f>
        <v>4183.2000000000007</v>
      </c>
      <c r="G755" s="7">
        <f>Acquirer!N9</f>
        <v>4685.1840000000011</v>
      </c>
      <c r="H755" s="7">
        <f>Acquirer!O9</f>
        <v>5247.4060800000016</v>
      </c>
      <c r="I755" s="7">
        <f>Acquirer!P9</f>
        <v>5772.1466880000025</v>
      </c>
      <c r="J755" s="7">
        <f>Acquirer!Q9</f>
        <v>6291.639889920003</v>
      </c>
      <c r="K755" s="7">
        <f>Acquirer!R9</f>
        <v>6794.9710811136038</v>
      </c>
      <c r="L755" s="7">
        <f>Acquirer!S9</f>
        <v>7338.5687676026928</v>
      </c>
    </row>
    <row r="756" spans="2:12" x14ac:dyDescent="0.55000000000000004">
      <c r="B756" t="s">
        <v>763</v>
      </c>
      <c r="C756" s="4"/>
      <c r="D756" s="2">
        <f t="shared" ref="D756:L756" si="24">D755/C755-1</f>
        <v>0.27498121712997747</v>
      </c>
      <c r="E756" s="2">
        <f t="shared" si="24"/>
        <v>0.10047142015321153</v>
      </c>
      <c r="F756" s="2">
        <f t="shared" si="24"/>
        <v>0.12000000000000011</v>
      </c>
      <c r="G756" s="2">
        <f t="shared" si="24"/>
        <v>0.12000000000000011</v>
      </c>
      <c r="H756" s="2">
        <f t="shared" si="24"/>
        <v>0.12000000000000011</v>
      </c>
      <c r="I756" s="2">
        <f t="shared" si="24"/>
        <v>0.10000000000000009</v>
      </c>
      <c r="J756" s="2">
        <f t="shared" si="24"/>
        <v>9.000000000000008E-2</v>
      </c>
      <c r="K756" s="2">
        <f t="shared" si="24"/>
        <v>8.0000000000000071E-2</v>
      </c>
      <c r="L756" s="2">
        <f t="shared" si="24"/>
        <v>8.0000000000000071E-2</v>
      </c>
    </row>
    <row r="757" spans="2:12" x14ac:dyDescent="0.55000000000000004">
      <c r="B757" t="s">
        <v>1824</v>
      </c>
      <c r="C757" s="7">
        <f>Acquirer!J7</f>
        <v>253</v>
      </c>
      <c r="D757" s="7">
        <f>Acquirer!K7</f>
        <v>354</v>
      </c>
      <c r="E757" s="7">
        <f>Acquirer!L7</f>
        <v>394.6</v>
      </c>
      <c r="F757" s="7">
        <f>Acquirer!M7</f>
        <v>457.82619834710738</v>
      </c>
      <c r="G757" s="7">
        <f>Acquirer!N7</f>
        <v>522.17537685950413</v>
      </c>
      <c r="H757" s="7">
        <f>Acquirer!O7</f>
        <v>586.17561545454555</v>
      </c>
      <c r="I757" s="7">
        <f>Acquirer!P7</f>
        <v>647.7415691727274</v>
      </c>
      <c r="J757" s="7">
        <f>Acquirer!Q7</f>
        <v>715.48830822190939</v>
      </c>
      <c r="K757" s="7">
        <f>Acquirer!R7</f>
        <v>783.67357120013207</v>
      </c>
      <c r="L757" s="7">
        <f>Acquirer!S7</f>
        <v>843.96657569733736</v>
      </c>
    </row>
    <row r="758" spans="2:12" x14ac:dyDescent="0.55000000000000004">
      <c r="D758" s="2">
        <f t="shared" ref="D758:L758" si="25">D757/C757-1</f>
        <v>0.39920948616600782</v>
      </c>
      <c r="E758" s="2">
        <f t="shared" si="25"/>
        <v>0.11468926553672332</v>
      </c>
      <c r="F758" s="2">
        <f t="shared" si="25"/>
        <v>0.16022858172100185</v>
      </c>
      <c r="G758" s="2">
        <f t="shared" si="25"/>
        <v>0.14055372703597335</v>
      </c>
      <c r="H758" s="2">
        <f t="shared" si="25"/>
        <v>0.12256464289824454</v>
      </c>
      <c r="I758" s="2">
        <f t="shared" si="25"/>
        <v>0.10502987858074064</v>
      </c>
      <c r="J758" s="2">
        <f t="shared" si="25"/>
        <v>0.10458914831682908</v>
      </c>
      <c r="K758" s="2">
        <f t="shared" si="25"/>
        <v>9.529891990502648E-2</v>
      </c>
      <c r="L758" s="2">
        <f t="shared" si="25"/>
        <v>7.693637595162417E-2</v>
      </c>
    </row>
    <row r="760" spans="2:12" x14ac:dyDescent="0.55000000000000004">
      <c r="B760" s="20" t="s">
        <v>1826</v>
      </c>
      <c r="C760" s="20">
        <v>2021</v>
      </c>
      <c r="D760" s="20">
        <f t="shared" ref="D760:L760" si="26">C760+1</f>
        <v>2022</v>
      </c>
      <c r="E760" s="20">
        <f t="shared" si="26"/>
        <v>2023</v>
      </c>
      <c r="F760" s="20">
        <f t="shared" si="26"/>
        <v>2024</v>
      </c>
      <c r="G760" s="20">
        <f t="shared" si="26"/>
        <v>2025</v>
      </c>
      <c r="H760" s="20">
        <f t="shared" si="26"/>
        <v>2026</v>
      </c>
      <c r="I760" s="20">
        <f t="shared" si="26"/>
        <v>2027</v>
      </c>
      <c r="J760" s="20">
        <f t="shared" si="26"/>
        <v>2028</v>
      </c>
      <c r="K760" s="20">
        <f t="shared" si="26"/>
        <v>2029</v>
      </c>
      <c r="L760" s="20">
        <f t="shared" si="26"/>
        <v>2030</v>
      </c>
    </row>
    <row r="761" spans="2:12" x14ac:dyDescent="0.55000000000000004">
      <c r="B761" t="s">
        <v>725</v>
      </c>
      <c r="C761" s="55">
        <v>2521.550619613266</v>
      </c>
      <c r="D761" s="55">
        <v>2975.429731143654</v>
      </c>
      <c r="E761" s="55">
        <v>3421.7441908152018</v>
      </c>
      <c r="F761" s="55">
        <v>3900.7883775293303</v>
      </c>
      <c r="G761" s="55">
        <v>4290.8672152822637</v>
      </c>
      <c r="H761" s="55">
        <v>4719.9539368104906</v>
      </c>
      <c r="I761" s="55">
        <v>5191.9493304915404</v>
      </c>
      <c r="J761" s="55">
        <v>5711.1442635406947</v>
      </c>
      <c r="K761" s="55">
        <v>6282.2586898947648</v>
      </c>
      <c r="L761" s="55">
        <v>6910.4845588842418</v>
      </c>
    </row>
    <row r="762" spans="2:12" x14ac:dyDescent="0.55000000000000004">
      <c r="B762" t="s">
        <v>763</v>
      </c>
      <c r="C762" s="4"/>
      <c r="D762" s="2">
        <f t="shared" ref="D762:L762" si="27">D761/C761-1</f>
        <v>0.17999999999999994</v>
      </c>
      <c r="E762" s="2">
        <f t="shared" si="27"/>
        <v>0.14999999999999991</v>
      </c>
      <c r="F762" s="2">
        <f t="shared" si="27"/>
        <v>0.14000000000000012</v>
      </c>
      <c r="G762" s="2">
        <f t="shared" si="27"/>
        <v>0.10000000000000009</v>
      </c>
      <c r="H762" s="2">
        <f t="shared" si="27"/>
        <v>0.10000000000000009</v>
      </c>
      <c r="I762" s="2">
        <f t="shared" si="27"/>
        <v>0.10000000000000009</v>
      </c>
      <c r="J762" s="2">
        <f t="shared" si="27"/>
        <v>0.10000000000000009</v>
      </c>
      <c r="K762" s="2">
        <f t="shared" si="27"/>
        <v>0.10000000000000009</v>
      </c>
      <c r="L762" s="2">
        <f t="shared" si="27"/>
        <v>0.10000000000000009</v>
      </c>
    </row>
    <row r="763" spans="2:12" x14ac:dyDescent="0.55000000000000004">
      <c r="B763" t="s">
        <v>1824</v>
      </c>
      <c r="C763" s="55">
        <v>247.18663452939171</v>
      </c>
      <c r="D763" s="55">
        <v>333.60888120729237</v>
      </c>
      <c r="E763" s="55">
        <v>420.00163117662612</v>
      </c>
      <c r="F763" s="55">
        <v>509.57401943167025</v>
      </c>
      <c r="G763" s="55">
        <v>609.75070300449431</v>
      </c>
      <c r="H763" s="55">
        <v>719.98320503795776</v>
      </c>
      <c r="I763" s="55">
        <v>837.79222264374584</v>
      </c>
      <c r="J763" s="55">
        <v>972.48766994239463</v>
      </c>
      <c r="K763" s="55">
        <v>1128.7414264211534</v>
      </c>
      <c r="L763" s="55">
        <v>1309.9903372698363</v>
      </c>
    </row>
    <row r="764" spans="2:12" x14ac:dyDescent="0.55000000000000004">
      <c r="D764" s="2">
        <f t="shared" ref="D764:L764" si="28">D763/C763-1</f>
        <v>0.34962346100320651</v>
      </c>
      <c r="E764" s="2">
        <f t="shared" si="28"/>
        <v>0.25896417882128397</v>
      </c>
      <c r="F764" s="2">
        <f t="shared" si="28"/>
        <v>0.21326676280782264</v>
      </c>
      <c r="G764" s="2">
        <f t="shared" si="28"/>
        <v>0.19658907195573172</v>
      </c>
      <c r="H764" s="2">
        <f t="shared" si="28"/>
        <v>0.1807829027343506</v>
      </c>
      <c r="I764" s="2">
        <f t="shared" si="28"/>
        <v>0.16362745239255561</v>
      </c>
      <c r="J764" s="2">
        <f t="shared" si="28"/>
        <v>0.16077428705843366</v>
      </c>
      <c r="K764" s="2">
        <f t="shared" si="28"/>
        <v>0.16067428031042752</v>
      </c>
      <c r="L764" s="2">
        <f t="shared" si="28"/>
        <v>0.16057611301054142</v>
      </c>
    </row>
    <row r="766" spans="2:12" x14ac:dyDescent="0.55000000000000004">
      <c r="B766" s="20" t="s">
        <v>1827</v>
      </c>
      <c r="C766" s="20">
        <v>2021</v>
      </c>
      <c r="D766" s="20">
        <f t="shared" ref="D766:L766" si="29">C766+1</f>
        <v>2022</v>
      </c>
      <c r="E766" s="20">
        <f t="shared" si="29"/>
        <v>2023</v>
      </c>
      <c r="F766" s="20">
        <f t="shared" si="29"/>
        <v>2024</v>
      </c>
      <c r="G766" s="20">
        <f t="shared" si="29"/>
        <v>2025</v>
      </c>
      <c r="H766" s="20">
        <f t="shared" si="29"/>
        <v>2026</v>
      </c>
      <c r="I766" s="20">
        <f t="shared" si="29"/>
        <v>2027</v>
      </c>
      <c r="J766" s="20">
        <f t="shared" si="29"/>
        <v>2028</v>
      </c>
      <c r="K766" s="20">
        <f t="shared" si="29"/>
        <v>2029</v>
      </c>
      <c r="L766" s="20">
        <f t="shared" si="29"/>
        <v>2030</v>
      </c>
    </row>
    <row r="767" spans="2:12" x14ac:dyDescent="0.55000000000000004">
      <c r="B767" t="s">
        <v>725</v>
      </c>
      <c r="C767" s="2">
        <f t="shared" ref="C767:L767" si="30">C755/C761-1</f>
        <v>5.5699607731164669E-2</v>
      </c>
      <c r="D767" s="2">
        <f t="shared" si="30"/>
        <v>0.14067556846501694</v>
      </c>
      <c r="E767" s="2">
        <f t="shared" si="30"/>
        <v>9.1548576315451546E-2</v>
      </c>
      <c r="F767" s="2">
        <f t="shared" si="30"/>
        <v>7.239860129237341E-2</v>
      </c>
      <c r="G767" s="2">
        <f t="shared" si="30"/>
        <v>9.1896757679507557E-2</v>
      </c>
      <c r="H767" s="2">
        <f t="shared" si="30"/>
        <v>0.11174942600095306</v>
      </c>
      <c r="I767" s="2">
        <f t="shared" si="30"/>
        <v>0.11174942600095306</v>
      </c>
      <c r="J767" s="2">
        <f t="shared" si="30"/>
        <v>0.10164261303730804</v>
      </c>
      <c r="K767" s="2">
        <f t="shared" si="30"/>
        <v>8.161274734572066E-2</v>
      </c>
      <c r="L767" s="2">
        <f t="shared" si="30"/>
        <v>6.1947061030343864E-2</v>
      </c>
    </row>
    <row r="768" spans="2:12" x14ac:dyDescent="0.55000000000000004">
      <c r="B768" t="s">
        <v>1824</v>
      </c>
      <c r="C768" s="2">
        <f t="shared" ref="C768:L768" si="31">C757/C763-1</f>
        <v>2.3518122173863176E-2</v>
      </c>
      <c r="D768" s="2">
        <f t="shared" si="31"/>
        <v>6.1122829580898763E-2</v>
      </c>
      <c r="E768" s="2">
        <f t="shared" si="31"/>
        <v>-6.0479839341251895E-2</v>
      </c>
      <c r="F768" s="2">
        <f t="shared" si="31"/>
        <v>-0.10155113705027075</v>
      </c>
      <c r="G768" s="2">
        <f t="shared" si="31"/>
        <v>-0.14362480553686985</v>
      </c>
      <c r="H768" s="2">
        <f t="shared" si="31"/>
        <v>-0.18584820957921899</v>
      </c>
      <c r="I768" s="2">
        <f t="shared" si="31"/>
        <v>-0.22684700136185632</v>
      </c>
      <c r="J768" s="2">
        <f t="shared" si="31"/>
        <v>-0.26427004646311725</v>
      </c>
      <c r="K768" s="2">
        <f t="shared" si="31"/>
        <v>-0.30571027796429118</v>
      </c>
      <c r="L768" s="2">
        <f t="shared" si="31"/>
        <v>-0.35574595347301852</v>
      </c>
    </row>
    <row r="789" spans="2:18" x14ac:dyDescent="0.55000000000000004">
      <c r="B789" t="s">
        <v>246</v>
      </c>
      <c r="C789" t="str">
        <f>Quarts!O4</f>
        <v>1Q 20</v>
      </c>
      <c r="D789" t="str">
        <f>Quarts!P4</f>
        <v>2Q 20</v>
      </c>
      <c r="E789" t="str">
        <f>Quarts!Q4</f>
        <v>3Q 20</v>
      </c>
      <c r="F789" t="str">
        <f>Quarts!R4</f>
        <v>4Q 20</v>
      </c>
      <c r="G789" t="str">
        <f>Quarts!S4</f>
        <v>1Q 21</v>
      </c>
      <c r="H789" t="str">
        <f>Quarts!T4</f>
        <v>2Q 21</v>
      </c>
      <c r="I789" t="str">
        <f>Quarts!U4</f>
        <v>3Q 21</v>
      </c>
      <c r="J789" t="str">
        <f>Quarts!V4</f>
        <v>4Q 21</v>
      </c>
      <c r="K789" t="e">
        <f>Quarts!#REF!</f>
        <v>#REF!</v>
      </c>
      <c r="L789" t="e">
        <f>Quarts!#REF!</f>
        <v>#REF!</v>
      </c>
      <c r="M789" t="e">
        <f>Quarts!#REF!</f>
        <v>#REF!</v>
      </c>
      <c r="N789" t="e">
        <f>Quarts!#REF!</f>
        <v>#REF!</v>
      </c>
      <c r="O789" t="e">
        <f>Quarts!#REF!</f>
        <v>#REF!</v>
      </c>
      <c r="P789" t="e">
        <f>Quarts!#REF!</f>
        <v>#REF!</v>
      </c>
      <c r="Q789" t="e">
        <f>Quarts!#REF!</f>
        <v>#REF!</v>
      </c>
      <c r="R789" t="e">
        <f>Quarts!#REF!</f>
        <v>#REF!</v>
      </c>
    </row>
    <row r="790" spans="2:18" x14ac:dyDescent="0.55000000000000004">
      <c r="B790" t="s">
        <v>108</v>
      </c>
      <c r="C790" s="7" t="e">
        <f>Quarts!#REF!</f>
        <v>#REF!</v>
      </c>
      <c r="D790" s="7" t="e">
        <f>Quarts!#REF!</f>
        <v>#REF!</v>
      </c>
      <c r="E790" s="7" t="e">
        <f>Quarts!#REF!</f>
        <v>#REF!</v>
      </c>
      <c r="F790" s="7" t="e">
        <f>Quarts!#REF!</f>
        <v>#REF!</v>
      </c>
      <c r="G790" s="7" t="e">
        <f>Quarts!#REF!</f>
        <v>#REF!</v>
      </c>
      <c r="H790" s="7" t="e">
        <f>Quarts!#REF!</f>
        <v>#REF!</v>
      </c>
      <c r="I790" s="7" t="e">
        <f>Quarts!#REF!</f>
        <v>#REF!</v>
      </c>
      <c r="J790" s="7" t="e">
        <f>Quarts!#REF!</f>
        <v>#REF!</v>
      </c>
      <c r="K790" s="7" t="e">
        <f>Quarts!#REF!</f>
        <v>#REF!</v>
      </c>
      <c r="L790" s="7" t="e">
        <f>Quarts!#REF!</f>
        <v>#REF!</v>
      </c>
      <c r="M790" s="7" t="e">
        <f>Quarts!#REF!</f>
        <v>#REF!</v>
      </c>
      <c r="N790" s="7" t="e">
        <f>Quarts!#REF!</f>
        <v>#REF!</v>
      </c>
      <c r="O790" s="7" t="e">
        <f>Quarts!#REF!</f>
        <v>#REF!</v>
      </c>
      <c r="P790" s="7" t="e">
        <f>Quarts!#REF!</f>
        <v>#REF!</v>
      </c>
      <c r="Q790" s="7" t="e">
        <f>Quarts!#REF!</f>
        <v>#REF!</v>
      </c>
      <c r="R790" s="7" t="e">
        <f>Quarts!#REF!</f>
        <v>#REF!</v>
      </c>
    </row>
    <row r="791" spans="2:18" x14ac:dyDescent="0.55000000000000004">
      <c r="B791" t="s">
        <v>294</v>
      </c>
      <c r="C791" s="7" t="e">
        <f>Quarts!#REF!</f>
        <v>#REF!</v>
      </c>
      <c r="D791" s="7" t="e">
        <f>Quarts!#REF!</f>
        <v>#REF!</v>
      </c>
      <c r="E791" s="7" t="e">
        <f>Quarts!#REF!</f>
        <v>#REF!</v>
      </c>
      <c r="F791" s="7" t="e">
        <f>Quarts!#REF!</f>
        <v>#REF!</v>
      </c>
      <c r="G791" s="7" t="e">
        <f>Quarts!#REF!</f>
        <v>#REF!</v>
      </c>
      <c r="H791" s="7" t="e">
        <f>Quarts!#REF!</f>
        <v>#REF!</v>
      </c>
      <c r="I791" s="7" t="e">
        <f>Quarts!#REF!</f>
        <v>#REF!</v>
      </c>
      <c r="J791" s="7" t="e">
        <f>Quarts!#REF!</f>
        <v>#REF!</v>
      </c>
      <c r="K791" s="7" t="e">
        <f>Quarts!#REF!</f>
        <v>#REF!</v>
      </c>
      <c r="L791" s="7" t="e">
        <f>Quarts!#REF!</f>
        <v>#REF!</v>
      </c>
      <c r="M791" s="7" t="e">
        <f>Quarts!#REF!</f>
        <v>#REF!</v>
      </c>
      <c r="N791" s="7" t="e">
        <f>Quarts!#REF!</f>
        <v>#REF!</v>
      </c>
      <c r="O791" s="7" t="e">
        <f>Quarts!#REF!</f>
        <v>#REF!</v>
      </c>
      <c r="P791" s="7" t="e">
        <f>Quarts!#REF!</f>
        <v>#REF!</v>
      </c>
      <c r="Q791" s="7" t="e">
        <f>Quarts!#REF!</f>
        <v>#REF!</v>
      </c>
      <c r="R791" s="7" t="e">
        <f>Quarts!#REF!</f>
        <v>#REF!</v>
      </c>
    </row>
    <row r="792" spans="2:18" x14ac:dyDescent="0.55000000000000004">
      <c r="B792" t="s">
        <v>1856</v>
      </c>
      <c r="C792" s="2" t="e">
        <f>Quarts!#REF!</f>
        <v>#REF!</v>
      </c>
      <c r="D792" s="2" t="e">
        <f>Quarts!#REF!</f>
        <v>#REF!</v>
      </c>
      <c r="E792" s="2" t="e">
        <f>Quarts!#REF!</f>
        <v>#REF!</v>
      </c>
      <c r="F792" s="2" t="e">
        <f>Quarts!#REF!</f>
        <v>#REF!</v>
      </c>
      <c r="G792" s="2" t="e">
        <f>Quarts!#REF!</f>
        <v>#REF!</v>
      </c>
      <c r="H792" s="2" t="e">
        <f>Quarts!#REF!</f>
        <v>#REF!</v>
      </c>
      <c r="I792" s="2" t="e">
        <f>Quarts!#REF!</f>
        <v>#REF!</v>
      </c>
      <c r="J792" s="2" t="e">
        <f>Quarts!#REF!</f>
        <v>#REF!</v>
      </c>
      <c r="K792" s="2" t="e">
        <f>Quarts!#REF!</f>
        <v>#REF!</v>
      </c>
      <c r="L792" s="2" t="e">
        <f>Quarts!#REF!</f>
        <v>#REF!</v>
      </c>
      <c r="M792" s="2" t="e">
        <f>Quarts!#REF!</f>
        <v>#REF!</v>
      </c>
      <c r="N792" s="2" t="e">
        <f>Quarts!#REF!</f>
        <v>#REF!</v>
      </c>
      <c r="O792" s="2" t="e">
        <f>Quarts!#REF!</f>
        <v>#REF!</v>
      </c>
      <c r="P792" s="2" t="e">
        <f>Quarts!#REF!</f>
        <v>#REF!</v>
      </c>
      <c r="Q792" s="2" t="e">
        <f>Quarts!#REF!</f>
        <v>#REF!</v>
      </c>
      <c r="R792" s="2" t="e">
        <f>Quarts!#REF!</f>
        <v>#REF!</v>
      </c>
    </row>
    <row r="813" spans="2:7" x14ac:dyDescent="0.55000000000000004">
      <c r="B813" s="184"/>
      <c r="C813" s="184" t="s">
        <v>1858</v>
      </c>
      <c r="D813" s="184" t="s">
        <v>1865</v>
      </c>
      <c r="E813" s="184" t="s">
        <v>41</v>
      </c>
    </row>
    <row r="814" spans="2:7" x14ac:dyDescent="0.55000000000000004">
      <c r="B814" s="185" t="s">
        <v>1831</v>
      </c>
      <c r="C814" s="403" t="s">
        <v>1859</v>
      </c>
      <c r="D814" s="403" t="s">
        <v>1866</v>
      </c>
      <c r="E814" s="185"/>
    </row>
    <row r="815" spans="2:7" x14ac:dyDescent="0.55000000000000004">
      <c r="B815" s="185"/>
      <c r="C815" s="403" t="s">
        <v>1860</v>
      </c>
      <c r="D815" s="403"/>
      <c r="E815" s="185"/>
    </row>
    <row r="816" spans="2:7" x14ac:dyDescent="0.55000000000000004">
      <c r="B816" s="136" t="s">
        <v>1857</v>
      </c>
      <c r="C816" s="154" t="s">
        <v>1861</v>
      </c>
      <c r="D816" s="154" t="s">
        <v>1867</v>
      </c>
      <c r="E816" s="402" t="s">
        <v>1868</v>
      </c>
      <c r="F816" s="8"/>
      <c r="G816" s="8"/>
    </row>
    <row r="817" spans="2:13" x14ac:dyDescent="0.55000000000000004">
      <c r="B817" s="136"/>
      <c r="C817" s="154"/>
      <c r="D817" s="154"/>
      <c r="E817" s="402" t="s">
        <v>1869</v>
      </c>
      <c r="F817" s="8"/>
      <c r="G817" s="8"/>
    </row>
    <row r="818" spans="2:13" x14ac:dyDescent="0.55000000000000004">
      <c r="B818" s="185" t="s">
        <v>729</v>
      </c>
      <c r="C818" s="403" t="s">
        <v>1862</v>
      </c>
      <c r="D818" s="403" t="s">
        <v>1866</v>
      </c>
      <c r="E818" s="403" t="s">
        <v>1863</v>
      </c>
      <c r="F818" s="8"/>
      <c r="G818" s="8"/>
    </row>
    <row r="819" spans="2:13" x14ac:dyDescent="0.55000000000000004">
      <c r="B819" s="185"/>
      <c r="C819" s="403"/>
      <c r="D819" s="403"/>
      <c r="E819" s="403" t="s">
        <v>1864</v>
      </c>
      <c r="F819" s="8"/>
      <c r="G819" s="8"/>
    </row>
    <row r="820" spans="2:13" x14ac:dyDescent="0.55000000000000004">
      <c r="B820" s="136" t="s">
        <v>1870</v>
      </c>
      <c r="C820" s="154" t="s">
        <v>1872</v>
      </c>
      <c r="D820" s="154" t="s">
        <v>1866</v>
      </c>
      <c r="E820" s="154" t="s">
        <v>1871</v>
      </c>
      <c r="F820" s="8"/>
      <c r="G820" s="8"/>
    </row>
    <row r="823" spans="2:13" x14ac:dyDescent="0.55000000000000004">
      <c r="B823" s="1"/>
      <c r="C823" s="1">
        <v>2019</v>
      </c>
      <c r="D823" s="1">
        <f t="shared" ref="D823:L823" si="32">C823+1</f>
        <v>2020</v>
      </c>
      <c r="E823" s="1">
        <f t="shared" si="32"/>
        <v>2021</v>
      </c>
      <c r="F823" s="1">
        <f t="shared" si="32"/>
        <v>2022</v>
      </c>
      <c r="G823" s="1">
        <f t="shared" si="32"/>
        <v>2023</v>
      </c>
      <c r="H823" s="1">
        <f t="shared" si="32"/>
        <v>2024</v>
      </c>
      <c r="I823" s="1">
        <f t="shared" si="32"/>
        <v>2025</v>
      </c>
      <c r="J823" s="1">
        <f t="shared" si="32"/>
        <v>2026</v>
      </c>
      <c r="K823" s="1">
        <f t="shared" si="32"/>
        <v>2027</v>
      </c>
      <c r="L823" s="1">
        <f t="shared" si="32"/>
        <v>2028</v>
      </c>
    </row>
    <row r="824" spans="2:13" x14ac:dyDescent="0.55000000000000004">
      <c r="B824" t="s">
        <v>264</v>
      </c>
      <c r="C824" s="2">
        <f>Master!G107</f>
        <v>0.35492768749068127</v>
      </c>
      <c r="D824" s="2">
        <f>Master!H107</f>
        <v>0.30518001234857023</v>
      </c>
      <c r="E824" s="2">
        <f>Master!I107</f>
        <v>0.21086086827678166</v>
      </c>
      <c r="F824" s="2">
        <f>Master!J107</f>
        <v>0.16059619288829921</v>
      </c>
      <c r="G824" s="2">
        <f>Master!K107</f>
        <v>0.17106830466830461</v>
      </c>
      <c r="H824" s="2">
        <f>Master!L107</f>
        <v>0.20002602278962595</v>
      </c>
      <c r="I824" s="2">
        <f>Master!M107</f>
        <v>0.23127919048329734</v>
      </c>
      <c r="J824" s="2">
        <f>Master!N107</f>
        <v>0.22971976260061147</v>
      </c>
      <c r="K824" s="2">
        <f>Master!O107</f>
        <v>0.22900521668512833</v>
      </c>
      <c r="L824" s="2">
        <f>Master!P107</f>
        <v>0.23311668701364452</v>
      </c>
      <c r="M824" s="2"/>
    </row>
    <row r="825" spans="2:13" x14ac:dyDescent="0.55000000000000004">
      <c r="B825" t="s">
        <v>265</v>
      </c>
      <c r="C825" s="3">
        <v>0.33271223943169909</v>
      </c>
      <c r="D825" s="3">
        <v>0.22989756570698566</v>
      </c>
      <c r="E825" s="3">
        <v>1.7367579264277181E-2</v>
      </c>
      <c r="F825" s="3">
        <v>1.3510228657955854E-2</v>
      </c>
      <c r="G825" s="3">
        <v>8.4199987166509449E-2</v>
      </c>
      <c r="H825" s="3">
        <v>0.11309909114596522</v>
      </c>
      <c r="I825" s="3">
        <v>0.12914857948325642</v>
      </c>
      <c r="J825" s="3">
        <v>0.12570044845230469</v>
      </c>
      <c r="K825" s="3">
        <v>0.12400110780150307</v>
      </c>
      <c r="L825" s="3">
        <v>0.13315662366416758</v>
      </c>
    </row>
    <row r="826" spans="2:13" x14ac:dyDescent="0.55000000000000004">
      <c r="B826" t="s">
        <v>2</v>
      </c>
      <c r="C826" s="3">
        <v>0.29818396758713173</v>
      </c>
      <c r="D826" s="3">
        <v>0.19753143794423181</v>
      </c>
      <c r="E826" s="3">
        <v>0.22222222222222221</v>
      </c>
      <c r="F826" s="3">
        <v>0.18300620423813463</v>
      </c>
      <c r="G826" s="3">
        <v>0.151380068712196</v>
      </c>
      <c r="H826" s="3">
        <v>9.6608943466113414E-2</v>
      </c>
      <c r="I826" s="3">
        <v>9.7136056352213743E-2</v>
      </c>
      <c r="J826" s="3">
        <v>9.7315895542262013E-2</v>
      </c>
      <c r="K826" s="3">
        <v>9.7948051428020308E-2</v>
      </c>
      <c r="L826" s="3">
        <v>9.8533380951870628E-2</v>
      </c>
    </row>
    <row r="849" spans="2:14" x14ac:dyDescent="0.55000000000000004">
      <c r="B849" s="20" t="s">
        <v>1955</v>
      </c>
      <c r="C849" s="19" t="str">
        <f>Quarts!S4</f>
        <v>1Q 21</v>
      </c>
      <c r="D849" s="19" t="str">
        <f>Quarts!T4</f>
        <v>2Q 21</v>
      </c>
      <c r="E849" s="19" t="str">
        <f>Quarts!U4</f>
        <v>3Q 21</v>
      </c>
      <c r="F849" s="19" t="str">
        <f>Quarts!V4</f>
        <v>4Q 21</v>
      </c>
      <c r="G849" s="19" t="str">
        <f>Quarts!W4</f>
        <v>1Q 22</v>
      </c>
      <c r="H849" s="19" t="e">
        <f>Quarts!#REF!</f>
        <v>#REF!</v>
      </c>
      <c r="I849" s="19" t="e">
        <f>Quarts!#REF!</f>
        <v>#REF!</v>
      </c>
      <c r="J849" s="19" t="e">
        <f>Quarts!#REF!</f>
        <v>#REF!</v>
      </c>
      <c r="K849" s="19" t="e">
        <f>Quarts!#REF!</f>
        <v>#REF!</v>
      </c>
      <c r="L849" s="19" t="e">
        <f>Quarts!#REF!</f>
        <v>#REF!</v>
      </c>
      <c r="M849" s="19" t="e">
        <f>Quarts!#REF!</f>
        <v>#REF!</v>
      </c>
      <c r="N849" s="19" t="e">
        <f>Quarts!#REF!</f>
        <v>#REF!</v>
      </c>
    </row>
    <row r="850" spans="2:14" x14ac:dyDescent="0.55000000000000004">
      <c r="B850" t="s">
        <v>265</v>
      </c>
      <c r="C850" s="12">
        <v>0.43806509945750455</v>
      </c>
      <c r="D850" s="12">
        <v>0.32828924569712364</v>
      </c>
      <c r="E850" s="12">
        <v>0.32206042460533474</v>
      </c>
      <c r="F850" s="12">
        <v>0.36561665776828628</v>
      </c>
      <c r="G850" s="12">
        <v>0.39487030865092021</v>
      </c>
      <c r="H850" s="12">
        <v>0.38695947499999994</v>
      </c>
      <c r="I850" s="12">
        <v>0.41277734947368416</v>
      </c>
      <c r="J850" s="12">
        <v>0.39207072831957551</v>
      </c>
      <c r="K850" s="12">
        <v>0.41581023396226402</v>
      </c>
      <c r="L850" s="12">
        <v>0.43199534145492519</v>
      </c>
      <c r="M850" s="12">
        <v>0.4618779739739739</v>
      </c>
      <c r="N850" s="12">
        <v>0.44246358060604901</v>
      </c>
    </row>
    <row r="851" spans="2:14" x14ac:dyDescent="0.55000000000000004">
      <c r="B851" t="s">
        <v>4</v>
      </c>
      <c r="C851" s="12">
        <f>Quarts!S137</f>
        <v>0.48613449299412342</v>
      </c>
      <c r="D851" s="12">
        <f>Quarts!T137</f>
        <v>0.49460982361464945</v>
      </c>
      <c r="E851" s="12">
        <f>Quarts!U137</f>
        <v>0.53123523520819571</v>
      </c>
      <c r="F851" s="12">
        <f>Quarts!V137</f>
        <v>0.56037658207954333</v>
      </c>
      <c r="G851" s="12">
        <f>Quarts!W137</f>
        <v>0.58527898807944589</v>
      </c>
      <c r="H851" s="12" t="e">
        <f>Quarts!#REF!</f>
        <v>#REF!</v>
      </c>
      <c r="I851" s="12" t="e">
        <f>Quarts!#REF!</f>
        <v>#REF!</v>
      </c>
      <c r="J851" s="12" t="e">
        <f>Quarts!#REF!</f>
        <v>#REF!</v>
      </c>
      <c r="K851" s="12" t="e">
        <f>Quarts!#REF!</f>
        <v>#REF!</v>
      </c>
      <c r="L851" s="12" t="e">
        <f>Quarts!#REF!</f>
        <v>#REF!</v>
      </c>
      <c r="M851" s="12" t="e">
        <f>Quarts!#REF!</f>
        <v>#REF!</v>
      </c>
      <c r="N851" s="12" t="e">
        <f>Quarts!#REF!</f>
        <v>#REF!</v>
      </c>
    </row>
    <row r="856" spans="2:14" x14ac:dyDescent="0.55000000000000004">
      <c r="B856" s="20" t="s">
        <v>723</v>
      </c>
      <c r="C856" s="20">
        <v>2019</v>
      </c>
      <c r="D856" s="20">
        <v>2020</v>
      </c>
      <c r="E856" s="20">
        <f t="shared" ref="E856:J856" si="33">D856+1</f>
        <v>2021</v>
      </c>
      <c r="F856" s="20">
        <f t="shared" si="33"/>
        <v>2022</v>
      </c>
      <c r="G856" s="20">
        <f t="shared" si="33"/>
        <v>2023</v>
      </c>
      <c r="H856" s="20">
        <f t="shared" si="33"/>
        <v>2024</v>
      </c>
      <c r="I856" s="20">
        <f t="shared" si="33"/>
        <v>2025</v>
      </c>
      <c r="J856" s="20">
        <f t="shared" si="33"/>
        <v>2026</v>
      </c>
    </row>
    <row r="857" spans="2:14" x14ac:dyDescent="0.55000000000000004">
      <c r="B857" s="412" t="s">
        <v>1033</v>
      </c>
      <c r="C857" s="413">
        <f>Master!G12</f>
        <v>5707.2</v>
      </c>
      <c r="D857" s="413">
        <f>Master!H12</f>
        <v>6814.7000000000007</v>
      </c>
      <c r="E857" s="413">
        <f>Master!I12</f>
        <v>10446</v>
      </c>
      <c r="F857" s="413">
        <f>Master!J12</f>
        <v>15334.8</v>
      </c>
      <c r="G857" s="413">
        <f>Master!K12</f>
        <v>15949</v>
      </c>
      <c r="H857" s="413">
        <f>Master!L12</f>
        <v>17433.882583367609</v>
      </c>
      <c r="I857" s="413">
        <f>Master!M12</f>
        <v>19159.259496036688</v>
      </c>
      <c r="J857" s="413">
        <f>Master!N12</f>
        <v>20618.750366735352</v>
      </c>
    </row>
    <row r="858" spans="2:14" x14ac:dyDescent="0.55000000000000004">
      <c r="B858" t="s">
        <v>1985</v>
      </c>
      <c r="C858" s="7">
        <f>Master!G135</f>
        <v>693.4</v>
      </c>
      <c r="D858" s="7">
        <f>Master!H135</f>
        <v>2057</v>
      </c>
      <c r="E858" s="7">
        <f>Master!I135</f>
        <v>1751.8</v>
      </c>
      <c r="F858" s="7">
        <f>Master!J135</f>
        <v>2136</v>
      </c>
      <c r="G858" s="7">
        <f>Master!K135</f>
        <v>1988.4</v>
      </c>
      <c r="H858" s="7">
        <f>Master!L135</f>
        <v>2004.8964970872751</v>
      </c>
      <c r="I858" s="7">
        <f>Master!M135</f>
        <v>2061.5363217735476</v>
      </c>
      <c r="J858" s="7">
        <f>Master!N135</f>
        <v>2164.9687885072117</v>
      </c>
    </row>
    <row r="859" spans="2:14" ht="14.7" thickBot="1" x14ac:dyDescent="0.6">
      <c r="B859" s="412" t="s">
        <v>1106</v>
      </c>
      <c r="C859" s="414">
        <f>C858/C857</f>
        <v>0.12149565461171853</v>
      </c>
      <c r="D859" s="414">
        <v>0.3</v>
      </c>
      <c r="E859" s="414">
        <v>0.17</v>
      </c>
      <c r="F859" s="414">
        <v>0.15</v>
      </c>
      <c r="G859" s="414">
        <v>0.13</v>
      </c>
      <c r="H859" s="414">
        <v>0.11</v>
      </c>
      <c r="I859" s="414">
        <v>0.1</v>
      </c>
      <c r="J859" s="414">
        <v>0.1</v>
      </c>
    </row>
    <row r="860" spans="2:14" ht="14.7" thickBot="1" x14ac:dyDescent="0.6">
      <c r="B860" t="s">
        <v>2037</v>
      </c>
      <c r="C860" s="13">
        <v>5</v>
      </c>
      <c r="D860" s="13">
        <v>5</v>
      </c>
      <c r="E860" s="421">
        <v>5</v>
      </c>
      <c r="F860" s="433">
        <v>5</v>
      </c>
      <c r="G860">
        <v>3.5</v>
      </c>
      <c r="H860">
        <v>3.5</v>
      </c>
      <c r="I860">
        <v>3.5</v>
      </c>
      <c r="J860">
        <v>3.5</v>
      </c>
    </row>
    <row r="861" spans="2:14" x14ac:dyDescent="0.55000000000000004">
      <c r="B861" s="412" t="s">
        <v>2001</v>
      </c>
      <c r="C861" s="412"/>
      <c r="D861" s="412"/>
      <c r="E861" s="412"/>
      <c r="F861" s="412"/>
      <c r="G861" s="412"/>
      <c r="H861" s="412"/>
      <c r="I861" s="412"/>
      <c r="J861" s="412"/>
    </row>
    <row r="863" spans="2:14" x14ac:dyDescent="0.55000000000000004">
      <c r="B863" s="412" t="s">
        <v>2038</v>
      </c>
      <c r="C863" s="412"/>
      <c r="D863" s="412"/>
      <c r="E863" s="412"/>
      <c r="F863" s="412"/>
      <c r="G863" s="412"/>
      <c r="H863" s="412"/>
      <c r="I863" s="412"/>
      <c r="J863" s="412"/>
    </row>
    <row r="864" spans="2:14" x14ac:dyDescent="0.55000000000000004">
      <c r="B864" s="238">
        <v>2019</v>
      </c>
      <c r="C864" s="7">
        <f>$C$858/C860</f>
        <v>138.68</v>
      </c>
      <c r="D864" s="7">
        <f>$C$858/D860</f>
        <v>138.68</v>
      </c>
      <c r="E864" s="7">
        <f>$C$858/E860</f>
        <v>138.68</v>
      </c>
      <c r="F864" s="7">
        <f>$C$858/F860</f>
        <v>138.68</v>
      </c>
      <c r="G864" s="7">
        <f>C858-C864-D864-E864-F864</f>
        <v>138.68</v>
      </c>
      <c r="H864" s="7"/>
      <c r="I864" s="7"/>
      <c r="J864" s="7"/>
    </row>
    <row r="865" spans="2:10" x14ac:dyDescent="0.55000000000000004">
      <c r="B865" s="419">
        <f>B864+1</f>
        <v>2020</v>
      </c>
      <c r="C865" s="413"/>
      <c r="D865" s="413">
        <f>$D$858/D860</f>
        <v>411.4</v>
      </c>
      <c r="E865" s="413">
        <f>$D$858/E860</f>
        <v>411.4</v>
      </c>
      <c r="F865" s="413">
        <f>$D$858/F860</f>
        <v>411.4</v>
      </c>
      <c r="G865" s="413">
        <f>$D$858/G860</f>
        <v>587.71428571428567</v>
      </c>
      <c r="H865" s="413">
        <f>D858-D865-E865-F865-G865</f>
        <v>235.08571428571418</v>
      </c>
      <c r="I865" s="413"/>
      <c r="J865" s="413"/>
    </row>
    <row r="866" spans="2:10" x14ac:dyDescent="0.55000000000000004">
      <c r="B866" s="238">
        <f>B865+1</f>
        <v>2021</v>
      </c>
      <c r="C866" s="7"/>
      <c r="D866" s="7"/>
      <c r="E866" s="7">
        <f>$E$858/E860</f>
        <v>350.36</v>
      </c>
      <c r="F866" s="7">
        <f>$E$858/F860</f>
        <v>350.36</v>
      </c>
      <c r="G866" s="7">
        <f>$E$858/G860</f>
        <v>500.51428571428568</v>
      </c>
      <c r="H866" s="7">
        <f>E858-E866-F866-G866</f>
        <v>550.56571428571419</v>
      </c>
      <c r="I866" s="7"/>
      <c r="J866" s="7"/>
    </row>
    <row r="867" spans="2:10" x14ac:dyDescent="0.55000000000000004">
      <c r="B867" s="419">
        <v>2022</v>
      </c>
      <c r="C867" s="413"/>
      <c r="D867" s="413"/>
      <c r="E867" s="413"/>
      <c r="F867" s="413">
        <f>$F$858/F860</f>
        <v>427.2</v>
      </c>
      <c r="G867" s="413">
        <f>$F$858/G860</f>
        <v>610.28571428571433</v>
      </c>
      <c r="H867" s="413">
        <f>$F$858/H860</f>
        <v>610.28571428571433</v>
      </c>
      <c r="I867" s="413">
        <f>F858-F867-G867-H867</f>
        <v>488.22857142857117</v>
      </c>
      <c r="J867" s="413"/>
    </row>
    <row r="868" spans="2:10" x14ac:dyDescent="0.55000000000000004">
      <c r="B868" s="238">
        <v>2023</v>
      </c>
      <c r="C868" s="7"/>
      <c r="D868" s="7"/>
      <c r="E868" s="7"/>
      <c r="F868" s="7"/>
      <c r="G868" s="7">
        <f>$G$858/G860</f>
        <v>568.11428571428576</v>
      </c>
      <c r="H868" s="7">
        <f>$G$858/H860</f>
        <v>568.11428571428576</v>
      </c>
      <c r="I868" s="7">
        <f>$G$858/I860</f>
        <v>568.11428571428576</v>
      </c>
      <c r="J868" s="7"/>
    </row>
    <row r="869" spans="2:10" ht="14.7" thickBot="1" x14ac:dyDescent="0.6">
      <c r="B869" s="420">
        <v>2024</v>
      </c>
      <c r="C869" s="418"/>
      <c r="D869" s="418"/>
      <c r="E869" s="413"/>
      <c r="F869" s="413"/>
      <c r="G869" s="413"/>
      <c r="H869" s="418">
        <f>$H$858/H860</f>
        <v>572.82757059636435</v>
      </c>
      <c r="I869" s="418">
        <f>$H$858/I860</f>
        <v>572.82757059636435</v>
      </c>
      <c r="J869" s="413"/>
    </row>
    <row r="870" spans="2:10" ht="14.7" thickBot="1" x14ac:dyDescent="0.6">
      <c r="B870" t="s">
        <v>2087</v>
      </c>
      <c r="C870" s="7">
        <f>Master!G75</f>
        <v>37.9</v>
      </c>
      <c r="D870" s="7">
        <f t="shared" ref="D870:I870" si="34">SUM(D864:D868)</f>
        <v>550.07999999999993</v>
      </c>
      <c r="E870" s="422">
        <f t="shared" si="34"/>
        <v>900.43999999999994</v>
      </c>
      <c r="F870" s="423">
        <f t="shared" si="34"/>
        <v>1327.6399999999999</v>
      </c>
      <c r="G870" s="424">
        <f t="shared" si="34"/>
        <v>2405.3085714285717</v>
      </c>
      <c r="H870" s="7">
        <f t="shared" si="34"/>
        <v>1964.0514285714285</v>
      </c>
      <c r="I870" s="7">
        <f t="shared" si="34"/>
        <v>1056.3428571428569</v>
      </c>
      <c r="J870" s="7"/>
    </row>
    <row r="871" spans="2:10" x14ac:dyDescent="0.55000000000000004">
      <c r="B871" s="412" t="s">
        <v>2088</v>
      </c>
      <c r="C871" s="413">
        <f>Master!G72</f>
        <v>128.19999999999999</v>
      </c>
      <c r="D871" s="413">
        <f>Master!H72</f>
        <v>376.3</v>
      </c>
      <c r="E871" s="413">
        <f>Master!I72</f>
        <v>768.6</v>
      </c>
      <c r="F871" s="413">
        <f>Master!J72</f>
        <v>1131</v>
      </c>
      <c r="G871" s="413">
        <f>Master!K72</f>
        <v>1355</v>
      </c>
      <c r="H871" s="413">
        <f>Master!L72</f>
        <v>1773.5470645841904</v>
      </c>
      <c r="I871" s="413">
        <f>Master!M72</f>
        <v>1841.6814874009174</v>
      </c>
      <c r="J871" s="413"/>
    </row>
    <row r="872" spans="2:10" x14ac:dyDescent="0.55000000000000004">
      <c r="B872" s="1" t="s">
        <v>2089</v>
      </c>
      <c r="C872" s="30"/>
      <c r="D872" s="30">
        <f t="shared" ref="D872:I872" si="35">D871/D870</f>
        <v>0.68408231529959285</v>
      </c>
      <c r="E872" s="30">
        <f t="shared" si="35"/>
        <v>0.85358269290569067</v>
      </c>
      <c r="F872" s="30">
        <f t="shared" si="35"/>
        <v>0.85188755988069065</v>
      </c>
      <c r="G872" s="30">
        <f t="shared" si="35"/>
        <v>0.56333728491028168</v>
      </c>
      <c r="H872" s="30">
        <f t="shared" si="35"/>
        <v>0.90300439122115894</v>
      </c>
      <c r="I872" s="30">
        <f t="shared" si="35"/>
        <v>1.7434505046800854</v>
      </c>
      <c r="J872" s="1"/>
    </row>
    <row r="875" spans="2:10" x14ac:dyDescent="0.55000000000000004">
      <c r="B875" t="s">
        <v>1986</v>
      </c>
    </row>
    <row r="877" spans="2:10" x14ac:dyDescent="0.55000000000000004">
      <c r="B877" s="23" t="s">
        <v>2039</v>
      </c>
    </row>
    <row r="879" spans="2:10" x14ac:dyDescent="0.55000000000000004">
      <c r="B879" t="s">
        <v>1519</v>
      </c>
      <c r="C879">
        <v>5</v>
      </c>
    </row>
    <row r="881" spans="2:7" x14ac:dyDescent="0.55000000000000004">
      <c r="B881" t="s">
        <v>2040</v>
      </c>
    </row>
    <row r="883" spans="2:7" x14ac:dyDescent="0.55000000000000004">
      <c r="B883" s="20" t="s">
        <v>265</v>
      </c>
      <c r="C883" s="20">
        <v>2018</v>
      </c>
      <c r="D883" s="20">
        <v>2019</v>
      </c>
      <c r="E883" s="20">
        <f>D883+1</f>
        <v>2020</v>
      </c>
      <c r="F883" s="20">
        <f>E883+1</f>
        <v>2021</v>
      </c>
    </row>
    <row r="884" spans="2:7" x14ac:dyDescent="0.55000000000000004">
      <c r="B884" t="s">
        <v>2051</v>
      </c>
      <c r="C884">
        <v>3574</v>
      </c>
      <c r="D884">
        <v>5938</v>
      </c>
      <c r="E884">
        <v>7239</v>
      </c>
      <c r="F884">
        <v>15485</v>
      </c>
    </row>
    <row r="885" spans="2:7" x14ac:dyDescent="0.55000000000000004">
      <c r="B885" s="37" t="s">
        <v>2052</v>
      </c>
    </row>
    <row r="886" spans="2:7" x14ac:dyDescent="0.55000000000000004">
      <c r="B886" s="10" t="s">
        <v>2053</v>
      </c>
      <c r="D886">
        <v>3050</v>
      </c>
      <c r="E886">
        <v>3369</v>
      </c>
      <c r="F886">
        <v>5282</v>
      </c>
    </row>
    <row r="887" spans="2:7" x14ac:dyDescent="0.55000000000000004">
      <c r="B887" s="10" t="s">
        <v>2054</v>
      </c>
      <c r="D887">
        <v>668</v>
      </c>
      <c r="E887">
        <v>1018</v>
      </c>
      <c r="F887">
        <v>3599</v>
      </c>
    </row>
    <row r="888" spans="2:7" x14ac:dyDescent="0.55000000000000004">
      <c r="B888" s="10" t="s">
        <v>2055</v>
      </c>
      <c r="D888">
        <v>1439</v>
      </c>
      <c r="E888">
        <v>1992</v>
      </c>
      <c r="F888">
        <v>4657</v>
      </c>
    </row>
    <row r="889" spans="2:7" x14ac:dyDescent="0.55000000000000004">
      <c r="B889" s="10" t="s">
        <v>2056</v>
      </c>
      <c r="D889">
        <v>781</v>
      </c>
      <c r="E889">
        <v>860</v>
      </c>
      <c r="F889">
        <v>1947</v>
      </c>
    </row>
    <row r="890" spans="2:7" x14ac:dyDescent="0.55000000000000004">
      <c r="B890" s="10"/>
    </row>
    <row r="891" spans="2:7" x14ac:dyDescent="0.55000000000000004">
      <c r="B891" s="10" t="s">
        <v>2057</v>
      </c>
      <c r="D891">
        <v>576</v>
      </c>
      <c r="E891">
        <v>833</v>
      </c>
      <c r="F891">
        <v>1489</v>
      </c>
    </row>
    <row r="892" spans="2:7" x14ac:dyDescent="0.55000000000000004">
      <c r="B892" s="10" t="s">
        <v>2058</v>
      </c>
      <c r="D892" s="7">
        <f>D891*1000000/D884</f>
        <v>97002.357696193998</v>
      </c>
      <c r="E892" s="7">
        <f>E891*1000000/E884</f>
        <v>115071.1424229866</v>
      </c>
      <c r="F892" s="7">
        <f>F891*1000000/F884</f>
        <v>96157.571843719736</v>
      </c>
    </row>
    <row r="893" spans="2:7" x14ac:dyDescent="0.55000000000000004">
      <c r="B893" s="10"/>
    </row>
    <row r="895" spans="2:7" x14ac:dyDescent="0.55000000000000004">
      <c r="B895" t="s">
        <v>2050</v>
      </c>
    </row>
    <row r="896" spans="2:7" x14ac:dyDescent="0.55000000000000004">
      <c r="B896" t="s">
        <v>2059</v>
      </c>
      <c r="E896" s="411"/>
      <c r="F896" s="7">
        <v>3778</v>
      </c>
      <c r="G896" s="411"/>
    </row>
    <row r="897" spans="2:7" x14ac:dyDescent="0.55000000000000004">
      <c r="B897" t="s">
        <v>2041</v>
      </c>
      <c r="F897" s="7">
        <f>Master!J51</f>
        <v>1032.7</v>
      </c>
    </row>
    <row r="898" spans="2:7" x14ac:dyDescent="0.55000000000000004">
      <c r="B898" t="s">
        <v>2042</v>
      </c>
      <c r="F898" s="7">
        <f>F897/(F896/1000000)</f>
        <v>273345.68554790894</v>
      </c>
    </row>
    <row r="899" spans="2:7" x14ac:dyDescent="0.55000000000000004">
      <c r="B899" t="s">
        <v>2043</v>
      </c>
      <c r="F899" s="7">
        <f>F898/C879</f>
        <v>54669.137109581789</v>
      </c>
    </row>
    <row r="900" spans="2:7" x14ac:dyDescent="0.55000000000000004">
      <c r="B900" t="s">
        <v>2078</v>
      </c>
      <c r="E900" s="411"/>
      <c r="F900" s="7">
        <f>300*D909</f>
        <v>2400</v>
      </c>
      <c r="G900" s="411"/>
    </row>
    <row r="902" spans="2:7" x14ac:dyDescent="0.55000000000000004">
      <c r="B902" s="430" t="s">
        <v>892</v>
      </c>
      <c r="C902" s="412"/>
      <c r="D902" s="412"/>
    </row>
    <row r="903" spans="2:7" x14ac:dyDescent="0.55000000000000004">
      <c r="B903" t="s">
        <v>265</v>
      </c>
      <c r="D903">
        <v>450</v>
      </c>
    </row>
    <row r="904" spans="2:7" x14ac:dyDescent="0.55000000000000004">
      <c r="B904" s="417" t="s">
        <v>4</v>
      </c>
      <c r="C904" s="417"/>
      <c r="D904" s="417">
        <v>300</v>
      </c>
    </row>
    <row r="905" spans="2:7" x14ac:dyDescent="0.55000000000000004">
      <c r="B905" t="s">
        <v>2079</v>
      </c>
      <c r="D905">
        <f>SUM(D903:D904)</f>
        <v>750</v>
      </c>
    </row>
    <row r="906" spans="2:7" x14ac:dyDescent="0.55000000000000004">
      <c r="B906" s="412"/>
      <c r="C906" s="412"/>
      <c r="D906" s="412"/>
    </row>
    <row r="907" spans="2:7" x14ac:dyDescent="0.55000000000000004">
      <c r="B907" t="s">
        <v>2046</v>
      </c>
      <c r="D907" s="2">
        <v>0.4</v>
      </c>
    </row>
    <row r="908" spans="2:7" x14ac:dyDescent="0.55000000000000004">
      <c r="B908" s="412" t="s">
        <v>2111</v>
      </c>
      <c r="C908" s="412"/>
      <c r="D908" s="429">
        <f>D907*D905</f>
        <v>300</v>
      </c>
    </row>
    <row r="909" spans="2:7" x14ac:dyDescent="0.55000000000000004">
      <c r="B909" t="s">
        <v>2047</v>
      </c>
      <c r="D909">
        <v>8</v>
      </c>
    </row>
    <row r="910" spans="2:7" x14ac:dyDescent="0.55000000000000004">
      <c r="B910" s="412" t="s">
        <v>2049</v>
      </c>
      <c r="C910" s="412"/>
      <c r="D910" s="413">
        <f>D909*D908</f>
        <v>2400</v>
      </c>
    </row>
    <row r="911" spans="2:7" x14ac:dyDescent="0.55000000000000004">
      <c r="B911" t="s">
        <v>2110</v>
      </c>
      <c r="D911" s="7">
        <f>D926</f>
        <v>125000</v>
      </c>
    </row>
    <row r="912" spans="2:7" ht="14.7" thickBot="1" x14ac:dyDescent="0.6">
      <c r="B912" s="412" t="s">
        <v>2112</v>
      </c>
      <c r="C912" s="412"/>
      <c r="D912" s="413">
        <f>D911*D910/1000000</f>
        <v>300</v>
      </c>
    </row>
    <row r="913" spans="2:6" ht="14.7" thickBot="1" x14ac:dyDescent="0.6">
      <c r="B913" s="298" t="s">
        <v>2116</v>
      </c>
      <c r="C913" s="299"/>
      <c r="D913" s="424">
        <f>D912*0.8</f>
        <v>240</v>
      </c>
    </row>
    <row r="914" spans="2:6" x14ac:dyDescent="0.55000000000000004">
      <c r="B914" s="412"/>
      <c r="C914" s="412"/>
      <c r="D914" s="414"/>
    </row>
    <row r="915" spans="2:6" x14ac:dyDescent="0.55000000000000004">
      <c r="B915" t="s">
        <v>2115</v>
      </c>
      <c r="D915" s="2"/>
    </row>
    <row r="916" spans="2:6" x14ac:dyDescent="0.55000000000000004">
      <c r="B916" s="412" t="str">
        <f>B903</f>
        <v>Stone</v>
      </c>
      <c r="C916" s="412"/>
      <c r="D916" s="413">
        <f>1102-(D909*D911*D903)/1000000</f>
        <v>652</v>
      </c>
    </row>
    <row r="917" spans="2:6" x14ac:dyDescent="0.55000000000000004">
      <c r="B917" s="1" t="str">
        <f>B904</f>
        <v>PAGS</v>
      </c>
      <c r="C917" s="1"/>
      <c r="D917" s="172">
        <f>1430-(D904*D909*D911)/1000000</f>
        <v>1130</v>
      </c>
    </row>
    <row r="918" spans="2:6" x14ac:dyDescent="0.55000000000000004">
      <c r="B918" s="412" t="s">
        <v>243</v>
      </c>
      <c r="C918" s="412"/>
      <c r="D918" s="413">
        <f>SUM(D916:D917)</f>
        <v>1782</v>
      </c>
    </row>
    <row r="919" spans="2:6" x14ac:dyDescent="0.55000000000000004">
      <c r="B919" t="s">
        <v>1106</v>
      </c>
      <c r="D919" s="2">
        <v>0.15</v>
      </c>
    </row>
    <row r="920" spans="2:6" ht="14.7" thickBot="1" x14ac:dyDescent="0.6">
      <c r="B920" s="412" t="s">
        <v>2048</v>
      </c>
      <c r="C920" s="412"/>
      <c r="D920" s="413">
        <f>D919*D918</f>
        <v>267.3</v>
      </c>
    </row>
    <row r="921" spans="2:6" ht="14.7" thickBot="1" x14ac:dyDescent="0.6">
      <c r="B921" s="298" t="s">
        <v>2117</v>
      </c>
      <c r="C921" s="299"/>
      <c r="D921" s="424">
        <f>D920*0.8</f>
        <v>213.84000000000003</v>
      </c>
    </row>
    <row r="922" spans="2:6" ht="14.7" thickBot="1" x14ac:dyDescent="0.6">
      <c r="B922" s="412"/>
      <c r="C922" s="412"/>
      <c r="D922" s="414"/>
    </row>
    <row r="923" spans="2:6" ht="14.7" thickBot="1" x14ac:dyDescent="0.6">
      <c r="B923" s="298" t="s">
        <v>2118</v>
      </c>
      <c r="C923" s="299"/>
      <c r="D923" s="424">
        <f>D913+D921</f>
        <v>453.84000000000003</v>
      </c>
    </row>
    <row r="924" spans="2:6" x14ac:dyDescent="0.55000000000000004">
      <c r="F924" s="2"/>
    </row>
    <row r="925" spans="2:6" x14ac:dyDescent="0.55000000000000004">
      <c r="C925" s="2"/>
      <c r="F925" t="s">
        <v>1110</v>
      </c>
    </row>
    <row r="926" spans="2:6" x14ac:dyDescent="0.55000000000000004">
      <c r="B926" t="s">
        <v>2061</v>
      </c>
      <c r="C926" s="2"/>
      <c r="D926">
        <v>125000</v>
      </c>
    </row>
    <row r="927" spans="2:6" x14ac:dyDescent="0.55000000000000004">
      <c r="B927" t="s">
        <v>2062</v>
      </c>
      <c r="C927" s="2"/>
      <c r="D927">
        <f>D910</f>
        <v>2400</v>
      </c>
    </row>
    <row r="928" spans="2:6" x14ac:dyDescent="0.55000000000000004">
      <c r="B928" t="s">
        <v>2048</v>
      </c>
      <c r="C928" s="2"/>
      <c r="D928">
        <f>D927*D926/1000000</f>
        <v>300</v>
      </c>
    </row>
    <row r="929" spans="2:4" x14ac:dyDescent="0.55000000000000004">
      <c r="B929" t="s">
        <v>2063</v>
      </c>
      <c r="C929" s="2"/>
      <c r="D929">
        <f>D928*0.8</f>
        <v>240</v>
      </c>
    </row>
    <row r="930" spans="2:4" x14ac:dyDescent="0.55000000000000004">
      <c r="C930" s="2"/>
    </row>
    <row r="931" spans="2:4" x14ac:dyDescent="0.55000000000000004">
      <c r="C931" s="2"/>
    </row>
    <row r="933" spans="2:4" x14ac:dyDescent="0.55000000000000004">
      <c r="B933" t="s">
        <v>2060</v>
      </c>
    </row>
    <row r="935" spans="2:4" x14ac:dyDescent="0.55000000000000004">
      <c r="B935" s="20" t="s">
        <v>2080</v>
      </c>
      <c r="C935" s="20"/>
      <c r="D935" s="19" t="s">
        <v>723</v>
      </c>
    </row>
    <row r="936" spans="2:4" x14ac:dyDescent="0.55000000000000004">
      <c r="B936" s="412" t="s">
        <v>4</v>
      </c>
      <c r="C936" s="412"/>
      <c r="D936" s="413">
        <v>580</v>
      </c>
    </row>
    <row r="937" spans="2:4" x14ac:dyDescent="0.55000000000000004">
      <c r="B937" s="1" t="s">
        <v>265</v>
      </c>
      <c r="C937" s="1"/>
      <c r="D937" s="172">
        <f>1067-D946</f>
        <v>720.9393846153846</v>
      </c>
    </row>
    <row r="938" spans="2:4" x14ac:dyDescent="0.55000000000000004">
      <c r="B938" s="412" t="s">
        <v>2076</v>
      </c>
      <c r="C938" s="412"/>
      <c r="D938" s="413">
        <f>SUM(D936:D937)</f>
        <v>1300.9393846153846</v>
      </c>
    </row>
    <row r="939" spans="2:4" x14ac:dyDescent="0.55000000000000004">
      <c r="B939" s="18"/>
      <c r="D939" s="7"/>
    </row>
    <row r="940" spans="2:4" x14ac:dyDescent="0.55000000000000004">
      <c r="B940" s="412" t="s">
        <v>2083</v>
      </c>
      <c r="C940" s="412"/>
      <c r="D940" s="414">
        <v>0.25</v>
      </c>
    </row>
    <row r="941" spans="2:4" x14ac:dyDescent="0.55000000000000004">
      <c r="B941" t="s">
        <v>2082</v>
      </c>
      <c r="D941" s="7">
        <f>D938*D940</f>
        <v>325.23484615384615</v>
      </c>
    </row>
    <row r="942" spans="2:4" x14ac:dyDescent="0.55000000000000004">
      <c r="B942" s="412" t="s">
        <v>2064</v>
      </c>
      <c r="C942" s="412"/>
      <c r="D942" s="413">
        <f>D941*0.8</f>
        <v>260.18787692307694</v>
      </c>
    </row>
    <row r="944" spans="2:4" x14ac:dyDescent="0.55000000000000004">
      <c r="B944" s="415" t="s">
        <v>2081</v>
      </c>
      <c r="C944" s="416" t="s">
        <v>883</v>
      </c>
      <c r="D944" s="416" t="str">
        <f>D935</f>
        <v>BRL m</v>
      </c>
    </row>
    <row r="945" spans="2:5" x14ac:dyDescent="0.55000000000000004">
      <c r="B945" t="str">
        <f>B936</f>
        <v>PAGS</v>
      </c>
      <c r="C945" s="7">
        <f>Quarts!AD191</f>
        <v>6500</v>
      </c>
      <c r="D945" s="7">
        <f>Master!K73</f>
        <v>686</v>
      </c>
    </row>
    <row r="946" spans="2:5" x14ac:dyDescent="0.55000000000000004">
      <c r="B946" s="417" t="str">
        <f>B937</f>
        <v>Stone</v>
      </c>
      <c r="C946" s="418">
        <v>3279</v>
      </c>
      <c r="D946" s="418">
        <f>C946/C945*D945</f>
        <v>346.0606153846154</v>
      </c>
    </row>
    <row r="947" spans="2:5" x14ac:dyDescent="0.55000000000000004">
      <c r="B947" t="s">
        <v>2076</v>
      </c>
      <c r="C947" s="2"/>
      <c r="D947" s="7">
        <f>SUM(D945:D946)</f>
        <v>1032.0606153846154</v>
      </c>
    </row>
    <row r="948" spans="2:5" x14ac:dyDescent="0.55000000000000004">
      <c r="B948" s="412"/>
      <c r="C948" s="414"/>
      <c r="D948" s="413"/>
    </row>
    <row r="949" spans="2:5" x14ac:dyDescent="0.55000000000000004">
      <c r="B949" t="s">
        <v>2083</v>
      </c>
      <c r="D949" s="2">
        <v>0.2</v>
      </c>
    </row>
    <row r="950" spans="2:5" x14ac:dyDescent="0.55000000000000004">
      <c r="B950" s="412" t="s">
        <v>2082</v>
      </c>
      <c r="C950" s="412"/>
      <c r="D950" s="413">
        <f>D949*D947</f>
        <v>206.41212307692308</v>
      </c>
    </row>
    <row r="951" spans="2:5" x14ac:dyDescent="0.55000000000000004">
      <c r="B951" s="1" t="s">
        <v>2064</v>
      </c>
      <c r="C951" s="1"/>
      <c r="D951" s="172">
        <f>D950*0.8</f>
        <v>165.12969846153848</v>
      </c>
    </row>
    <row r="953" spans="2:5" x14ac:dyDescent="0.55000000000000004">
      <c r="B953" s="233" t="s">
        <v>2084</v>
      </c>
    </row>
    <row r="954" spans="2:5" x14ac:dyDescent="0.55000000000000004">
      <c r="B954" s="15" t="s">
        <v>2085</v>
      </c>
    </row>
    <row r="955" spans="2:5" x14ac:dyDescent="0.55000000000000004">
      <c r="B955" s="15" t="s">
        <v>2086</v>
      </c>
    </row>
    <row r="956" spans="2:5" x14ac:dyDescent="0.55000000000000004">
      <c r="B956" s="15"/>
    </row>
    <row r="958" spans="2:5" x14ac:dyDescent="0.55000000000000004">
      <c r="B958" s="18" t="s">
        <v>2065</v>
      </c>
    </row>
    <row r="959" spans="2:5" x14ac:dyDescent="0.55000000000000004">
      <c r="B959" s="18"/>
    </row>
    <row r="960" spans="2:5" x14ac:dyDescent="0.55000000000000004">
      <c r="B960" s="20" t="s">
        <v>496</v>
      </c>
      <c r="C960" s="1"/>
      <c r="D960" s="234"/>
      <c r="E960" s="19" t="s">
        <v>2092</v>
      </c>
    </row>
    <row r="961" spans="2:5" x14ac:dyDescent="0.55000000000000004">
      <c r="B961" s="412" t="s">
        <v>2096</v>
      </c>
      <c r="C961" s="412"/>
      <c r="D961" s="413">
        <v>1042</v>
      </c>
      <c r="E961" s="425" t="s">
        <v>1874</v>
      </c>
    </row>
    <row r="962" spans="2:5" x14ac:dyDescent="0.55000000000000004">
      <c r="B962" t="s">
        <v>2122</v>
      </c>
      <c r="D962">
        <v>10</v>
      </c>
      <c r="E962" s="8" t="s">
        <v>461</v>
      </c>
    </row>
    <row r="963" spans="2:5" x14ac:dyDescent="0.55000000000000004">
      <c r="B963" s="412" t="s">
        <v>2067</v>
      </c>
      <c r="C963" s="412"/>
      <c r="D963" s="413">
        <f>D962*12*D961/1000</f>
        <v>125.04</v>
      </c>
      <c r="E963" s="425"/>
    </row>
    <row r="964" spans="2:5" x14ac:dyDescent="0.55000000000000004">
      <c r="E964" s="8"/>
    </row>
    <row r="965" spans="2:5" x14ac:dyDescent="0.55000000000000004">
      <c r="B965" s="412" t="s">
        <v>2097</v>
      </c>
      <c r="C965" s="412"/>
      <c r="D965" s="413">
        <f>C946-D961</f>
        <v>2237</v>
      </c>
      <c r="E965" s="425"/>
    </row>
    <row r="966" spans="2:5" x14ac:dyDescent="0.55000000000000004">
      <c r="B966" t="s">
        <v>2105</v>
      </c>
      <c r="D966">
        <f>D962*5</f>
        <v>50</v>
      </c>
      <c r="E966" s="8" t="s">
        <v>2093</v>
      </c>
    </row>
    <row r="967" spans="2:5" x14ac:dyDescent="0.55000000000000004">
      <c r="B967" s="412" t="s">
        <v>2091</v>
      </c>
      <c r="C967" s="412"/>
      <c r="D967" s="413">
        <f>D966*12*D965/1000</f>
        <v>1342.2</v>
      </c>
      <c r="E967" s="425"/>
    </row>
    <row r="968" spans="2:5" x14ac:dyDescent="0.55000000000000004">
      <c r="D968" s="426"/>
      <c r="E968" s="8"/>
    </row>
    <row r="969" spans="2:5" x14ac:dyDescent="0.55000000000000004">
      <c r="B969" s="412" t="s">
        <v>249</v>
      </c>
      <c r="C969" s="412"/>
      <c r="D969" s="413">
        <f>D963+D967</f>
        <v>1467.24</v>
      </c>
      <c r="E969" s="425"/>
    </row>
    <row r="970" spans="2:5" x14ac:dyDescent="0.55000000000000004">
      <c r="B970" t="s">
        <v>2090</v>
      </c>
      <c r="D970" s="2">
        <v>0.47</v>
      </c>
      <c r="E970" s="8" t="s">
        <v>1874</v>
      </c>
    </row>
    <row r="971" spans="2:5" x14ac:dyDescent="0.55000000000000004">
      <c r="B971" s="412" t="s">
        <v>1786</v>
      </c>
      <c r="C971" s="412"/>
      <c r="D971" s="413">
        <f>D969*D970</f>
        <v>689.6028</v>
      </c>
      <c r="E971" s="425"/>
    </row>
    <row r="972" spans="2:5" x14ac:dyDescent="0.55000000000000004">
      <c r="E972" s="8"/>
    </row>
    <row r="973" spans="2:5" x14ac:dyDescent="0.55000000000000004">
      <c r="B973" s="412" t="s">
        <v>2095</v>
      </c>
      <c r="C973" s="412"/>
      <c r="D973" s="414">
        <v>0.12</v>
      </c>
      <c r="E973" s="425" t="s">
        <v>2098</v>
      </c>
    </row>
    <row r="974" spans="2:5" x14ac:dyDescent="0.55000000000000004">
      <c r="B974" t="s">
        <v>2094</v>
      </c>
      <c r="D974" s="7">
        <f>D973*D969</f>
        <v>176.06879999999998</v>
      </c>
      <c r="E974" s="8"/>
    </row>
    <row r="975" spans="2:5" x14ac:dyDescent="0.55000000000000004">
      <c r="B975" s="412" t="s">
        <v>2104</v>
      </c>
      <c r="C975" s="412"/>
      <c r="D975" s="413">
        <f>D971-D974</f>
        <v>513.53399999999999</v>
      </c>
      <c r="E975" s="425"/>
    </row>
    <row r="976" spans="2:5" x14ac:dyDescent="0.55000000000000004">
      <c r="B976" s="1" t="s">
        <v>2063</v>
      </c>
      <c r="C976" s="1"/>
      <c r="D976" s="172">
        <f>D975*0.8</f>
        <v>410.8272</v>
      </c>
      <c r="E976" s="234"/>
    </row>
    <row r="977" spans="2:6" x14ac:dyDescent="0.55000000000000004">
      <c r="D977" s="7"/>
    </row>
    <row r="978" spans="2:6" x14ac:dyDescent="0.55000000000000004">
      <c r="D978" s="7"/>
    </row>
    <row r="980" spans="2:6" x14ac:dyDescent="0.55000000000000004">
      <c r="B980" t="s">
        <v>2113</v>
      </c>
      <c r="D980" s="7">
        <f>D913</f>
        <v>240</v>
      </c>
    </row>
    <row r="981" spans="2:6" x14ac:dyDescent="0.55000000000000004">
      <c r="B981" t="s">
        <v>2114</v>
      </c>
      <c r="D981" s="7">
        <f>D921</f>
        <v>213.84000000000003</v>
      </c>
    </row>
    <row r="982" spans="2:6" x14ac:dyDescent="0.55000000000000004">
      <c r="B982" t="s">
        <v>2068</v>
      </c>
      <c r="D982" s="4">
        <f>D942</f>
        <v>260.18787692307694</v>
      </c>
      <c r="F982">
        <f>D985/(15%-8%)</f>
        <v>18428.353934065937</v>
      </c>
    </row>
    <row r="983" spans="2:6" x14ac:dyDescent="0.55000000000000004">
      <c r="B983" t="s">
        <v>2069</v>
      </c>
      <c r="D983" s="4">
        <f>D951</f>
        <v>165.12969846153848</v>
      </c>
    </row>
    <row r="984" spans="2:6" x14ac:dyDescent="0.55000000000000004">
      <c r="B984" s="1" t="s">
        <v>2099</v>
      </c>
      <c r="C984" s="1"/>
      <c r="D984" s="6">
        <f>D976</f>
        <v>410.8272</v>
      </c>
    </row>
    <row r="985" spans="2:6" x14ac:dyDescent="0.55000000000000004">
      <c r="B985" t="s">
        <v>2075</v>
      </c>
      <c r="D985" s="4">
        <f>SUM(D980:D984)</f>
        <v>1289.9847753846154</v>
      </c>
    </row>
    <row r="986" spans="2:6" x14ac:dyDescent="0.55000000000000004">
      <c r="B986" t="s">
        <v>2070</v>
      </c>
      <c r="D986" s="7">
        <v>15</v>
      </c>
    </row>
    <row r="987" spans="2:6" x14ac:dyDescent="0.55000000000000004">
      <c r="B987" t="s">
        <v>2071</v>
      </c>
      <c r="D987" s="4">
        <f>D985*D986</f>
        <v>19349.771630769232</v>
      </c>
      <c r="E987" s="4">
        <f>D985/(15%-8%)</f>
        <v>18428.353934065937</v>
      </c>
    </row>
    <row r="988" spans="2:6" x14ac:dyDescent="0.55000000000000004">
      <c r="B988" t="s">
        <v>2074</v>
      </c>
      <c r="D988" s="4">
        <f>D987/5</f>
        <v>3869.9543261538465</v>
      </c>
    </row>
    <row r="990" spans="2:6" x14ac:dyDescent="0.55000000000000004">
      <c r="B990" t="s">
        <v>709</v>
      </c>
    </row>
    <row r="991" spans="2:6" x14ac:dyDescent="0.55000000000000004">
      <c r="B991" t="s">
        <v>4</v>
      </c>
      <c r="D991" s="7">
        <f>Valuation!G36</f>
        <v>4499.0129999999999</v>
      </c>
    </row>
    <row r="992" spans="2:6" x14ac:dyDescent="0.55000000000000004">
      <c r="B992" s="1" t="s">
        <v>1814</v>
      </c>
      <c r="C992" s="1"/>
      <c r="D992" s="172">
        <v>2800</v>
      </c>
    </row>
    <row r="993" spans="2:4" x14ac:dyDescent="0.55000000000000004">
      <c r="B993" t="s">
        <v>2076</v>
      </c>
      <c r="D993" s="7">
        <f>SUM(D991:D992)</f>
        <v>7299.0129999999999</v>
      </c>
    </row>
    <row r="994" spans="2:4" x14ac:dyDescent="0.55000000000000004">
      <c r="B994" t="s">
        <v>2077</v>
      </c>
      <c r="D994" s="2">
        <f>D988/D993</f>
        <v>0.53020241588196193</v>
      </c>
    </row>
    <row r="996" spans="2:4" x14ac:dyDescent="0.55000000000000004">
      <c r="B996" t="s">
        <v>392</v>
      </c>
    </row>
    <row r="997" spans="2:4" x14ac:dyDescent="0.55000000000000004">
      <c r="B997" s="1" t="s">
        <v>265</v>
      </c>
      <c r="C997" s="1"/>
      <c r="D997" s="1"/>
    </row>
    <row r="998" spans="2:4" x14ac:dyDescent="0.55000000000000004">
      <c r="B998" t="s">
        <v>2102</v>
      </c>
      <c r="C998" s="7">
        <f>Master!K103</f>
        <v>1740.6199999999994</v>
      </c>
      <c r="D998" s="7">
        <v>1696.2215923795304</v>
      </c>
    </row>
    <row r="999" spans="2:4" x14ac:dyDescent="0.55000000000000004">
      <c r="B999" t="str">
        <f>B980</f>
        <v>Hubs - staffing</v>
      </c>
      <c r="C999" s="7">
        <f t="shared" ref="C999:C1002" si="36">C998+D998</f>
        <v>3436.8415923795301</v>
      </c>
      <c r="D999">
        <f>D980</f>
        <v>240</v>
      </c>
    </row>
    <row r="1000" spans="2:4" x14ac:dyDescent="0.55000000000000004">
      <c r="B1000" t="str">
        <f>B981</f>
        <v>Hubs - selling</v>
      </c>
      <c r="C1000" s="7">
        <f t="shared" si="36"/>
        <v>3676.8415923795301</v>
      </c>
      <c r="D1000" s="4">
        <f>D981</f>
        <v>213.84000000000003</v>
      </c>
    </row>
    <row r="1001" spans="2:4" x14ac:dyDescent="0.55000000000000004">
      <c r="B1001" t="str">
        <f>B982</f>
        <v>HQ / admin savings</v>
      </c>
      <c r="C1001" s="7">
        <f t="shared" si="36"/>
        <v>3890.6815923795302</v>
      </c>
      <c r="D1001" s="4">
        <f>D982</f>
        <v>260.18787692307694</v>
      </c>
    </row>
    <row r="1002" spans="2:4" x14ac:dyDescent="0.55000000000000004">
      <c r="B1002" t="str">
        <f>B983</f>
        <v>POS savings</v>
      </c>
      <c r="C1002" s="7">
        <f t="shared" si="36"/>
        <v>4150.8694693026073</v>
      </c>
      <c r="D1002" s="4">
        <f>D983</f>
        <v>165.12969846153848</v>
      </c>
    </row>
    <row r="1003" spans="2:4" x14ac:dyDescent="0.55000000000000004">
      <c r="B1003" t="s">
        <v>2072</v>
      </c>
      <c r="C1003" s="7">
        <f>C1002+D1002</f>
        <v>4315.9991677641456</v>
      </c>
    </row>
    <row r="1004" spans="2:4" x14ac:dyDescent="0.55000000000000004">
      <c r="B1004" t="s">
        <v>2103</v>
      </c>
      <c r="C1004" s="2">
        <f>C1003/(C998+D998)-1</f>
        <v>0.25580392687692144</v>
      </c>
    </row>
    <row r="1010" spans="2:6" x14ac:dyDescent="0.55000000000000004">
      <c r="B1010" t="s">
        <v>2073</v>
      </c>
    </row>
    <row r="1012" spans="2:6" x14ac:dyDescent="0.55000000000000004">
      <c r="B1012" s="1" t="s">
        <v>809</v>
      </c>
      <c r="C1012" s="1">
        <v>2022</v>
      </c>
      <c r="D1012" s="1">
        <f>C1012+1</f>
        <v>2023</v>
      </c>
      <c r="E1012" s="1">
        <f>D1012+1</f>
        <v>2024</v>
      </c>
      <c r="F1012" s="1">
        <f>E1012+1</f>
        <v>2025</v>
      </c>
    </row>
    <row r="1013" spans="2:6" x14ac:dyDescent="0.55000000000000004">
      <c r="B1013" t="s">
        <v>1739</v>
      </c>
      <c r="C1013" s="4">
        <f>Master!J103</f>
        <v>1597.8999999999994</v>
      </c>
      <c r="D1013" s="4">
        <f>Master!K103</f>
        <v>1740.6199999999994</v>
      </c>
      <c r="E1013" s="4">
        <f>Master!L103</f>
        <v>2167.4068836829047</v>
      </c>
      <c r="F1013" s="4">
        <f>Master!M103</f>
        <v>2717.7870420817958</v>
      </c>
    </row>
    <row r="1014" spans="2:6" x14ac:dyDescent="0.55000000000000004">
      <c r="B1014" t="s">
        <v>1740</v>
      </c>
      <c r="C1014" s="4">
        <v>1624.0832005149168</v>
      </c>
      <c r="D1014" s="4">
        <v>2023.3723779157019</v>
      </c>
      <c r="E1014" s="4">
        <v>2652.525971560191</v>
      </c>
      <c r="F1014" s="4">
        <v>2899.5038910205299</v>
      </c>
    </row>
    <row r="1040" spans="5:5" x14ac:dyDescent="0.55000000000000004">
      <c r="E1040" t="s">
        <v>562</v>
      </c>
    </row>
    <row r="1057" spans="2:6" x14ac:dyDescent="0.55000000000000004">
      <c r="B1057" t="s">
        <v>2106</v>
      </c>
      <c r="C1057" s="7">
        <v>0</v>
      </c>
      <c r="D1057" s="7">
        <f>C1003</f>
        <v>4315.9991677641456</v>
      </c>
    </row>
    <row r="1058" spans="2:6" x14ac:dyDescent="0.55000000000000004">
      <c r="B1058" t="s">
        <v>2107</v>
      </c>
      <c r="C1058" s="7">
        <f>C1057+D1057</f>
        <v>4315.9991677641456</v>
      </c>
      <c r="D1058">
        <v>480</v>
      </c>
    </row>
    <row r="1059" spans="2:6" x14ac:dyDescent="0.55000000000000004">
      <c r="B1059" t="s">
        <v>2108</v>
      </c>
      <c r="C1059" s="7">
        <f>C1058+D1058-D1059</f>
        <v>4637.9991677641456</v>
      </c>
      <c r="D1059" s="4">
        <v>158</v>
      </c>
    </row>
    <row r="1060" spans="2:6" x14ac:dyDescent="0.55000000000000004">
      <c r="B1060" t="s">
        <v>2109</v>
      </c>
      <c r="C1060" s="7">
        <v>0</v>
      </c>
      <c r="D1060" s="4">
        <f>C1059</f>
        <v>4637.9991677641456</v>
      </c>
    </row>
    <row r="1061" spans="2:6" x14ac:dyDescent="0.55000000000000004">
      <c r="C1061" s="7"/>
      <c r="D1061" s="4"/>
    </row>
    <row r="1062" spans="2:6" x14ac:dyDescent="0.55000000000000004">
      <c r="C1062" s="7"/>
    </row>
    <row r="1063" spans="2:6" x14ac:dyDescent="0.55000000000000004">
      <c r="B1063" s="20" t="s">
        <v>723</v>
      </c>
      <c r="C1063" s="20">
        <v>2022</v>
      </c>
      <c r="D1063" s="20">
        <f>C1063+1</f>
        <v>2023</v>
      </c>
      <c r="E1063" s="20">
        <f>D1063+1</f>
        <v>2024</v>
      </c>
      <c r="F1063" s="20">
        <f>E1063+1</f>
        <v>2025</v>
      </c>
    </row>
    <row r="1064" spans="2:6" x14ac:dyDescent="0.55000000000000004">
      <c r="B1064" t="s">
        <v>396</v>
      </c>
    </row>
    <row r="1065" spans="2:6" x14ac:dyDescent="0.55000000000000004">
      <c r="B1065" t="s">
        <v>2119</v>
      </c>
      <c r="C1065" s="4">
        <f>Master!J72</f>
        <v>1131</v>
      </c>
      <c r="D1065" s="4">
        <f>Master!K72</f>
        <v>1355</v>
      </c>
      <c r="E1065" s="4">
        <f>Master!L72</f>
        <v>1773.5470645841904</v>
      </c>
      <c r="F1065" s="4">
        <f>Master!M72</f>
        <v>1841.6814874009174</v>
      </c>
    </row>
    <row r="1066" spans="2:6" x14ac:dyDescent="0.55000000000000004">
      <c r="B1066" t="s">
        <v>240</v>
      </c>
      <c r="C1066" s="4">
        <v>1083.7</v>
      </c>
      <c r="D1066" s="4">
        <v>1268.5</v>
      </c>
      <c r="E1066" s="4">
        <v>1247</v>
      </c>
      <c r="F1066" s="4">
        <v>1463</v>
      </c>
    </row>
    <row r="1068" spans="2:6" x14ac:dyDescent="0.55000000000000004">
      <c r="B1068" t="s">
        <v>1876</v>
      </c>
    </row>
    <row r="1069" spans="2:6" x14ac:dyDescent="0.55000000000000004">
      <c r="B1069" t="str">
        <f>B1065</f>
        <v xml:space="preserve">New Street </v>
      </c>
      <c r="C1069" s="4">
        <f>Master!J103</f>
        <v>1597.8999999999994</v>
      </c>
      <c r="D1069" s="4">
        <f>Master!K103</f>
        <v>1740.6199999999994</v>
      </c>
      <c r="E1069" s="4">
        <f>Master!L103</f>
        <v>2167.4068836829047</v>
      </c>
      <c r="F1069" s="4">
        <f>Master!M103</f>
        <v>2717.7870420817958</v>
      </c>
    </row>
    <row r="1070" spans="2:6" x14ac:dyDescent="0.55000000000000004">
      <c r="B1070" t="str">
        <f>B1066</f>
        <v>Consensus</v>
      </c>
      <c r="C1070" s="4">
        <v>1625.5</v>
      </c>
      <c r="D1070" s="4">
        <v>2365.8000000000002</v>
      </c>
      <c r="E1070" s="4">
        <v>3338.2</v>
      </c>
      <c r="F1070" s="4">
        <v>4319.8</v>
      </c>
    </row>
    <row r="1105" spans="2:12" x14ac:dyDescent="0.55000000000000004">
      <c r="B1105" s="431" t="s">
        <v>2121</v>
      </c>
      <c r="C1105" s="20">
        <f>[12]Analysis!C910</f>
        <v>2022</v>
      </c>
      <c r="D1105" s="20">
        <f>[12]Analysis!D910</f>
        <v>2023</v>
      </c>
      <c r="E1105" s="20">
        <f>[12]Analysis!E910</f>
        <v>2024</v>
      </c>
      <c r="F1105" s="20">
        <f>[12]Analysis!F910</f>
        <v>2025</v>
      </c>
    </row>
    <row r="1106" spans="2:12" x14ac:dyDescent="0.55000000000000004">
      <c r="B1106" s="18" t="s">
        <v>1455</v>
      </c>
    </row>
    <row r="1107" spans="2:12" x14ac:dyDescent="0.55000000000000004">
      <c r="B1107" t="s">
        <v>294</v>
      </c>
      <c r="C1107" s="4">
        <f>Master!J12</f>
        <v>15334.8</v>
      </c>
      <c r="D1107" s="4">
        <f>Master!K12</f>
        <v>15949</v>
      </c>
      <c r="E1107" s="4">
        <f>Master!L12</f>
        <v>17433.882583367609</v>
      </c>
      <c r="F1107" s="4">
        <f>Master!M12</f>
        <v>19159.259496036688</v>
      </c>
    </row>
    <row r="1108" spans="2:12" x14ac:dyDescent="0.55000000000000004">
      <c r="B1108" t="s">
        <v>714</v>
      </c>
      <c r="C1108" s="4">
        <f>Master!J119</f>
        <v>3053</v>
      </c>
      <c r="D1108" s="4">
        <f>Master!K119</f>
        <v>3510.5672173355679</v>
      </c>
      <c r="E1108" s="4">
        <f>Master!L119</f>
        <v>4510.7782269123518</v>
      </c>
      <c r="F1108" s="4">
        <f>Master!M119</f>
        <v>5286.1616633272306</v>
      </c>
    </row>
    <row r="1109" spans="2:12" x14ac:dyDescent="0.55000000000000004">
      <c r="B1109" t="s">
        <v>477</v>
      </c>
      <c r="C1109" s="12">
        <f>C1108/C1107</f>
        <v>0.19908965229412839</v>
      </c>
      <c r="D1109" s="12">
        <f>D1108/D1107</f>
        <v>0.22011205826920607</v>
      </c>
      <c r="E1109" s="12">
        <f>E1108/E1107</f>
        <v>0.25873629728444741</v>
      </c>
      <c r="F1109" s="12">
        <f>F1108/F1107</f>
        <v>0.27590636602738922</v>
      </c>
    </row>
    <row r="1110" spans="2:12" x14ac:dyDescent="0.55000000000000004">
      <c r="B1110" t="s">
        <v>2120</v>
      </c>
      <c r="C1110" s="4">
        <f>C1069</f>
        <v>1597.8999999999994</v>
      </c>
      <c r="D1110" s="4">
        <f>D1069</f>
        <v>1740.6199999999994</v>
      </c>
      <c r="E1110" s="4">
        <f>E1069</f>
        <v>2167.4068836829047</v>
      </c>
      <c r="F1110" s="4">
        <f>F1069</f>
        <v>2717.7870420817958</v>
      </c>
    </row>
    <row r="1112" spans="2:12" x14ac:dyDescent="0.55000000000000004">
      <c r="B1112" s="18" t="s">
        <v>240</v>
      </c>
    </row>
    <row r="1113" spans="2:12" x14ac:dyDescent="0.55000000000000004">
      <c r="B1113" t="str">
        <f>B1107</f>
        <v>Revenue</v>
      </c>
      <c r="C1113">
        <v>14856</v>
      </c>
      <c r="D1113">
        <v>18452</v>
      </c>
      <c r="E1113">
        <v>24429</v>
      </c>
      <c r="F1113">
        <v>30778</v>
      </c>
    </row>
    <row r="1114" spans="2:12" x14ac:dyDescent="0.55000000000000004">
      <c r="B1114" t="str">
        <f>B1108</f>
        <v>EBITDA</v>
      </c>
      <c r="C1114">
        <v>3343</v>
      </c>
      <c r="D1114">
        <v>4629</v>
      </c>
      <c r="E1114">
        <v>6025</v>
      </c>
      <c r="F1114">
        <v>7752</v>
      </c>
    </row>
    <row r="1115" spans="2:12" x14ac:dyDescent="0.55000000000000004">
      <c r="B1115" t="s">
        <v>477</v>
      </c>
      <c r="C1115" s="12">
        <f>C1114/C1113</f>
        <v>0.22502692514808831</v>
      </c>
      <c r="D1115" s="12">
        <f>D1114/D1113</f>
        <v>0.25086711467591588</v>
      </c>
      <c r="E1115" s="12">
        <f>E1114/E1113</f>
        <v>0.2466331000040935</v>
      </c>
      <c r="F1115" s="12">
        <f>F1114/F1113</f>
        <v>0.25186821755799599</v>
      </c>
    </row>
    <row r="1116" spans="2:12" x14ac:dyDescent="0.55000000000000004">
      <c r="B1116" t="str">
        <f>B1110</f>
        <v>Net income adj</v>
      </c>
      <c r="C1116" s="4">
        <f>C1070</f>
        <v>1625.5</v>
      </c>
      <c r="D1116" s="4">
        <f>D1070</f>
        <v>2365.8000000000002</v>
      </c>
      <c r="E1116" s="4">
        <f>E1070</f>
        <v>3338.2</v>
      </c>
      <c r="F1116" s="4">
        <f>F1070</f>
        <v>4319.8</v>
      </c>
    </row>
    <row r="1120" spans="2:12" x14ac:dyDescent="0.55000000000000004">
      <c r="C1120" t="str">
        <f>Quarts!O4</f>
        <v>1Q 20</v>
      </c>
      <c r="D1120" t="str">
        <f>Quarts!P4</f>
        <v>2Q 20</v>
      </c>
      <c r="E1120" t="str">
        <f>Quarts!Q4</f>
        <v>3Q 20</v>
      </c>
      <c r="F1120" t="str">
        <f>Quarts!R4</f>
        <v>4Q 20</v>
      </c>
      <c r="G1120" t="str">
        <f>Quarts!S4</f>
        <v>1Q 21</v>
      </c>
      <c r="H1120" t="str">
        <f>Quarts!T4</f>
        <v>2Q 21</v>
      </c>
      <c r="I1120" t="str">
        <f>Quarts!U4</f>
        <v>3Q 21</v>
      </c>
      <c r="J1120" t="str">
        <f>Quarts!V4</f>
        <v>4Q 21</v>
      </c>
      <c r="K1120" t="str">
        <f>Quarts!W4</f>
        <v>1Q 22</v>
      </c>
      <c r="L1120" t="str">
        <f>Quarts!X4</f>
        <v>2Q 22</v>
      </c>
    </row>
    <row r="1121" spans="2:12" x14ac:dyDescent="0.55000000000000004">
      <c r="B1121" t="s">
        <v>1585</v>
      </c>
      <c r="C1121" s="4">
        <f>Quarts!O232</f>
        <v>158.61419751244841</v>
      </c>
      <c r="D1121" s="4">
        <f>Quarts!P232</f>
        <v>84.888900714777151</v>
      </c>
      <c r="E1121" s="4">
        <f>Quarts!Q232</f>
        <v>144.36077130879934</v>
      </c>
      <c r="F1121" s="4">
        <f>Quarts!R232</f>
        <v>176.37086814193302</v>
      </c>
      <c r="G1121" s="4">
        <f>Quarts!S232</f>
        <v>156.11249543642109</v>
      </c>
      <c r="H1121" s="4">
        <f>Quarts!T232</f>
        <v>193.67563673077342</v>
      </c>
      <c r="I1121" s="4">
        <f>Quarts!U232</f>
        <v>258.61796397675482</v>
      </c>
      <c r="J1121" s="4">
        <f>Quarts!V232</f>
        <v>308.51423074707048</v>
      </c>
      <c r="K1121" s="4">
        <f>Quarts!W232</f>
        <v>332.56578694405874</v>
      </c>
      <c r="L1121" s="4">
        <f>Quarts!X232</f>
        <v>343.76247149091495</v>
      </c>
    </row>
    <row r="1122" spans="2:12" x14ac:dyDescent="0.55000000000000004">
      <c r="B1122" t="s">
        <v>2134</v>
      </c>
      <c r="C1122" s="4">
        <f>Quarts!O13-C1121</f>
        <v>996.0119038575516</v>
      </c>
      <c r="D1122" s="4">
        <f>Quarts!P13-D1121</f>
        <v>853.24610377522276</v>
      </c>
      <c r="E1122" s="4">
        <f>Quarts!Q13-E1121</f>
        <v>1039.4314458612005</v>
      </c>
      <c r="F1122" s="4">
        <f>Quarts!R13-F1121</f>
        <v>1243.9481073980669</v>
      </c>
      <c r="G1122" s="4">
        <f>Quarts!S13-G1121</f>
        <v>1205.3875045635787</v>
      </c>
      <c r="H1122" s="4">
        <f>Quarts!T13-H1121</f>
        <v>1347.8243632692265</v>
      </c>
      <c r="I1122" s="4">
        <f>Quarts!U13-I1121</f>
        <v>1532.1820360232455</v>
      </c>
      <c r="J1122" s="4">
        <f>Quarts!V13-J1121</f>
        <v>1749.6857692529293</v>
      </c>
      <c r="K1122" s="4">
        <f>Quarts!W13-K1121</f>
        <v>1864.4342130559412</v>
      </c>
      <c r="L1122" s="4">
        <f>Quarts!X13-L1121</f>
        <v>2201.7955285090852</v>
      </c>
    </row>
    <row r="1123" spans="2:12" x14ac:dyDescent="0.55000000000000004">
      <c r="B1123" t="s">
        <v>2133</v>
      </c>
      <c r="C1123" s="4" t="e">
        <f>Quarts!#REF!</f>
        <v>#REF!</v>
      </c>
      <c r="D1123" s="4" t="e">
        <f>Quarts!#REF!</f>
        <v>#REF!</v>
      </c>
      <c r="E1123" s="4" t="e">
        <f>Quarts!#REF!</f>
        <v>#REF!</v>
      </c>
      <c r="F1123" s="4" t="e">
        <f>Quarts!#REF!</f>
        <v>#REF!</v>
      </c>
      <c r="G1123" s="4" t="e">
        <f>Quarts!#REF!</f>
        <v>#REF!</v>
      </c>
      <c r="H1123" s="4" t="e">
        <f>Quarts!#REF!</f>
        <v>#REF!</v>
      </c>
      <c r="I1123" s="4" t="e">
        <f>Quarts!#REF!</f>
        <v>#REF!</v>
      </c>
      <c r="J1123" s="4" t="e">
        <f>Quarts!#REF!</f>
        <v>#REF!</v>
      </c>
      <c r="K1123" s="4" t="e">
        <f>Quarts!#REF!</f>
        <v>#REF!</v>
      </c>
      <c r="L1123" s="4" t="e">
        <f>Quarts!#REF!</f>
        <v>#REF!</v>
      </c>
    </row>
    <row r="1126" spans="2:12" x14ac:dyDescent="0.55000000000000004">
      <c r="C1126" s="8" t="str">
        <f>H1120</f>
        <v>2Q 21</v>
      </c>
      <c r="D1126" s="8" t="str">
        <f>I1120</f>
        <v>3Q 21</v>
      </c>
      <c r="E1126" s="8" t="str">
        <f>J1120</f>
        <v>4Q 21</v>
      </c>
      <c r="F1126" s="8" t="str">
        <f>K1120</f>
        <v>1Q 22</v>
      </c>
      <c r="G1126" s="8" t="str">
        <f>L1120</f>
        <v>2Q 22</v>
      </c>
    </row>
    <row r="1127" spans="2:12" x14ac:dyDescent="0.55000000000000004">
      <c r="B1127" t="s">
        <v>2169</v>
      </c>
      <c r="C1127" s="4">
        <f>-Quarts!T67</f>
        <v>133.80000000000001</v>
      </c>
      <c r="D1127" s="4">
        <f>-Quarts!U67</f>
        <v>209.82300000000001</v>
      </c>
      <c r="E1127" s="4">
        <f>-Quarts!V67</f>
        <v>402.6</v>
      </c>
      <c r="F1127" s="4">
        <f>-Quarts!W67</f>
        <v>621</v>
      </c>
      <c r="G1127" s="4">
        <f>-Quarts!X67</f>
        <v>756</v>
      </c>
    </row>
    <row r="1128" spans="2:12" x14ac:dyDescent="0.55000000000000004">
      <c r="B1128" t="s">
        <v>2193</v>
      </c>
      <c r="D1128" s="4">
        <f>-Quarts!U63</f>
        <v>0</v>
      </c>
      <c r="E1128" s="4">
        <f>-Quarts!V63</f>
        <v>0</v>
      </c>
      <c r="F1128" s="4">
        <f>-Quarts!W63</f>
        <v>0</v>
      </c>
      <c r="G1128" s="4">
        <f>-Quarts!X63</f>
        <v>0</v>
      </c>
    </row>
    <row r="1151" spans="2:10" x14ac:dyDescent="0.55000000000000004">
      <c r="B1151" s="20" t="s">
        <v>4</v>
      </c>
      <c r="C1151" s="19" t="str">
        <f>Quarts!W4</f>
        <v>1Q 22</v>
      </c>
      <c r="D1151" s="19" t="str">
        <f>Quarts!X4</f>
        <v>2Q 22</v>
      </c>
      <c r="E1151" s="19" t="str">
        <f>Quarts!Y4</f>
        <v>3Q 22</v>
      </c>
      <c r="F1151" s="19" t="e">
        <f>Quarts!#REF!</f>
        <v>#REF!</v>
      </c>
      <c r="G1151" s="19" t="e">
        <f>Quarts!#REF!</f>
        <v>#REF!</v>
      </c>
      <c r="H1151" s="19" t="e">
        <f>Quarts!#REF!</f>
        <v>#REF!</v>
      </c>
      <c r="I1151" s="19" t="e">
        <f>Quarts!#REF!</f>
        <v>#REF!</v>
      </c>
      <c r="J1151" s="19" t="e">
        <f>Quarts!#REF!</f>
        <v>#REF!</v>
      </c>
    </row>
    <row r="1152" spans="2:10" x14ac:dyDescent="0.55000000000000004">
      <c r="B1152" t="s">
        <v>1876</v>
      </c>
      <c r="C1152" s="4">
        <f>Quarts!W110</f>
        <v>371</v>
      </c>
      <c r="D1152" s="4">
        <f>Quarts!X110</f>
        <v>403</v>
      </c>
      <c r="E1152" s="4">
        <f>Quarts!Y110</f>
        <v>411.3</v>
      </c>
      <c r="F1152" s="4" t="e">
        <f>Quarts!#REF!</f>
        <v>#REF!</v>
      </c>
      <c r="G1152" s="4" t="e">
        <f>Quarts!#REF!</f>
        <v>#REF!</v>
      </c>
      <c r="H1152" s="4" t="e">
        <f>Quarts!#REF!</f>
        <v>#REF!</v>
      </c>
      <c r="I1152" s="4" t="e">
        <f>Quarts!#REF!</f>
        <v>#REF!</v>
      </c>
      <c r="J1152" s="4" t="e">
        <f>Quarts!#REF!</f>
        <v>#REF!</v>
      </c>
    </row>
    <row r="1153" spans="2:10" x14ac:dyDescent="0.55000000000000004">
      <c r="B1153" t="s">
        <v>2204</v>
      </c>
      <c r="C1153" s="12">
        <f>Quarts!W111</f>
        <v>0.10825795156113219</v>
      </c>
      <c r="D1153" s="12">
        <f>Quarts!X111</f>
        <v>0.10305434671982873</v>
      </c>
      <c r="E1153" s="12">
        <f>Quarts!Y111</f>
        <v>0.10193308550185874</v>
      </c>
      <c r="F1153" s="12" t="e">
        <f>Quarts!#REF!</f>
        <v>#REF!</v>
      </c>
      <c r="G1153" s="12" t="e">
        <f>Quarts!#REF!</f>
        <v>#REF!</v>
      </c>
      <c r="H1153" s="12" t="e">
        <f>Quarts!#REF!</f>
        <v>#REF!</v>
      </c>
      <c r="I1153" s="12" t="e">
        <f>Quarts!#REF!</f>
        <v>#REF!</v>
      </c>
      <c r="J1153" s="12" t="e">
        <f>Quarts!#REF!</f>
        <v>#REF!</v>
      </c>
    </row>
    <row r="1154" spans="2:10" x14ac:dyDescent="0.55000000000000004">
      <c r="B1154" t="s">
        <v>2205</v>
      </c>
      <c r="C1154" s="12">
        <f>C1152/Quarts!W13</f>
        <v>0.16886663632225762</v>
      </c>
      <c r="D1154" s="12">
        <f>D1152/Quarts!X13</f>
        <v>0.15831499419773581</v>
      </c>
      <c r="E1154" s="12">
        <f>E1152/Quarts!Y13</f>
        <v>0.15485692771084339</v>
      </c>
      <c r="F1154" s="12" t="e">
        <f>F1152/Quarts!#REF!</f>
        <v>#REF!</v>
      </c>
      <c r="G1154" s="12" t="e">
        <f>G1152/Quarts!#REF!</f>
        <v>#REF!</v>
      </c>
      <c r="H1154" s="12" t="e">
        <f>H1152/Quarts!#REF!</f>
        <v>#REF!</v>
      </c>
      <c r="I1154" s="12" t="e">
        <f>I1152/Quarts!#REF!</f>
        <v>#REF!</v>
      </c>
      <c r="J1154" s="12" t="e">
        <f>J1152/Quarts!#REF!</f>
        <v>#REF!</v>
      </c>
    </row>
    <row r="1156" spans="2:10" x14ac:dyDescent="0.55000000000000004">
      <c r="B1156" s="20" t="s">
        <v>1814</v>
      </c>
      <c r="C1156" s="19" t="str">
        <f t="shared" ref="C1156:J1156" si="37">C1151</f>
        <v>1Q 22</v>
      </c>
      <c r="D1156" s="19" t="str">
        <f t="shared" si="37"/>
        <v>2Q 22</v>
      </c>
      <c r="E1156" s="19" t="str">
        <f t="shared" si="37"/>
        <v>3Q 22</v>
      </c>
      <c r="F1156" s="19" t="e">
        <f t="shared" si="37"/>
        <v>#REF!</v>
      </c>
      <c r="G1156" s="19" t="e">
        <f t="shared" si="37"/>
        <v>#REF!</v>
      </c>
      <c r="H1156" s="19" t="e">
        <f t="shared" si="37"/>
        <v>#REF!</v>
      </c>
      <c r="I1156" s="19" t="e">
        <f t="shared" si="37"/>
        <v>#REF!</v>
      </c>
      <c r="J1156" s="19" t="e">
        <f t="shared" si="37"/>
        <v>#REF!</v>
      </c>
    </row>
    <row r="1157" spans="2:10" x14ac:dyDescent="0.55000000000000004">
      <c r="B1157" t="s">
        <v>1876</v>
      </c>
      <c r="C1157" s="4">
        <v>51.599999999999994</v>
      </c>
      <c r="D1157" s="4">
        <v>76.600000000000009</v>
      </c>
      <c r="E1157" s="4">
        <v>194.31269365508419</v>
      </c>
      <c r="F1157" s="4">
        <v>194.90056722078685</v>
      </c>
      <c r="G1157" s="4">
        <v>196.50542387878505</v>
      </c>
      <c r="H1157" s="4">
        <v>259.6126563784361</v>
      </c>
      <c r="I1157" s="4">
        <v>286.97917662188172</v>
      </c>
      <c r="J1157" s="4">
        <v>333.27596701216771</v>
      </c>
    </row>
    <row r="1158" spans="2:10" x14ac:dyDescent="0.55000000000000004">
      <c r="B1158" t="s">
        <v>2204</v>
      </c>
      <c r="C1158" s="12">
        <v>2.4923924068975506E-2</v>
      </c>
      <c r="D1158" s="12">
        <v>3.3245084848747893E-2</v>
      </c>
      <c r="E1158" s="12">
        <v>7.746170765600327E-2</v>
      </c>
      <c r="F1158" s="12">
        <v>7.405037377864386E-2</v>
      </c>
      <c r="G1158" s="12">
        <v>7.637296941453145E-2</v>
      </c>
      <c r="H1158" s="12">
        <v>9.5430462439664535E-2</v>
      </c>
      <c r="I1158" s="12">
        <v>0.10040871334699235</v>
      </c>
      <c r="J1158" s="12">
        <v>0.11101503642614692</v>
      </c>
    </row>
    <row r="1171" spans="2:9" x14ac:dyDescent="0.55000000000000004">
      <c r="F1171" s="502" t="s">
        <v>463</v>
      </c>
    </row>
    <row r="1172" spans="2:9" x14ac:dyDescent="0.55000000000000004">
      <c r="B1172" s="20" t="s">
        <v>2215</v>
      </c>
      <c r="C1172" s="492" t="e">
        <f>$F1172-(C1174-$F1174)</f>
        <v>#REF!</v>
      </c>
      <c r="D1172" s="492" t="e">
        <f>$F1172-(D1174-$F1174)</f>
        <v>#REF!</v>
      </c>
      <c r="E1172" s="492" t="e">
        <f>$F1172-(E1174-$F1174)</f>
        <v>#REF!</v>
      </c>
      <c r="F1172" s="503" t="e">
        <f>Quarts!#REF!</f>
        <v>#REF!</v>
      </c>
      <c r="G1172" s="492" t="e">
        <f>$F1172-(G1174-$F1174)</f>
        <v>#REF!</v>
      </c>
      <c r="H1172" s="492" t="e">
        <f>$F1172-(H1174-$F1174)</f>
        <v>#REF!</v>
      </c>
      <c r="I1172" s="492" t="e">
        <f>$F1172-(I1174-$F1174)</f>
        <v>#REF!</v>
      </c>
    </row>
    <row r="1173" spans="2:9" x14ac:dyDescent="0.55000000000000004">
      <c r="B1173" t="s">
        <v>2216</v>
      </c>
      <c r="C1173" s="12">
        <f>D1173</f>
        <v>0.13750000000000001</v>
      </c>
      <c r="D1173" s="12">
        <f>E1173</f>
        <v>0.13750000000000001</v>
      </c>
      <c r="E1173" s="12">
        <f>F1173</f>
        <v>0.13750000000000001</v>
      </c>
      <c r="F1173" s="482">
        <v>0.13750000000000001</v>
      </c>
      <c r="G1173" s="12">
        <f>F1173</f>
        <v>0.13750000000000001</v>
      </c>
      <c r="H1173" s="12">
        <f>G1173</f>
        <v>0.13750000000000001</v>
      </c>
      <c r="I1173" s="12">
        <f>H1173</f>
        <v>0.13750000000000001</v>
      </c>
    </row>
    <row r="1174" spans="2:9" x14ac:dyDescent="0.55000000000000004">
      <c r="B1174" t="s">
        <v>2217</v>
      </c>
      <c r="C1174" s="12">
        <v>0</v>
      </c>
      <c r="D1174" s="12" t="e">
        <f>E1174-1%</f>
        <v>#REF!</v>
      </c>
      <c r="E1174" s="12" t="e">
        <f>F1174-1%</f>
        <v>#REF!</v>
      </c>
      <c r="F1174" s="482" t="e">
        <f>Quarts!#REF!-Quarts!#REF!</f>
        <v>#REF!</v>
      </c>
      <c r="G1174" s="12" t="e">
        <f>F1174+1%</f>
        <v>#REF!</v>
      </c>
      <c r="H1174" s="12" t="e">
        <f>G1174+1%</f>
        <v>#REF!</v>
      </c>
      <c r="I1174" s="12" t="e">
        <f>H1174+1%</f>
        <v>#REF!</v>
      </c>
    </row>
    <row r="1175" spans="2:9" x14ac:dyDescent="0.55000000000000004">
      <c r="C1175" s="12"/>
      <c r="D1175" s="12"/>
      <c r="E1175" s="12"/>
      <c r="F1175" s="482"/>
      <c r="G1175" s="12"/>
      <c r="H1175" s="12"/>
      <c r="I1175" s="12"/>
    </row>
    <row r="1176" spans="2:9" x14ac:dyDescent="0.55000000000000004">
      <c r="B1176" t="s">
        <v>2218</v>
      </c>
      <c r="C1176" s="12" t="e">
        <f>(C1172+Quarts!#REF!)/2</f>
        <v>#REF!</v>
      </c>
      <c r="D1176" s="12" t="e">
        <f>(D1172+Quarts!#REF!)/2</f>
        <v>#REF!</v>
      </c>
      <c r="E1176" s="12" t="e">
        <f>(E1172+Quarts!#REF!)/2</f>
        <v>#REF!</v>
      </c>
      <c r="F1176" s="482" t="e">
        <f>(Quarts!#REF!+Quarts!#REF!)/2</f>
        <v>#REF!</v>
      </c>
      <c r="G1176" s="12" t="e">
        <f>(G1172+Quarts!#REF!)/2</f>
        <v>#REF!</v>
      </c>
      <c r="H1176" s="12" t="e">
        <f>(H1172+Quarts!#REF!)/2</f>
        <v>#REF!</v>
      </c>
      <c r="I1176" s="12" t="e">
        <f>(I1172+Quarts!#REF!)/2</f>
        <v>#REF!</v>
      </c>
    </row>
    <row r="1177" spans="2:9" x14ac:dyDescent="0.55000000000000004">
      <c r="B1177" s="20" t="s">
        <v>2219</v>
      </c>
      <c r="C1177" s="492" t="e">
        <f>$F1176-C1176</f>
        <v>#REF!</v>
      </c>
      <c r="D1177" s="492" t="e">
        <f>$F1176-D1176</f>
        <v>#REF!</v>
      </c>
      <c r="E1177" s="492" t="e">
        <f>$F1176-E1176</f>
        <v>#REF!</v>
      </c>
      <c r="F1177" s="503">
        <v>0</v>
      </c>
      <c r="G1177" s="492" t="e">
        <f>$F1176-G1176</f>
        <v>#REF!</v>
      </c>
      <c r="H1177" s="492" t="e">
        <f>$F1176-H1176</f>
        <v>#REF!</v>
      </c>
      <c r="I1177" s="492" t="e">
        <f>$F1176-I1176</f>
        <v>#REF!</v>
      </c>
    </row>
    <row r="1178" spans="2:9" x14ac:dyDescent="0.55000000000000004">
      <c r="F1178" s="412"/>
    </row>
    <row r="1179" spans="2:9" x14ac:dyDescent="0.55000000000000004">
      <c r="B1179" t="s">
        <v>2220</v>
      </c>
      <c r="C1179" s="7" t="e">
        <f>$F1179*(C1176/$F1176)</f>
        <v>#REF!</v>
      </c>
      <c r="D1179" s="7" t="e">
        <f>$F1179*(D1176/$F1176)</f>
        <v>#REF!</v>
      </c>
      <c r="E1179" s="7" t="e">
        <f>$F1179*(E1176/$F1176)</f>
        <v>#REF!</v>
      </c>
      <c r="F1179" s="413">
        <f>Master!K62</f>
        <v>3270</v>
      </c>
      <c r="G1179" s="7" t="e">
        <f>$F1179*(G1176/$F1176)</f>
        <v>#REF!</v>
      </c>
      <c r="H1179" s="7" t="e">
        <f>$F1179*(H1176/$F1176)</f>
        <v>#REF!</v>
      </c>
      <c r="I1179" s="7" t="e">
        <f>$F1179*(I1176/$F1176)</f>
        <v>#REF!</v>
      </c>
    </row>
    <row r="1180" spans="2:9" x14ac:dyDescent="0.55000000000000004">
      <c r="B1180" t="s">
        <v>2221</v>
      </c>
      <c r="C1180" s="4" t="e">
        <f t="shared" ref="C1180:I1180" si="38">C1179-$F1179</f>
        <v>#REF!</v>
      </c>
      <c r="D1180" s="4" t="e">
        <f t="shared" si="38"/>
        <v>#REF!</v>
      </c>
      <c r="E1180" s="4" t="e">
        <f t="shared" si="38"/>
        <v>#REF!</v>
      </c>
      <c r="F1180" s="429">
        <f t="shared" si="38"/>
        <v>0</v>
      </c>
      <c r="G1180" s="4" t="e">
        <f t="shared" si="38"/>
        <v>#REF!</v>
      </c>
      <c r="H1180" s="4" t="e">
        <f t="shared" si="38"/>
        <v>#REF!</v>
      </c>
      <c r="I1180" s="4" t="e">
        <f t="shared" si="38"/>
        <v>#REF!</v>
      </c>
    </row>
    <row r="1181" spans="2:9" x14ac:dyDescent="0.55000000000000004">
      <c r="B1181" t="s">
        <v>2222</v>
      </c>
      <c r="C1181" s="4" t="e">
        <f>C1180*0.72</f>
        <v>#REF!</v>
      </c>
      <c r="D1181" s="4" t="e">
        <f>D1180*0.72</f>
        <v>#REF!</v>
      </c>
      <c r="E1181" s="4" t="e">
        <f>E1180*0.72</f>
        <v>#REF!</v>
      </c>
      <c r="F1181" s="429">
        <f>F1180*0.78</f>
        <v>0</v>
      </c>
      <c r="G1181" s="4" t="e">
        <f>G1180*0.72</f>
        <v>#REF!</v>
      </c>
      <c r="H1181" s="4" t="e">
        <f>H1180*0.72</f>
        <v>#REF!</v>
      </c>
      <c r="I1181" s="4" t="e">
        <f>I1180*0.72</f>
        <v>#REF!</v>
      </c>
    </row>
    <row r="1182" spans="2:9" x14ac:dyDescent="0.55000000000000004">
      <c r="B1182" t="s">
        <v>2223</v>
      </c>
      <c r="C1182" s="12" t="e">
        <f>-C1181/Master!$J$12</f>
        <v>#REF!</v>
      </c>
      <c r="D1182" s="12" t="e">
        <f>-D1181/Master!$J$12</f>
        <v>#REF!</v>
      </c>
      <c r="E1182" s="12" t="e">
        <f>-E1181/Master!$J$12</f>
        <v>#REF!</v>
      </c>
      <c r="F1182" s="482">
        <f>-F1181/Master!$J$12</f>
        <v>0</v>
      </c>
      <c r="G1182" s="12" t="e">
        <f>-G1181/Master!$J$12</f>
        <v>#REF!</v>
      </c>
      <c r="H1182" s="12" t="e">
        <f>-H1181/Master!$J$12</f>
        <v>#REF!</v>
      </c>
      <c r="I1182" s="12" t="e">
        <f>-I1181/Master!$J$12</f>
        <v>#REF!</v>
      </c>
    </row>
    <row r="1183" spans="2:9" x14ac:dyDescent="0.55000000000000004">
      <c r="F1183" s="412"/>
    </row>
    <row r="1184" spans="2:9" x14ac:dyDescent="0.55000000000000004">
      <c r="B1184" t="s">
        <v>2230</v>
      </c>
      <c r="C1184" s="7">
        <f>D1184</f>
        <v>1047</v>
      </c>
      <c r="D1184" s="7">
        <f>E1184</f>
        <v>1047</v>
      </c>
      <c r="E1184" s="7">
        <f>F1184</f>
        <v>1047</v>
      </c>
      <c r="F1184" s="413">
        <v>1047</v>
      </c>
      <c r="G1184" s="7">
        <f>F1184</f>
        <v>1047</v>
      </c>
      <c r="H1184" s="7">
        <f>G1184</f>
        <v>1047</v>
      </c>
      <c r="I1184" s="7">
        <f>H1184</f>
        <v>1047</v>
      </c>
    </row>
    <row r="1185" spans="2:13" x14ac:dyDescent="0.55000000000000004">
      <c r="B1185" t="s">
        <v>2224</v>
      </c>
      <c r="C1185" s="4" t="e">
        <f t="shared" ref="C1185:I1185" si="39">C1176*C1184</f>
        <v>#REF!</v>
      </c>
      <c r="D1185" s="4" t="e">
        <f t="shared" si="39"/>
        <v>#REF!</v>
      </c>
      <c r="E1185" s="4" t="e">
        <f t="shared" si="39"/>
        <v>#REF!</v>
      </c>
      <c r="F1185" s="413" t="e">
        <f t="shared" si="39"/>
        <v>#REF!</v>
      </c>
      <c r="G1185" s="4" t="e">
        <f t="shared" si="39"/>
        <v>#REF!</v>
      </c>
      <c r="H1185" s="4" t="e">
        <f t="shared" si="39"/>
        <v>#REF!</v>
      </c>
      <c r="I1185" s="4" t="e">
        <f t="shared" si="39"/>
        <v>#REF!</v>
      </c>
    </row>
    <row r="1186" spans="2:13" x14ac:dyDescent="0.55000000000000004">
      <c r="B1186" t="s">
        <v>523</v>
      </c>
      <c r="C1186" s="4" t="e">
        <f t="shared" ref="C1186:I1186" si="40">C1185-$F$1185</f>
        <v>#REF!</v>
      </c>
      <c r="D1186" s="4" t="e">
        <f t="shared" si="40"/>
        <v>#REF!</v>
      </c>
      <c r="E1186" s="4" t="e">
        <f t="shared" si="40"/>
        <v>#REF!</v>
      </c>
      <c r="F1186" s="413" t="e">
        <f t="shared" si="40"/>
        <v>#REF!</v>
      </c>
      <c r="G1186" s="4" t="e">
        <f t="shared" si="40"/>
        <v>#REF!</v>
      </c>
      <c r="H1186" s="4" t="e">
        <f t="shared" si="40"/>
        <v>#REF!</v>
      </c>
      <c r="I1186" s="4" t="e">
        <f t="shared" si="40"/>
        <v>#REF!</v>
      </c>
    </row>
    <row r="1187" spans="2:13" x14ac:dyDescent="0.55000000000000004">
      <c r="B1187" t="s">
        <v>2222</v>
      </c>
      <c r="C1187" s="4" t="e">
        <f>C1186*0.72</f>
        <v>#REF!</v>
      </c>
      <c r="D1187" s="4" t="e">
        <f>D1186*0.72</f>
        <v>#REF!</v>
      </c>
      <c r="E1187" s="4" t="e">
        <f>E1186*0.72</f>
        <v>#REF!</v>
      </c>
      <c r="F1187" s="413" t="e">
        <f>F1186*0.78</f>
        <v>#REF!</v>
      </c>
      <c r="G1187" s="4" t="e">
        <f>G1186*0.72</f>
        <v>#REF!</v>
      </c>
      <c r="H1187" s="4" t="e">
        <f>H1186*0.72</f>
        <v>#REF!</v>
      </c>
      <c r="I1187" s="4" t="e">
        <f>I1186*0.72</f>
        <v>#REF!</v>
      </c>
    </row>
    <row r="1188" spans="2:13" x14ac:dyDescent="0.55000000000000004">
      <c r="B1188" t="s">
        <v>2223</v>
      </c>
      <c r="C1188" s="12" t="e">
        <f>-C1187/Master!$K$12</f>
        <v>#REF!</v>
      </c>
      <c r="D1188" s="12" t="e">
        <f>-D1187/Master!$K$12</f>
        <v>#REF!</v>
      </c>
      <c r="E1188" s="12" t="e">
        <f>-E1187/Master!$K$12</f>
        <v>#REF!</v>
      </c>
      <c r="F1188" s="482" t="e">
        <f>-F1187/Master!$K$12</f>
        <v>#REF!</v>
      </c>
      <c r="G1188" s="12" t="e">
        <f>-G1187/Master!$K$12</f>
        <v>#REF!</v>
      </c>
      <c r="H1188" s="12" t="e">
        <f>-H1187/Master!$K$12</f>
        <v>#REF!</v>
      </c>
      <c r="I1188" s="12" t="e">
        <f>-I1187/Master!$K$12</f>
        <v>#REF!</v>
      </c>
    </row>
    <row r="1189" spans="2:13" ht="14.7" thickBot="1" x14ac:dyDescent="0.6">
      <c r="F1189" s="412"/>
    </row>
    <row r="1190" spans="2:13" x14ac:dyDescent="0.55000000000000004">
      <c r="B1190" s="493" t="s">
        <v>2225</v>
      </c>
      <c r="C1190" s="494" t="e">
        <f t="shared" ref="C1190:I1191" si="41">-C1180+C1186</f>
        <v>#REF!</v>
      </c>
      <c r="D1190" s="494" t="e">
        <f t="shared" si="41"/>
        <v>#REF!</v>
      </c>
      <c r="E1190" s="494" t="e">
        <f t="shared" si="41"/>
        <v>#REF!</v>
      </c>
      <c r="F1190" s="494" t="e">
        <f t="shared" si="41"/>
        <v>#REF!</v>
      </c>
      <c r="G1190" s="494" t="e">
        <f t="shared" si="41"/>
        <v>#REF!</v>
      </c>
      <c r="H1190" s="494" t="e">
        <f t="shared" si="41"/>
        <v>#REF!</v>
      </c>
      <c r="I1190" s="495" t="e">
        <f t="shared" si="41"/>
        <v>#REF!</v>
      </c>
    </row>
    <row r="1191" spans="2:13" x14ac:dyDescent="0.55000000000000004">
      <c r="B1191" s="496" t="s">
        <v>2226</v>
      </c>
      <c r="C1191" s="501" t="e">
        <f t="shared" si="41"/>
        <v>#REF!</v>
      </c>
      <c r="D1191" s="501" t="e">
        <f t="shared" si="41"/>
        <v>#REF!</v>
      </c>
      <c r="E1191" s="501" t="e">
        <f t="shared" si="41"/>
        <v>#REF!</v>
      </c>
      <c r="F1191" s="501" t="e">
        <f t="shared" si="41"/>
        <v>#REF!</v>
      </c>
      <c r="G1191" s="501" t="e">
        <f t="shared" si="41"/>
        <v>#REF!</v>
      </c>
      <c r="H1191" s="501" t="e">
        <f t="shared" si="41"/>
        <v>#REF!</v>
      </c>
      <c r="I1191" s="497" t="e">
        <f t="shared" si="41"/>
        <v>#REF!</v>
      </c>
    </row>
    <row r="1192" spans="2:13" ht="14.7" thickBot="1" x14ac:dyDescent="0.6">
      <c r="B1192" s="498" t="s">
        <v>2223</v>
      </c>
      <c r="C1192" s="499" t="e">
        <f>C1191/Master!$K$12</f>
        <v>#REF!</v>
      </c>
      <c r="D1192" s="499" t="e">
        <f>D1191/Master!$K$12</f>
        <v>#REF!</v>
      </c>
      <c r="E1192" s="499" t="e">
        <f>E1191/Master!$K$12</f>
        <v>#REF!</v>
      </c>
      <c r="F1192" s="499" t="e">
        <f>F1191/Master!$K$12</f>
        <v>#REF!</v>
      </c>
      <c r="G1192" s="499" t="e">
        <f>G1191/Master!$K$12</f>
        <v>#REF!</v>
      </c>
      <c r="H1192" s="499" t="e">
        <f>H1191/Master!$K$12</f>
        <v>#REF!</v>
      </c>
      <c r="I1192" s="500" t="e">
        <f>I1191/Master!$K$12</f>
        <v>#REF!</v>
      </c>
    </row>
    <row r="1196" spans="2:13" x14ac:dyDescent="0.55000000000000004">
      <c r="C1196" s="8" t="str">
        <f>Quarts!O4</f>
        <v>1Q 20</v>
      </c>
      <c r="D1196" s="8" t="str">
        <f>Quarts!P4</f>
        <v>2Q 20</v>
      </c>
      <c r="E1196" s="8" t="str">
        <f>Quarts!Q4</f>
        <v>3Q 20</v>
      </c>
      <c r="F1196" s="8" t="str">
        <f>Quarts!R4</f>
        <v>4Q 20</v>
      </c>
      <c r="G1196" s="8" t="str">
        <f>Quarts!S4</f>
        <v>1Q 21</v>
      </c>
      <c r="H1196" s="8" t="str">
        <f>Quarts!T4</f>
        <v>2Q 21</v>
      </c>
      <c r="I1196" s="8" t="str">
        <f>Quarts!U4</f>
        <v>3Q 21</v>
      </c>
      <c r="J1196" s="8" t="str">
        <f>Quarts!V4</f>
        <v>4Q 21</v>
      </c>
      <c r="K1196" s="8" t="str">
        <f>Quarts!W4</f>
        <v>1Q 22</v>
      </c>
      <c r="L1196" s="8" t="str">
        <f>Quarts!X4</f>
        <v>2Q 22</v>
      </c>
      <c r="M1196" s="8" t="str">
        <f>Quarts!Y4</f>
        <v>3Q 22</v>
      </c>
    </row>
    <row r="1197" spans="2:13" x14ac:dyDescent="0.55000000000000004">
      <c r="C1197" s="2">
        <f>Quarts!O341</f>
        <v>-5.7944171607821136E-2</v>
      </c>
      <c r="D1197" s="2">
        <f>Quarts!P341</f>
        <v>-0.80416790247763315</v>
      </c>
      <c r="E1197" s="2">
        <f>Quarts!Q341</f>
        <v>-0.49628872462969642</v>
      </c>
      <c r="F1197" s="2">
        <f>Quarts!R341</f>
        <v>-6.9840781778100214E-2</v>
      </c>
      <c r="G1197" s="2">
        <f>Quarts!S341</f>
        <v>-0.94064918700548272</v>
      </c>
      <c r="H1197" s="2">
        <f>Quarts!T341</f>
        <v>-0.43133315157195867</v>
      </c>
      <c r="I1197" s="2">
        <f>Quarts!U341</f>
        <v>-0.14032344219248294</v>
      </c>
      <c r="J1197" s="2">
        <f>Quarts!V341</f>
        <v>-0.22779654195222457</v>
      </c>
      <c r="K1197" s="2">
        <f>Quarts!W341</f>
        <v>-0.22965478997551786</v>
      </c>
      <c r="L1197" s="2">
        <f>Quarts!X341</f>
        <v>-0.19344858392060327</v>
      </c>
      <c r="M1197" s="2">
        <f>Quarts!Y341</f>
        <v>-0.16574030592814543</v>
      </c>
    </row>
    <row r="1217" spans="2:15" x14ac:dyDescent="0.55000000000000004">
      <c r="C1217" s="8" t="str">
        <f>Quarts!W4</f>
        <v>1Q 22</v>
      </c>
      <c r="D1217" s="8" t="str">
        <f>Quarts!X4</f>
        <v>2Q 22</v>
      </c>
      <c r="E1217" s="8" t="str">
        <f>Quarts!Y4</f>
        <v>3Q 22</v>
      </c>
      <c r="F1217" s="8" t="e">
        <f>Quarts!#REF!</f>
        <v>#REF!</v>
      </c>
      <c r="G1217" s="8" t="e">
        <f>Quarts!#REF!</f>
        <v>#REF!</v>
      </c>
      <c r="H1217" s="8" t="e">
        <f>Quarts!#REF!</f>
        <v>#REF!</v>
      </c>
      <c r="I1217" s="8" t="e">
        <f>Quarts!#REF!</f>
        <v>#REF!</v>
      </c>
      <c r="J1217" s="8" t="e">
        <f>Quarts!#REF!</f>
        <v>#REF!</v>
      </c>
      <c r="K1217" s="8" t="str">
        <f>Quarts!AE4</f>
        <v>1Q 24E</v>
      </c>
      <c r="L1217" s="8" t="str">
        <f>Quarts!AF4</f>
        <v>2Q 24E</v>
      </c>
      <c r="M1217" s="8" t="str">
        <f>Quarts!AG4</f>
        <v>3Q 24E</v>
      </c>
      <c r="N1217" s="8" t="str">
        <f>Quarts!AH4</f>
        <v>4Q 24E</v>
      </c>
    </row>
    <row r="1218" spans="2:15" x14ac:dyDescent="0.55000000000000004">
      <c r="B1218" t="s">
        <v>2473</v>
      </c>
      <c r="C1218" s="12">
        <f>Quarts!W93</f>
        <v>0.10299999999999999</v>
      </c>
      <c r="D1218" s="12">
        <f>Quarts!X93</f>
        <v>0.124</v>
      </c>
      <c r="E1218" s="12">
        <f>Quarts!Y93</f>
        <v>0.135833333333333</v>
      </c>
      <c r="F1218" s="12" t="e">
        <f>Quarts!#REF!</f>
        <v>#REF!</v>
      </c>
      <c r="G1218" s="12">
        <v>0.13750000000000001</v>
      </c>
      <c r="H1218" s="12" t="e">
        <f>H1220-0.5%</f>
        <v>#REF!</v>
      </c>
      <c r="I1218" s="12" t="e">
        <f>I1220-1.25%</f>
        <v>#REF!</v>
      </c>
      <c r="J1218" s="12" t="e">
        <f>J1220-1.25%</f>
        <v>#REF!</v>
      </c>
      <c r="K1218" s="12">
        <v>0.105</v>
      </c>
      <c r="L1218" s="12">
        <v>9.5000000000000001E-2</v>
      </c>
      <c r="M1218" s="12">
        <v>8.7499999999999994E-2</v>
      </c>
      <c r="N1218" s="12">
        <v>0.08</v>
      </c>
    </row>
    <row r="1219" spans="2:15" x14ac:dyDescent="0.55000000000000004">
      <c r="G1219" s="12">
        <v>0</v>
      </c>
      <c r="H1219" s="12">
        <v>5.0000000000000001E-3</v>
      </c>
      <c r="I1219" s="12">
        <v>1.2500000000000001E-2</v>
      </c>
      <c r="J1219" s="12">
        <v>1.2500000000000001E-2</v>
      </c>
      <c r="K1219" s="12">
        <f>K1220-K1218</f>
        <v>7.4999999999999928E-3</v>
      </c>
      <c r="L1219" s="12">
        <f>L1220-L1218</f>
        <v>9.999999999999995E-3</v>
      </c>
      <c r="M1219" s="12">
        <f>M1220-M1218</f>
        <v>1.125000000000001E-2</v>
      </c>
      <c r="N1219" s="12">
        <f>N1220-N1218</f>
        <v>1.2499999999999997E-2</v>
      </c>
    </row>
    <row r="1220" spans="2:15" x14ac:dyDescent="0.55000000000000004">
      <c r="B1220" t="s">
        <v>2474</v>
      </c>
      <c r="G1220" s="12" t="e">
        <f>Quarts!#REF!</f>
        <v>#REF!</v>
      </c>
      <c r="H1220" s="12" t="e">
        <f>Quarts!#REF!</f>
        <v>#REF!</v>
      </c>
      <c r="I1220" s="12" t="e">
        <f>Quarts!#REF!</f>
        <v>#REF!</v>
      </c>
      <c r="J1220" s="12" t="e">
        <f>Quarts!#REF!</f>
        <v>#REF!</v>
      </c>
      <c r="K1220" s="12">
        <f>Quarts!AE93</f>
        <v>0.11249999999999999</v>
      </c>
      <c r="L1220" s="12">
        <f>Quarts!AF93</f>
        <v>0.105</v>
      </c>
      <c r="M1220" s="12">
        <f>Quarts!AG93</f>
        <v>9.8750000000000004E-2</v>
      </c>
      <c r="N1220" s="12">
        <f>Quarts!AH93</f>
        <v>9.2499999999999999E-2</v>
      </c>
    </row>
    <row r="1222" spans="2:15" x14ac:dyDescent="0.55000000000000004">
      <c r="B1222" s="18" t="s">
        <v>4</v>
      </c>
    </row>
    <row r="1223" spans="2:15" x14ac:dyDescent="0.55000000000000004">
      <c r="B1223" s="20"/>
      <c r="C1223" s="20">
        <v>2022</v>
      </c>
      <c r="D1223" s="20">
        <f t="shared" ref="D1223:K1223" si="42">C1223+1</f>
        <v>2023</v>
      </c>
      <c r="E1223" s="20">
        <f t="shared" si="42"/>
        <v>2024</v>
      </c>
      <c r="F1223" s="20">
        <f t="shared" si="42"/>
        <v>2025</v>
      </c>
      <c r="G1223" s="20">
        <f t="shared" si="42"/>
        <v>2026</v>
      </c>
      <c r="H1223" s="20">
        <f t="shared" si="42"/>
        <v>2027</v>
      </c>
      <c r="I1223" s="20">
        <f t="shared" si="42"/>
        <v>2028</v>
      </c>
      <c r="J1223" s="20">
        <f t="shared" si="42"/>
        <v>2029</v>
      </c>
      <c r="K1223" s="20">
        <f t="shared" si="42"/>
        <v>2030</v>
      </c>
      <c r="M1223" s="19" t="s">
        <v>2482</v>
      </c>
      <c r="N1223" s="19" t="s">
        <v>2479</v>
      </c>
      <c r="O1223" s="19" t="s">
        <v>2481</v>
      </c>
    </row>
    <row r="1224" spans="2:15" x14ac:dyDescent="0.55000000000000004">
      <c r="B1224" t="s">
        <v>294</v>
      </c>
      <c r="C1224" s="4">
        <f>Master!J12</f>
        <v>15334.8</v>
      </c>
      <c r="D1224" s="4">
        <f>Master!K12</f>
        <v>15949</v>
      </c>
      <c r="E1224" s="4">
        <f>Master!L12</f>
        <v>17433.882583367609</v>
      </c>
      <c r="F1224" s="4">
        <f>Master!M12</f>
        <v>19159.259496036688</v>
      </c>
      <c r="G1224" s="4">
        <f>Master!N12</f>
        <v>20618.750366735352</v>
      </c>
      <c r="H1224" s="4">
        <f>Master!O12</f>
        <v>22003.062052455065</v>
      </c>
      <c r="I1224" s="4">
        <f>Master!P12</f>
        <v>23869.427370232261</v>
      </c>
      <c r="J1224" s="4">
        <f>Master!Q12</f>
        <v>25686.689080588058</v>
      </c>
      <c r="K1224" s="4">
        <f>Master!R12</f>
        <v>27210.265657006024</v>
      </c>
      <c r="M1224" s="12">
        <f>(K1224/D1224)^(1/7)-1</f>
        <v>7.9301450067507995E-2</v>
      </c>
      <c r="N1224" s="12">
        <f>(K1224/C1224)^(1/8)-1</f>
        <v>7.4315479030974796E-2</v>
      </c>
      <c r="O1224" s="12">
        <f>(K1224/F1224)^(1/7)-1</f>
        <v>5.1392479028321114E-2</v>
      </c>
    </row>
    <row r="1225" spans="2:15" x14ac:dyDescent="0.55000000000000004">
      <c r="B1225" t="s">
        <v>2477</v>
      </c>
      <c r="C1225" s="4">
        <f>Master!J26</f>
        <v>9949.7999999999993</v>
      </c>
      <c r="D1225" s="4">
        <f>Master!K26</f>
        <v>10175</v>
      </c>
      <c r="E1225" s="4">
        <f>Master!L26</f>
        <v>10835.624552523543</v>
      </c>
      <c r="F1225" s="4">
        <f>Master!M26</f>
        <v>11751.109282259747</v>
      </c>
      <c r="G1225" s="4">
        <f>Master!N26</f>
        <v>12470.115122716978</v>
      </c>
      <c r="H1225" s="4">
        <f>Master!O26</f>
        <v>13146.400624057291</v>
      </c>
      <c r="I1225" s="4">
        <f>Master!P26</f>
        <v>14289.941294498725</v>
      </c>
      <c r="J1225" s="4">
        <f>Master!Q26</f>
        <v>15237.708776890551</v>
      </c>
      <c r="K1225" s="4">
        <f>Master!R26</f>
        <v>16006.097033993681</v>
      </c>
      <c r="M1225" s="12">
        <f>(K1225/D1225)^(1/7)-1</f>
        <v>6.6859649453122394E-2</v>
      </c>
      <c r="N1225" s="12">
        <f>(K1225/C1225)^(1/8)-1</f>
        <v>6.1228456135873577E-2</v>
      </c>
      <c r="O1225" s="12">
        <f>(K1225/F1225)^(1/7)-1</f>
        <v>4.5134944072191319E-2</v>
      </c>
    </row>
    <row r="1226" spans="2:15" x14ac:dyDescent="0.55000000000000004">
      <c r="B1226" t="s">
        <v>2478</v>
      </c>
      <c r="C1226" s="4">
        <f>Master!J62</f>
        <v>3151.6</v>
      </c>
      <c r="D1226" s="4">
        <f>Master!K62</f>
        <v>3270</v>
      </c>
      <c r="E1226" s="4">
        <f>Master!L62</f>
        <v>2814.6109517699424</v>
      </c>
      <c r="F1226" s="4">
        <f>Master!M62</f>
        <v>2682.7958329098233</v>
      </c>
      <c r="G1226" s="4">
        <f>Master!N62</f>
        <v>2870.2753146387149</v>
      </c>
      <c r="H1226" s="4">
        <f>Master!O62</f>
        <v>3212.0431244216479</v>
      </c>
      <c r="I1226" s="4">
        <f>Master!P62</f>
        <v>3431.4162060325457</v>
      </c>
      <c r="J1226" s="4">
        <f>Master!Q62</f>
        <v>3637.4383285581789</v>
      </c>
      <c r="K1226" s="4">
        <f>Master!R62</f>
        <v>3797.6371844614882</v>
      </c>
      <c r="M1226" s="12">
        <f>(K1226/D1226)^(1/7)-1</f>
        <v>2.1599841610166814E-2</v>
      </c>
      <c r="N1226" s="12">
        <f>(K1226/C1226)^(1/8)-1</f>
        <v>2.3582370811642495E-2</v>
      </c>
      <c r="O1226" s="12">
        <f>(K1226/F1226)^(1/7)-1</f>
        <v>5.0898653132778415E-2</v>
      </c>
    </row>
    <row r="1227" spans="2:15" x14ac:dyDescent="0.55000000000000004">
      <c r="B1227" t="s">
        <v>2475</v>
      </c>
      <c r="C1227" s="4">
        <f t="shared" ref="C1227:K1227" si="43">C1225-C1226</f>
        <v>6798.1999999999989</v>
      </c>
      <c r="D1227" s="4">
        <f t="shared" si="43"/>
        <v>6905</v>
      </c>
      <c r="E1227" s="4">
        <f t="shared" si="43"/>
        <v>8021.0136007536003</v>
      </c>
      <c r="F1227" s="4">
        <f t="shared" si="43"/>
        <v>9068.3134493499238</v>
      </c>
      <c r="G1227" s="4">
        <f t="shared" si="43"/>
        <v>9599.8398080782626</v>
      </c>
      <c r="H1227" s="4">
        <f t="shared" si="43"/>
        <v>9934.3574996356438</v>
      </c>
      <c r="I1227" s="4">
        <f t="shared" si="43"/>
        <v>10858.52508846618</v>
      </c>
      <c r="J1227" s="4">
        <f t="shared" si="43"/>
        <v>11600.270448332372</v>
      </c>
      <c r="K1227" s="4">
        <f t="shared" si="43"/>
        <v>12208.459849532193</v>
      </c>
      <c r="M1227" s="12">
        <f>(K1227/D1227)^(1/7)-1</f>
        <v>8.4817649440960929E-2</v>
      </c>
      <c r="N1227" s="12">
        <f>(K1227/C1227)^(1/8)-1</f>
        <v>7.5928391427721564E-2</v>
      </c>
      <c r="O1227" s="12">
        <f>(K1227/F1227)^(1/7)-1</f>
        <v>4.339263092258494E-2</v>
      </c>
    </row>
    <row r="1228" spans="2:15" x14ac:dyDescent="0.55000000000000004">
      <c r="B1228" t="s">
        <v>2480</v>
      </c>
      <c r="C1228" s="4">
        <f t="shared" ref="C1228:K1228" si="44">C1227-C1230</f>
        <v>5200.2999999999993</v>
      </c>
      <c r="D1228" s="4">
        <f t="shared" si="44"/>
        <v>5164.380000000001</v>
      </c>
      <c r="E1228" s="4">
        <f t="shared" si="44"/>
        <v>5853.6067170706956</v>
      </c>
      <c r="F1228" s="4">
        <f t="shared" si="44"/>
        <v>6350.5264072681275</v>
      </c>
      <c r="G1228" s="4">
        <f t="shared" si="44"/>
        <v>6735.2079224854242</v>
      </c>
      <c r="H1228" s="4">
        <f t="shared" si="44"/>
        <v>6923.7631760938975</v>
      </c>
      <c r="I1228" s="4">
        <f t="shared" si="44"/>
        <v>7527.3013162731659</v>
      </c>
      <c r="J1228" s="4">
        <f t="shared" si="44"/>
        <v>8138.5541280261768</v>
      </c>
      <c r="K1228" s="4">
        <f t="shared" si="44"/>
        <v>8640.5488880401226</v>
      </c>
      <c r="M1228" s="12">
        <f>(K1228/D1228)^(1/7)-1</f>
        <v>7.6296374388911792E-2</v>
      </c>
      <c r="N1228" s="12">
        <f>(K1228/C1228)^(1/8)-1</f>
        <v>6.5526160054028892E-2</v>
      </c>
      <c r="O1228" s="12">
        <f>(K1228/F1228)^(1/7)-1</f>
        <v>4.4971666453855308E-2</v>
      </c>
    </row>
    <row r="1229" spans="2:15" x14ac:dyDescent="0.55000000000000004">
      <c r="N1229" s="12"/>
      <c r="O1229" s="12"/>
    </row>
    <row r="1230" spans="2:15" x14ac:dyDescent="0.55000000000000004">
      <c r="B1230" t="s">
        <v>323</v>
      </c>
      <c r="C1230" s="4">
        <f>Master!J103</f>
        <v>1597.8999999999994</v>
      </c>
      <c r="D1230" s="4">
        <f>Master!K103</f>
        <v>1740.6199999999994</v>
      </c>
      <c r="E1230" s="4">
        <f>Master!L103</f>
        <v>2167.4068836829047</v>
      </c>
      <c r="F1230" s="4">
        <f>Master!M103</f>
        <v>2717.7870420817958</v>
      </c>
      <c r="G1230" s="4">
        <f>Master!N103</f>
        <v>2864.6318855928389</v>
      </c>
      <c r="H1230" s="4">
        <f>Master!O103</f>
        <v>3010.5943235417462</v>
      </c>
      <c r="I1230" s="4">
        <f>Master!P103</f>
        <v>3331.2237721930137</v>
      </c>
      <c r="J1230" s="4">
        <f>Master!Q103</f>
        <v>3461.7163203061959</v>
      </c>
      <c r="K1230" s="4">
        <f>Master!R103</f>
        <v>3567.9109614920708</v>
      </c>
      <c r="M1230" s="12">
        <f>(K1230/D1230)^(1/7)-1</f>
        <v>0.10797511298403739</v>
      </c>
      <c r="N1230" s="12">
        <f>(K1230/C1230)^(1/8)-1</f>
        <v>0.10562551204948423</v>
      </c>
      <c r="O1230" s="12">
        <f>(K1230/F1230)^(1/7)-1</f>
        <v>3.964605997483539E-2</v>
      </c>
    </row>
    <row r="1231" spans="2:15" x14ac:dyDescent="0.55000000000000004">
      <c r="B1231" t="s">
        <v>2476</v>
      </c>
      <c r="C1231" s="12">
        <f t="shared" ref="C1231:K1231" si="45">C1230/C1225</f>
        <v>0.16059619288829921</v>
      </c>
      <c r="D1231" s="12">
        <f t="shared" si="45"/>
        <v>0.17106830466830461</v>
      </c>
      <c r="E1231" s="12">
        <f t="shared" si="45"/>
        <v>0.20002602278962595</v>
      </c>
      <c r="F1231" s="12">
        <f t="shared" si="45"/>
        <v>0.23127919048329734</v>
      </c>
      <c r="G1231" s="12">
        <f t="shared" si="45"/>
        <v>0.22971976260061147</v>
      </c>
      <c r="H1231" s="12">
        <f t="shared" si="45"/>
        <v>0.22900521668512833</v>
      </c>
      <c r="I1231" s="12">
        <f t="shared" si="45"/>
        <v>0.23311668701364452</v>
      </c>
      <c r="J1231" s="12">
        <f t="shared" si="45"/>
        <v>0.22718089517212858</v>
      </c>
      <c r="K1231" s="12">
        <f t="shared" si="45"/>
        <v>0.22290949217129927</v>
      </c>
      <c r="N1231" s="12"/>
      <c r="O1231" s="12"/>
    </row>
    <row r="1232" spans="2:15" x14ac:dyDescent="0.55000000000000004">
      <c r="N1232" s="12"/>
      <c r="O1232" s="12"/>
    </row>
    <row r="1233" spans="2:20" x14ac:dyDescent="0.55000000000000004">
      <c r="B1233" s="18" t="s">
        <v>3</v>
      </c>
      <c r="N1233" s="12"/>
      <c r="O1233" s="12"/>
    </row>
    <row r="1234" spans="2:20" x14ac:dyDescent="0.55000000000000004">
      <c r="B1234" s="20"/>
      <c r="C1234" s="20">
        <v>2022</v>
      </c>
      <c r="D1234" s="20">
        <f t="shared" ref="D1234:K1234" si="46">C1234+1</f>
        <v>2023</v>
      </c>
      <c r="E1234" s="20">
        <f t="shared" si="46"/>
        <v>2024</v>
      </c>
      <c r="F1234" s="20">
        <f t="shared" si="46"/>
        <v>2025</v>
      </c>
      <c r="G1234" s="20">
        <f t="shared" si="46"/>
        <v>2026</v>
      </c>
      <c r="H1234" s="20">
        <f t="shared" si="46"/>
        <v>2027</v>
      </c>
      <c r="I1234" s="20">
        <f t="shared" si="46"/>
        <v>2028</v>
      </c>
      <c r="J1234" s="20">
        <f t="shared" si="46"/>
        <v>2029</v>
      </c>
      <c r="K1234" s="20">
        <f t="shared" si="46"/>
        <v>2030</v>
      </c>
      <c r="N1234" s="12"/>
      <c r="O1234" s="12"/>
    </row>
    <row r="1235" spans="2:20" x14ac:dyDescent="0.55000000000000004">
      <c r="B1235" t="s">
        <v>2477</v>
      </c>
      <c r="C1235" s="44">
        <v>9514.8997763062762</v>
      </c>
      <c r="D1235" s="44">
        <v>11153.598653704617</v>
      </c>
      <c r="E1235" s="44">
        <v>12327.503491418453</v>
      </c>
      <c r="F1235" s="44">
        <v>13581.364548268317</v>
      </c>
      <c r="G1235" s="44">
        <v>14978.038722166386</v>
      </c>
      <c r="H1235" s="44">
        <v>16126.008840527089</v>
      </c>
      <c r="I1235" s="44">
        <v>17309.424949219167</v>
      </c>
      <c r="J1235" s="44">
        <v>18524.127657328754</v>
      </c>
      <c r="K1235" s="44">
        <v>19764.360499874685</v>
      </c>
      <c r="M1235" s="12">
        <f>(K1235/D1235)^(1/7)-1</f>
        <v>8.5164039142451742E-2</v>
      </c>
      <c r="N1235" s="12">
        <f>(K1235/C1235)^(1/8)-1</f>
        <v>9.5682735485632442E-2</v>
      </c>
      <c r="O1235" s="12">
        <f>(K1235/F1235)^(1/7)-1</f>
        <v>5.5059740805258661E-2</v>
      </c>
    </row>
    <row r="1236" spans="2:20" x14ac:dyDescent="0.55000000000000004">
      <c r="B1236" t="s">
        <v>2478</v>
      </c>
      <c r="C1236" s="44">
        <v>3539.8955369825148</v>
      </c>
      <c r="D1236" s="44">
        <v>3939.9465260218526</v>
      </c>
      <c r="E1236" s="44">
        <v>3631.4092139825111</v>
      </c>
      <c r="F1236" s="44">
        <v>3310.2154388215258</v>
      </c>
      <c r="G1236" s="44">
        <v>3755.5562172718433</v>
      </c>
      <c r="H1236" s="44">
        <v>4119.5221607092499</v>
      </c>
      <c r="I1236" s="44">
        <v>4209.2388049454294</v>
      </c>
      <c r="J1236" s="44">
        <v>4662.7348661084725</v>
      </c>
      <c r="K1236" s="44">
        <v>5171.0291107002904</v>
      </c>
      <c r="M1236" s="12">
        <f>(K1236/D1236)^(1/7)-1</f>
        <v>3.960778297482026E-2</v>
      </c>
      <c r="N1236" s="12">
        <f>(K1236/C1236)^(1/8)-1</f>
        <v>4.8511787138603157E-2</v>
      </c>
      <c r="O1236" s="12">
        <f>(K1236/F1236)^(1/7)-1</f>
        <v>6.5796743576975514E-2</v>
      </c>
    </row>
    <row r="1237" spans="2:20" x14ac:dyDescent="0.55000000000000004">
      <c r="B1237" t="s">
        <v>2475</v>
      </c>
      <c r="C1237" s="4">
        <f t="shared" ref="C1237:K1237" si="47">C1235-C1236</f>
        <v>5975.0042393237618</v>
      </c>
      <c r="D1237" s="4">
        <f t="shared" si="47"/>
        <v>7213.6521276827643</v>
      </c>
      <c r="E1237" s="4">
        <f t="shared" si="47"/>
        <v>8696.094277435941</v>
      </c>
      <c r="F1237" s="4">
        <f t="shared" si="47"/>
        <v>10271.149109446791</v>
      </c>
      <c r="G1237" s="4">
        <f t="shared" si="47"/>
        <v>11222.482504894542</v>
      </c>
      <c r="H1237" s="4">
        <f t="shared" si="47"/>
        <v>12006.486679817839</v>
      </c>
      <c r="I1237" s="4">
        <f t="shared" si="47"/>
        <v>13100.186144273737</v>
      </c>
      <c r="J1237" s="4">
        <f t="shared" si="47"/>
        <v>13861.392791220282</v>
      </c>
      <c r="K1237" s="4">
        <f t="shared" si="47"/>
        <v>14593.331389174395</v>
      </c>
      <c r="M1237" s="12">
        <f>(K1237/D1237)^(1/7)-1</f>
        <v>0.10589572318114615</v>
      </c>
      <c r="N1237" s="12">
        <f>(K1237/C1237)^(1/8)-1</f>
        <v>0.11809068256311384</v>
      </c>
      <c r="O1237" s="12">
        <f>(K1237/F1237)^(1/7)-1</f>
        <v>5.1455199465848533E-2</v>
      </c>
    </row>
    <row r="1238" spans="2:20" x14ac:dyDescent="0.55000000000000004">
      <c r="B1238" t="s">
        <v>2480</v>
      </c>
      <c r="C1238" s="4">
        <f t="shared" ref="C1238:J1238" si="48">C1237-C1240</f>
        <v>5457.5909784478918</v>
      </c>
      <c r="D1238" s="4">
        <f t="shared" si="48"/>
        <v>6137.2789037914936</v>
      </c>
      <c r="E1238" s="4">
        <f t="shared" si="48"/>
        <v>6943.4958198712975</v>
      </c>
      <c r="F1238" s="4">
        <f t="shared" si="48"/>
        <v>7800.3531243283887</v>
      </c>
      <c r="G1238" s="4">
        <f t="shared" si="48"/>
        <v>8501.4200265669788</v>
      </c>
      <c r="H1238" s="4">
        <f t="shared" si="48"/>
        <v>9077.051767989371</v>
      </c>
      <c r="I1238" s="4">
        <f t="shared" si="48"/>
        <v>9746.5543805540383</v>
      </c>
      <c r="J1238" s="4">
        <f t="shared" si="48"/>
        <v>10335.058719085206</v>
      </c>
      <c r="K1238" s="4">
        <f>K1237-K1240</f>
        <v>10922.432007832787</v>
      </c>
      <c r="M1238" s="12">
        <f>(K1238/D1238)^(1/7)-1</f>
        <v>8.5833798499684644E-2</v>
      </c>
      <c r="N1238" s="12">
        <f>(K1238/C1238)^(1/8)-1</f>
        <v>9.0598248106053214E-2</v>
      </c>
      <c r="O1238" s="12">
        <f>(K1238/F1238)^(1/7)-1</f>
        <v>4.9268030649602279E-2</v>
      </c>
    </row>
    <row r="1239" spans="2:20" x14ac:dyDescent="0.55000000000000004">
      <c r="N1239" s="12"/>
      <c r="O1239" s="12"/>
    </row>
    <row r="1240" spans="2:20" x14ac:dyDescent="0.55000000000000004">
      <c r="B1240" t="s">
        <v>323</v>
      </c>
      <c r="C1240" s="44">
        <v>517.41326087587004</v>
      </c>
      <c r="D1240" s="44">
        <v>1076.3732238912712</v>
      </c>
      <c r="E1240" s="44">
        <v>1752.5984575646432</v>
      </c>
      <c r="F1240" s="44">
        <v>2470.7959851184019</v>
      </c>
      <c r="G1240" s="44">
        <v>2721.0624783275643</v>
      </c>
      <c r="H1240" s="44">
        <v>2929.4349118284676</v>
      </c>
      <c r="I1240" s="44">
        <v>3353.6317637196994</v>
      </c>
      <c r="J1240" s="44">
        <v>3526.3340721350769</v>
      </c>
      <c r="K1240" s="44">
        <v>3670.8993813416078</v>
      </c>
      <c r="M1240" s="12">
        <f>(K1240/D1240)^(1/7)-1</f>
        <v>0.19155928851220017</v>
      </c>
      <c r="N1240" s="12">
        <f>(K1240/C1240)^(1/8)-1</f>
        <v>0.27751752263571627</v>
      </c>
      <c r="O1240" s="12">
        <f>(K1240/F1240)^(1/7)-1</f>
        <v>5.8186526895555035E-2</v>
      </c>
    </row>
    <row r="1241" spans="2:20" x14ac:dyDescent="0.55000000000000004">
      <c r="B1241" t="s">
        <v>2476</v>
      </c>
      <c r="C1241" s="12">
        <f t="shared" ref="C1241:K1241" si="49">C1240/C1235</f>
        <v>5.4379265472067013E-2</v>
      </c>
      <c r="D1241" s="12">
        <f t="shared" si="49"/>
        <v>9.6504568373881619E-2</v>
      </c>
      <c r="E1241" s="12">
        <f t="shared" si="49"/>
        <v>0.14216977985726631</v>
      </c>
      <c r="F1241" s="12">
        <f t="shared" si="49"/>
        <v>0.18192545942914395</v>
      </c>
      <c r="G1241" s="12">
        <f t="shared" si="49"/>
        <v>0.18167014579155774</v>
      </c>
      <c r="H1241" s="12">
        <f t="shared" si="49"/>
        <v>0.18165901685892399</v>
      </c>
      <c r="I1241" s="12">
        <f t="shared" si="49"/>
        <v>0.19374599523428898</v>
      </c>
      <c r="J1241" s="12">
        <f t="shared" si="49"/>
        <v>0.19036437976284099</v>
      </c>
      <c r="K1241" s="12">
        <f t="shared" si="49"/>
        <v>0.18573327385750138</v>
      </c>
    </row>
    <row r="1243" spans="2:20" x14ac:dyDescent="0.55000000000000004">
      <c r="C1243" s="311" t="s">
        <v>1718</v>
      </c>
      <c r="D1243" s="311" t="str">
        <f>Quarts!W4</f>
        <v>1Q 22</v>
      </c>
      <c r="E1243" s="311" t="str">
        <f>Quarts!X4</f>
        <v>2Q 22</v>
      </c>
      <c r="F1243" s="311" t="str">
        <f>Quarts!Y4</f>
        <v>3Q 22</v>
      </c>
      <c r="G1243" s="311" t="s">
        <v>2510</v>
      </c>
      <c r="H1243" s="311" t="e">
        <f>Quarts!#REF!</f>
        <v>#REF!</v>
      </c>
      <c r="I1243" s="311" t="e">
        <f>Quarts!#REF!</f>
        <v>#REF!</v>
      </c>
      <c r="J1243" s="311" t="e">
        <f>Quarts!#REF!</f>
        <v>#REF!</v>
      </c>
      <c r="K1243" s="311" t="e">
        <f>Quarts!#REF!</f>
        <v>#REF!</v>
      </c>
      <c r="M1243" s="311" t="str">
        <f>Quarts!AE4</f>
        <v>1Q 24E</v>
      </c>
      <c r="N1243" s="311" t="str">
        <f>Quarts!AF4</f>
        <v>2Q 24E</v>
      </c>
      <c r="O1243" s="311" t="str">
        <f>Quarts!AG4</f>
        <v>3Q 24E</v>
      </c>
      <c r="P1243" s="311" t="str">
        <f>Quarts!AH4</f>
        <v>4Q 24E</v>
      </c>
    </row>
    <row r="1244" spans="2:20" x14ac:dyDescent="0.55000000000000004">
      <c r="B1244" t="s">
        <v>1092</v>
      </c>
      <c r="D1244" s="4">
        <f>Quarts!W115</f>
        <v>371.28428005414173</v>
      </c>
      <c r="E1244" s="4">
        <f>Quarts!X115</f>
        <v>403</v>
      </c>
      <c r="F1244" s="4">
        <f>Quarts!Y115</f>
        <v>411.3</v>
      </c>
      <c r="G1244" s="4">
        <f>Quarts!Z115</f>
        <v>411.3</v>
      </c>
      <c r="H1244" s="4" t="e">
        <f>Quarts!#REF!</f>
        <v>#REF!</v>
      </c>
      <c r="I1244" s="4" t="e">
        <f>Quarts!#REF!</f>
        <v>#REF!</v>
      </c>
      <c r="J1244" s="4" t="e">
        <f>Quarts!#REF!</f>
        <v>#REF!</v>
      </c>
      <c r="K1244" s="4" t="e">
        <f>Quarts!#REF!</f>
        <v>#REF!</v>
      </c>
      <c r="M1244" s="4">
        <f>Quarts!AE115</f>
        <v>497.86366315789456</v>
      </c>
      <c r="N1244" s="4">
        <f>Quarts!AF115</f>
        <v>499.67682526315838</v>
      </c>
      <c r="O1244" s="4">
        <f>Quarts!AG115</f>
        <v>565.7781249122811</v>
      </c>
      <c r="P1244" s="4">
        <f>Quarts!AH115</f>
        <v>604.08827034957403</v>
      </c>
    </row>
    <row r="1245" spans="2:20" x14ac:dyDescent="0.55000000000000004">
      <c r="B1245" t="s">
        <v>2485</v>
      </c>
      <c r="D1245" s="4">
        <f>Quarts!W144</f>
        <v>-16.310995528273907</v>
      </c>
      <c r="E1245" s="4">
        <f>Quarts!X144</f>
        <v>154.64199999999994</v>
      </c>
      <c r="F1245" s="4">
        <f>Quarts!Y144</f>
        <v>265.82799999999992</v>
      </c>
      <c r="G1245" s="4">
        <f>Quarts!Z144</f>
        <v>409.83570364495085</v>
      </c>
      <c r="H1245" s="4" t="e">
        <f>Quarts!#REF!</f>
        <v>#REF!</v>
      </c>
      <c r="I1245" s="4" t="e">
        <f>Quarts!#REF!</f>
        <v>#REF!</v>
      </c>
      <c r="J1245" s="4" t="e">
        <f>Quarts!#REF!</f>
        <v>#REF!</v>
      </c>
      <c r="K1245" s="4" t="e">
        <f>Quarts!#REF!</f>
        <v>#REF!</v>
      </c>
      <c r="M1245" s="4">
        <f>Quarts!AE144</f>
        <v>510.57957894736819</v>
      </c>
      <c r="N1245" s="4">
        <f>Quarts!AF144</f>
        <v>547.84603157894799</v>
      </c>
      <c r="O1245" s="4">
        <f>Quarts!AG144</f>
        <v>660.47265614035132</v>
      </c>
      <c r="P1245" s="4">
        <f>Quarts!AH144</f>
        <v>732.04690543388188</v>
      </c>
    </row>
    <row r="1248" spans="2:20" x14ac:dyDescent="0.55000000000000004">
      <c r="B1248" s="1"/>
      <c r="C1248" s="19" t="s">
        <v>1718</v>
      </c>
      <c r="D1248" s="19" t="str">
        <f>Quarts!S4</f>
        <v>1Q 21</v>
      </c>
      <c r="E1248" s="19" t="str">
        <f>Quarts!T4</f>
        <v>2Q 21</v>
      </c>
      <c r="F1248" s="19" t="str">
        <f>Quarts!U4</f>
        <v>3Q 21</v>
      </c>
      <c r="G1248" s="19" t="str">
        <f>Quarts!V4</f>
        <v>4Q 21</v>
      </c>
      <c r="H1248" s="19" t="str">
        <f>D1243</f>
        <v>1Q 22</v>
      </c>
      <c r="I1248" s="19" t="str">
        <f>E1243</f>
        <v>2Q 22</v>
      </c>
      <c r="J1248" s="19" t="str">
        <f>F1243</f>
        <v>3Q 22</v>
      </c>
      <c r="K1248" s="19" t="str">
        <f>G1243</f>
        <v>4Q 22</v>
      </c>
      <c r="L1248" s="19" t="e">
        <f>H1243</f>
        <v>#REF!</v>
      </c>
      <c r="M1248" s="19" t="e">
        <f>H1243</f>
        <v>#REF!</v>
      </c>
      <c r="N1248" s="19" t="e">
        <f>I1243</f>
        <v>#REF!</v>
      </c>
      <c r="O1248" s="19" t="e">
        <f>J1243</f>
        <v>#REF!</v>
      </c>
      <c r="P1248" s="19" t="e">
        <f>K1243</f>
        <v>#REF!</v>
      </c>
      <c r="Q1248" s="19" t="str">
        <f>M1243</f>
        <v>1Q 24E</v>
      </c>
      <c r="R1248" s="19" t="str">
        <f>N1243</f>
        <v>2Q 24E</v>
      </c>
      <c r="S1248" s="19" t="str">
        <f>O1243</f>
        <v>3Q 24E</v>
      </c>
      <c r="T1248" s="19" t="str">
        <f>P1243</f>
        <v>4Q 24E</v>
      </c>
    </row>
    <row r="1249" spans="2:20" x14ac:dyDescent="0.55000000000000004">
      <c r="B1249" t="s">
        <v>2534</v>
      </c>
      <c r="D1249" s="4">
        <f>Quarts!S238</f>
        <v>771.35686380000004</v>
      </c>
      <c r="E1249" s="4">
        <f>Quarts!T238</f>
        <v>1116.1025651699999</v>
      </c>
      <c r="F1249" s="4">
        <f>Quarts!U238</f>
        <v>1553.18049015</v>
      </c>
      <c r="G1249" s="4">
        <f>Quarts!V238</f>
        <v>1906.9698957400001</v>
      </c>
      <c r="H1249" s="4">
        <f>Quarts!W238</f>
        <v>2054.7854452799997</v>
      </c>
      <c r="I1249" s="4">
        <f>Quarts!X238</f>
        <v>2275.0159656799997</v>
      </c>
      <c r="J1249" s="4">
        <f>Quarts!Y238</f>
        <v>2653.2649304199999</v>
      </c>
      <c r="K1249" s="4">
        <f>Quarts!Z238</f>
        <v>2721</v>
      </c>
      <c r="L1249" s="4">
        <f>Quarts!AA238</f>
        <v>2717</v>
      </c>
      <c r="M1249" s="4" t="e">
        <f>Quarts!#REF!</f>
        <v>#REF!</v>
      </c>
      <c r="N1249" s="4" t="e">
        <f>Quarts!#REF!</f>
        <v>#REF!</v>
      </c>
      <c r="O1249" s="4" t="e">
        <f>Quarts!#REF!</f>
        <v>#REF!</v>
      </c>
      <c r="P1249" s="4" t="e">
        <f>Quarts!#REF!</f>
        <v>#REF!</v>
      </c>
      <c r="Q1249" s="4">
        <f>Quarts!AE238</f>
        <v>2444.1400000000003</v>
      </c>
      <c r="R1249" s="4">
        <f>Quarts!AF238</f>
        <v>2369.1400000000003</v>
      </c>
      <c r="S1249" s="4">
        <f>Quarts!AG238</f>
        <v>2419.1400000000003</v>
      </c>
      <c r="T1249" s="4">
        <f>Quarts!AH238</f>
        <v>2723.25</v>
      </c>
    </row>
    <row r="1250" spans="2:20" x14ac:dyDescent="0.55000000000000004">
      <c r="B1250" t="s">
        <v>250</v>
      </c>
      <c r="D1250" s="4">
        <f>Quarts!S232</f>
        <v>156.11249543642109</v>
      </c>
      <c r="E1250" s="4">
        <f>Quarts!T232</f>
        <v>193.67563673077342</v>
      </c>
      <c r="F1250" s="4">
        <f>Quarts!U232</f>
        <v>258.61796397675482</v>
      </c>
      <c r="G1250" s="4">
        <f>Quarts!V232</f>
        <v>308.51423074707048</v>
      </c>
      <c r="H1250" s="4">
        <f>Quarts!W232</f>
        <v>332.56578694405874</v>
      </c>
      <c r="I1250" s="4">
        <f>Quarts!X232</f>
        <v>343.76247149091495</v>
      </c>
      <c r="J1250" s="4">
        <f>Quarts!Y232</f>
        <v>375.76568154136282</v>
      </c>
      <c r="K1250" s="4">
        <f>Quarts!Z232</f>
        <v>361.79340186728535</v>
      </c>
      <c r="L1250" s="4">
        <f>Quarts!AA232</f>
        <v>330.59726660021369</v>
      </c>
      <c r="M1250" s="4" t="e">
        <f>Quarts!#REF!</f>
        <v>#REF!</v>
      </c>
      <c r="N1250" s="4" t="e">
        <f>Quarts!#REF!</f>
        <v>#REF!</v>
      </c>
      <c r="O1250" s="4" t="e">
        <f>Quarts!#REF!</f>
        <v>#REF!</v>
      </c>
      <c r="P1250" s="4" t="e">
        <f>Quarts!#REF!</f>
        <v>#REF!</v>
      </c>
      <c r="Q1250" s="4">
        <f>Quarts!AE232</f>
        <v>262.46492909729415</v>
      </c>
      <c r="R1250" s="4">
        <f>Quarts!AF232</f>
        <v>251.91566798798803</v>
      </c>
      <c r="S1250" s="4">
        <f ca="1">Quarts!AG232</f>
        <v>265.27454917658292</v>
      </c>
      <c r="T1250" s="4">
        <f ca="1">Quarts!AH232</f>
        <v>293.62560983516482</v>
      </c>
    </row>
    <row r="1251" spans="2:20" x14ac:dyDescent="0.55000000000000004">
      <c r="B1251" t="s">
        <v>2489</v>
      </c>
      <c r="D1251" s="4"/>
      <c r="E1251" s="2">
        <f t="shared" ref="E1251:L1251" si="50">E1250*4/AVERAGE(D1249:E1249)</f>
        <v>0.82089451569918448</v>
      </c>
      <c r="F1251" s="2">
        <f t="shared" si="50"/>
        <v>0.77509341232678253</v>
      </c>
      <c r="G1251" s="2">
        <f t="shared" si="50"/>
        <v>0.71329669832882991</v>
      </c>
      <c r="H1251" s="2">
        <f t="shared" si="50"/>
        <v>0.67155239699064473</v>
      </c>
      <c r="I1251" s="2">
        <f t="shared" si="50"/>
        <v>0.63515609860674194</v>
      </c>
      <c r="J1251" s="2">
        <f t="shared" si="50"/>
        <v>0.60997445472513623</v>
      </c>
      <c r="K1251" s="2">
        <f t="shared" si="50"/>
        <v>0.53855685426957334</v>
      </c>
      <c r="L1251" s="2">
        <f t="shared" si="50"/>
        <v>0.48635125649167149</v>
      </c>
      <c r="M1251" s="2" t="e">
        <f>M1250*4/AVERAGE(K1249:M1249)</f>
        <v>#REF!</v>
      </c>
      <c r="N1251" s="2" t="e">
        <f t="shared" ref="N1251:T1251" si="51">N1250*4/AVERAGE(M1249:N1249)</f>
        <v>#REF!</v>
      </c>
      <c r="O1251" s="2" t="e">
        <f t="shared" si="51"/>
        <v>#REF!</v>
      </c>
      <c r="P1251" s="2" t="e">
        <f t="shared" si="51"/>
        <v>#REF!</v>
      </c>
      <c r="Q1251" s="2" t="e">
        <f t="shared" si="51"/>
        <v>#REF!</v>
      </c>
      <c r="R1251" s="2">
        <f t="shared" si="51"/>
        <v>0.41870104043477713</v>
      </c>
      <c r="S1251" s="2">
        <f t="shared" ca="1" si="51"/>
        <v>0.44320641094770213</v>
      </c>
      <c r="T1251" s="2">
        <f t="shared" ca="1" si="51"/>
        <v>0.45679244061250091</v>
      </c>
    </row>
    <row r="1252" spans="2:20" x14ac:dyDescent="0.55000000000000004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</row>
    <row r="1253" spans="2:20" x14ac:dyDescent="0.55000000000000004">
      <c r="B1253" t="s">
        <v>136</v>
      </c>
      <c r="C1253">
        <v>99</v>
      </c>
      <c r="D1253" s="4"/>
      <c r="E1253" s="4"/>
      <c r="F1253" s="4"/>
      <c r="G1253" s="4">
        <v>257</v>
      </c>
      <c r="H1253">
        <v>340</v>
      </c>
      <c r="I1253" s="4">
        <f>Quarts!X255</f>
        <v>426.5</v>
      </c>
      <c r="J1253" s="4">
        <f>Quarts!Y255</f>
        <v>494</v>
      </c>
      <c r="K1253" s="4">
        <f>Quarts!Z255</f>
        <v>522</v>
      </c>
      <c r="L1253" s="4">
        <f>Quarts!AA255</f>
        <v>520</v>
      </c>
      <c r="M1253" s="4"/>
      <c r="N1253" s="4"/>
      <c r="O1253" s="4"/>
      <c r="P1253" s="4"/>
      <c r="Q1253" s="4"/>
      <c r="R1253" s="4"/>
      <c r="S1253" s="4"/>
    </row>
    <row r="1254" spans="2:20" x14ac:dyDescent="0.55000000000000004">
      <c r="B1254" t="s">
        <v>2126</v>
      </c>
      <c r="C1254">
        <v>56</v>
      </c>
      <c r="D1254" s="4"/>
      <c r="E1254" s="4"/>
      <c r="F1254" s="4"/>
      <c r="G1254" s="4">
        <v>174</v>
      </c>
      <c r="H1254">
        <v>251</v>
      </c>
      <c r="I1254" s="4">
        <f>Quarts!X256</f>
        <v>320.7</v>
      </c>
      <c r="J1254" s="4">
        <f>Quarts!Y256</f>
        <v>399</v>
      </c>
      <c r="K1254" s="4">
        <f>Quarts!Z256</f>
        <v>451</v>
      </c>
      <c r="L1254" s="4">
        <f>Quarts!AA256</f>
        <v>495</v>
      </c>
      <c r="M1254" s="4"/>
      <c r="N1254" s="4"/>
      <c r="O1254" s="4"/>
      <c r="P1254" s="4"/>
      <c r="Q1254" s="4"/>
      <c r="R1254" s="4"/>
      <c r="S1254" s="4"/>
    </row>
    <row r="1255" spans="2:20" x14ac:dyDescent="0.55000000000000004">
      <c r="B1255" s="1" t="s">
        <v>5</v>
      </c>
      <c r="C1255" s="6">
        <v>0</v>
      </c>
      <c r="D1255" s="6"/>
      <c r="E1255" s="6"/>
      <c r="F1255" s="6"/>
      <c r="G1255" s="6">
        <v>6</v>
      </c>
      <c r="H1255" s="6">
        <v>6</v>
      </c>
      <c r="I1255" s="6">
        <f>Quarts!X257</f>
        <v>7.7</v>
      </c>
      <c r="J1255" s="6">
        <f>Quarts!Y257</f>
        <v>9</v>
      </c>
      <c r="K1255" s="6">
        <f>Quarts!Z257</f>
        <v>12</v>
      </c>
      <c r="L1255" s="6">
        <f>Quarts!AA257</f>
        <v>10</v>
      </c>
      <c r="M1255" s="4"/>
      <c r="N1255" s="4"/>
      <c r="O1255" s="4"/>
      <c r="P1255" s="4"/>
      <c r="Q1255" s="4"/>
      <c r="R1255" s="4"/>
      <c r="S1255" s="4"/>
    </row>
    <row r="1256" spans="2:20" x14ac:dyDescent="0.55000000000000004">
      <c r="B1256" t="s">
        <v>2491</v>
      </c>
      <c r="C1256">
        <f>SUM(C1253:C1255)</f>
        <v>155</v>
      </c>
      <c r="D1256" s="4"/>
      <c r="E1256" s="4"/>
      <c r="F1256" s="4"/>
      <c r="G1256" s="4">
        <f t="shared" ref="G1256:L1256" si="52">SUM(G1253:G1255)</f>
        <v>437</v>
      </c>
      <c r="H1256" s="4">
        <f t="shared" si="52"/>
        <v>597</v>
      </c>
      <c r="I1256" s="4">
        <f t="shared" si="52"/>
        <v>754.90000000000009</v>
      </c>
      <c r="J1256" s="4">
        <f t="shared" si="52"/>
        <v>902</v>
      </c>
      <c r="K1256" s="4">
        <f t="shared" si="52"/>
        <v>985</v>
      </c>
      <c r="L1256" s="4">
        <f t="shared" si="52"/>
        <v>1025</v>
      </c>
      <c r="M1256" s="4"/>
      <c r="N1256" s="4"/>
      <c r="O1256" s="4"/>
      <c r="P1256" s="4"/>
      <c r="Q1256" s="4"/>
      <c r="R1256" s="4"/>
      <c r="S1256" s="4"/>
    </row>
    <row r="1257" spans="2:20" x14ac:dyDescent="0.55000000000000004">
      <c r="B1257" t="s">
        <v>2494</v>
      </c>
      <c r="D1257" s="4"/>
      <c r="E1257" s="4"/>
      <c r="F1257" s="4"/>
      <c r="G1257" s="2">
        <f t="shared" ref="G1257:L1257" si="53">G1256/G1249</f>
        <v>0.22915935955581621</v>
      </c>
      <c r="H1257" s="2">
        <f t="shared" si="53"/>
        <v>0.29054128321346395</v>
      </c>
      <c r="I1257" s="2">
        <f t="shared" si="53"/>
        <v>0.33182184713783375</v>
      </c>
      <c r="J1257" s="2">
        <f t="shared" si="53"/>
        <v>0.33995851287161793</v>
      </c>
      <c r="K1257" s="2">
        <f t="shared" si="53"/>
        <v>0.36199926497611173</v>
      </c>
      <c r="L1257" s="2">
        <f t="shared" si="53"/>
        <v>0.37725432462274566</v>
      </c>
      <c r="M1257" s="4"/>
      <c r="N1257" s="4"/>
      <c r="O1257" s="4"/>
      <c r="P1257" s="4"/>
      <c r="Q1257" s="4"/>
      <c r="R1257" s="4"/>
      <c r="S1257" s="4"/>
    </row>
    <row r="1258" spans="2:20" x14ac:dyDescent="0.55000000000000004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</row>
    <row r="1259" spans="2:20" x14ac:dyDescent="0.55000000000000004">
      <c r="B1259" t="s">
        <v>2553</v>
      </c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</row>
    <row r="1260" spans="2:20" x14ac:dyDescent="0.55000000000000004">
      <c r="B1260" t="str">
        <f>B1253</f>
        <v>Working Capital</v>
      </c>
      <c r="D1260" s="4">
        <f t="shared" ref="D1260:F1262" si="54">E1260</f>
        <v>39.5</v>
      </c>
      <c r="E1260" s="4">
        <f t="shared" si="54"/>
        <v>39.5</v>
      </c>
      <c r="F1260" s="4">
        <f t="shared" si="54"/>
        <v>39.5</v>
      </c>
      <c r="G1260" s="518">
        <f>(G1253-C1253)/4</f>
        <v>39.5</v>
      </c>
      <c r="H1260" s="4">
        <f t="shared" ref="H1260:K1263" si="55">H1253-G1253</f>
        <v>83</v>
      </c>
      <c r="I1260" s="4">
        <f t="shared" si="55"/>
        <v>86.5</v>
      </c>
      <c r="J1260" s="4">
        <f t="shared" si="55"/>
        <v>67.5</v>
      </c>
      <c r="K1260" s="4">
        <f t="shared" si="55"/>
        <v>28</v>
      </c>
      <c r="L1260" s="4"/>
      <c r="M1260" s="4"/>
      <c r="N1260" s="4"/>
      <c r="O1260" s="4"/>
      <c r="P1260" s="4"/>
      <c r="Q1260" s="4"/>
      <c r="R1260" s="4"/>
      <c r="S1260" s="4"/>
    </row>
    <row r="1261" spans="2:20" x14ac:dyDescent="0.55000000000000004">
      <c r="B1261" t="str">
        <f>B1254</f>
        <v>Credit Cards</v>
      </c>
      <c r="D1261" s="4">
        <f t="shared" si="54"/>
        <v>29.5</v>
      </c>
      <c r="E1261" s="4">
        <f t="shared" si="54"/>
        <v>29.5</v>
      </c>
      <c r="F1261" s="4">
        <f t="shared" si="54"/>
        <v>29.5</v>
      </c>
      <c r="G1261" s="518">
        <f>(G1254-C1254)/4</f>
        <v>29.5</v>
      </c>
      <c r="H1261" s="4">
        <f t="shared" si="55"/>
        <v>77</v>
      </c>
      <c r="I1261" s="4">
        <f t="shared" si="55"/>
        <v>69.699999999999989</v>
      </c>
      <c r="J1261" s="4">
        <f t="shared" si="55"/>
        <v>78.300000000000011</v>
      </c>
      <c r="K1261" s="4">
        <f t="shared" si="55"/>
        <v>52</v>
      </c>
      <c r="L1261" s="4"/>
      <c r="M1261" s="4"/>
      <c r="N1261" s="4"/>
      <c r="O1261" s="4"/>
      <c r="P1261" s="4"/>
      <c r="Q1261" s="4"/>
      <c r="R1261" s="4"/>
      <c r="S1261" s="4"/>
    </row>
    <row r="1262" spans="2:20" x14ac:dyDescent="0.55000000000000004">
      <c r="B1262" s="1" t="str">
        <f>B1255</f>
        <v>Other</v>
      </c>
      <c r="C1262" s="6"/>
      <c r="D1262" s="6">
        <f t="shared" si="54"/>
        <v>1.5</v>
      </c>
      <c r="E1262" s="6">
        <f t="shared" si="54"/>
        <v>1.5</v>
      </c>
      <c r="F1262" s="6">
        <f t="shared" si="54"/>
        <v>1.5</v>
      </c>
      <c r="G1262" s="519">
        <f>(G1255-C1255)/4</f>
        <v>1.5</v>
      </c>
      <c r="H1262" s="6">
        <f t="shared" si="55"/>
        <v>0</v>
      </c>
      <c r="I1262" s="6">
        <f t="shared" si="55"/>
        <v>1.7000000000000002</v>
      </c>
      <c r="J1262" s="6">
        <f t="shared" si="55"/>
        <v>1.2999999999999998</v>
      </c>
      <c r="K1262" s="6">
        <f t="shared" si="55"/>
        <v>3</v>
      </c>
      <c r="L1262" s="4"/>
      <c r="M1262" s="4"/>
      <c r="N1262" s="4"/>
      <c r="O1262" s="4"/>
      <c r="P1262" s="4"/>
      <c r="Q1262" s="4"/>
      <c r="R1262" s="4"/>
      <c r="S1262" s="4"/>
    </row>
    <row r="1263" spans="2:20" x14ac:dyDescent="0.55000000000000004">
      <c r="B1263" t="s">
        <v>2535</v>
      </c>
      <c r="D1263" s="4">
        <f>SUM(D1260:D1262)</f>
        <v>70.5</v>
      </c>
      <c r="E1263" s="4">
        <f>SUM(E1260:E1262)</f>
        <v>70.5</v>
      </c>
      <c r="F1263" s="4">
        <f>SUM(F1260:F1262)</f>
        <v>70.5</v>
      </c>
      <c r="G1263" s="4">
        <f>SUM(G1260:G1262)</f>
        <v>70.5</v>
      </c>
      <c r="H1263" s="4">
        <f t="shared" si="55"/>
        <v>160</v>
      </c>
      <c r="I1263" s="4">
        <f t="shared" si="55"/>
        <v>157.90000000000009</v>
      </c>
      <c r="J1263" s="4">
        <f t="shared" si="55"/>
        <v>147.09999999999991</v>
      </c>
      <c r="K1263" s="4">
        <f t="shared" si="55"/>
        <v>83</v>
      </c>
      <c r="L1263" s="4"/>
      <c r="M1263" s="4"/>
      <c r="N1263" s="4"/>
      <c r="O1263" s="4"/>
      <c r="P1263" s="4"/>
      <c r="Q1263" s="4"/>
      <c r="R1263" s="4"/>
      <c r="S1263" s="4"/>
    </row>
    <row r="1264" spans="2:20" x14ac:dyDescent="0.55000000000000004">
      <c r="B1264" t="s">
        <v>1795</v>
      </c>
      <c r="D1264" s="2">
        <f t="shared" ref="D1264:K1264" si="56">D1263/D1250</f>
        <v>0.45159741891841115</v>
      </c>
      <c r="E1264" s="2">
        <f t="shared" si="56"/>
        <v>0.36401067883412386</v>
      </c>
      <c r="F1264" s="2">
        <f t="shared" si="56"/>
        <v>0.27260287304070147</v>
      </c>
      <c r="G1264" s="2">
        <f t="shared" si="56"/>
        <v>0.22851458044344827</v>
      </c>
      <c r="H1264" s="2">
        <f t="shared" si="56"/>
        <v>0.48110781770499372</v>
      </c>
      <c r="I1264" s="2">
        <f t="shared" si="56"/>
        <v>0.45932878977504416</v>
      </c>
      <c r="J1264" s="2">
        <f t="shared" si="56"/>
        <v>0.39146736177877306</v>
      </c>
      <c r="K1264" s="2">
        <f t="shared" si="56"/>
        <v>0.22941269678114923</v>
      </c>
      <c r="L1264" s="4"/>
      <c r="M1264" s="4"/>
      <c r="N1264" s="4"/>
      <c r="O1264" s="4"/>
      <c r="P1264" s="4"/>
      <c r="Q1264" s="4"/>
      <c r="R1264" s="4"/>
      <c r="S1264" s="4"/>
    </row>
    <row r="1265" spans="2:19" x14ac:dyDescent="0.55000000000000004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</row>
    <row r="1266" spans="2:19" x14ac:dyDescent="0.55000000000000004">
      <c r="B1266" t="s">
        <v>2533</v>
      </c>
      <c r="D1266" s="4">
        <f>Quarts!S323</f>
        <v>53.877894867759309</v>
      </c>
      <c r="E1266" s="4">
        <f>Quarts!T323</f>
        <v>76.081141101005997</v>
      </c>
      <c r="F1266" s="4">
        <f>Quarts!U323</f>
        <v>122.26442015396904</v>
      </c>
      <c r="G1266" s="4">
        <f>Quarts!V323</f>
        <v>142.28778944446478</v>
      </c>
      <c r="H1266" s="4">
        <f>Quarts!W323</f>
        <v>170.40260633492653</v>
      </c>
      <c r="I1266" s="4">
        <f>Quarts!X323</f>
        <v>171.95104632575305</v>
      </c>
      <c r="J1266" s="4">
        <f>Quarts!Y323</f>
        <v>175.92335108089279</v>
      </c>
      <c r="K1266" s="4">
        <f>Quarts!Z323</f>
        <v>162.4633396660081</v>
      </c>
      <c r="L1266" s="4" t="e">
        <f>Quarts!#REF!</f>
        <v>#REF!</v>
      </c>
      <c r="M1266" s="4" t="e">
        <f>Quarts!#REF!</f>
        <v>#REF!</v>
      </c>
      <c r="N1266" s="4" t="e">
        <f>Quarts!#REF!</f>
        <v>#REF!</v>
      </c>
      <c r="O1266" s="4" t="e">
        <f>Quarts!#REF!</f>
        <v>#REF!</v>
      </c>
      <c r="P1266" s="4">
        <f>Quarts!AE323</f>
        <v>121.53014784729415</v>
      </c>
      <c r="Q1266" s="4">
        <f>Quarts!AF323</f>
        <v>110.74136798798801</v>
      </c>
      <c r="R1266" s="4">
        <f ca="1">Quarts!AG323</f>
        <v>126.16921792658289</v>
      </c>
      <c r="S1266" s="4">
        <f ca="1">Quarts!AH323</f>
        <v>132.56723918735369</v>
      </c>
    </row>
    <row r="1267" spans="2:19" x14ac:dyDescent="0.55000000000000004">
      <c r="B1267" t="s">
        <v>2493</v>
      </c>
      <c r="D1267" s="4">
        <f t="shared" ref="D1267:K1267" si="57">D1268-(D1266-D1269)</f>
        <v>-9.951630350644578</v>
      </c>
      <c r="E1267" s="4">
        <f t="shared" si="57"/>
        <v>38.740620249719825</v>
      </c>
      <c r="F1267" s="4">
        <f t="shared" si="57"/>
        <v>52.075203350439025</v>
      </c>
      <c r="G1267" s="4">
        <f t="shared" si="57"/>
        <v>4.638558354018258</v>
      </c>
      <c r="H1267" s="4">
        <f t="shared" si="57"/>
        <v>37.545871336257903</v>
      </c>
      <c r="I1267" s="4">
        <f t="shared" si="57"/>
        <v>56.413712750032929</v>
      </c>
      <c r="J1267" s="4">
        <f t="shared" si="57"/>
        <v>83.698140622523894</v>
      </c>
      <c r="K1267" s="4">
        <f t="shared" si="57"/>
        <v>84.129773049032508</v>
      </c>
      <c r="L1267" s="4"/>
      <c r="M1267" s="4"/>
      <c r="N1267" s="4"/>
      <c r="O1267" s="4"/>
      <c r="P1267" s="4"/>
      <c r="Q1267" s="4"/>
      <c r="R1267" s="4"/>
      <c r="S1267" s="4"/>
    </row>
    <row r="1268" spans="2:19" x14ac:dyDescent="0.55000000000000004">
      <c r="B1268" s="1" t="s">
        <v>2492</v>
      </c>
      <c r="C1268" s="1"/>
      <c r="D1268" s="6">
        <f t="shared" ref="D1268:I1268" si="58">D1263</f>
        <v>70.5</v>
      </c>
      <c r="E1268" s="6">
        <f t="shared" si="58"/>
        <v>70.5</v>
      </c>
      <c r="F1268" s="6">
        <f t="shared" si="58"/>
        <v>70.5</v>
      </c>
      <c r="G1268" s="6">
        <f t="shared" si="58"/>
        <v>70.5</v>
      </c>
      <c r="H1268" s="6">
        <f t="shared" si="58"/>
        <v>160</v>
      </c>
      <c r="I1268" s="6">
        <f t="shared" si="58"/>
        <v>157.90000000000009</v>
      </c>
      <c r="J1268" s="6">
        <f>J1263</f>
        <v>147.09999999999991</v>
      </c>
      <c r="K1268" s="6">
        <f>K1263</f>
        <v>83</v>
      </c>
      <c r="L1268" s="6" t="e">
        <f t="shared" ref="L1268:S1268" si="59">L1266-L1269</f>
        <v>#REF!</v>
      </c>
      <c r="M1268" s="6" t="e">
        <f t="shared" si="59"/>
        <v>#REF!</v>
      </c>
      <c r="N1268" s="6" t="e">
        <f t="shared" si="59"/>
        <v>#REF!</v>
      </c>
      <c r="O1268" s="6" t="e">
        <f t="shared" si="59"/>
        <v>#REF!</v>
      </c>
      <c r="P1268" s="6">
        <f t="shared" si="59"/>
        <v>11.492379999999997</v>
      </c>
      <c r="Q1268" s="6">
        <f t="shared" si="59"/>
        <v>11.354880000000009</v>
      </c>
      <c r="R1268" s="6">
        <f t="shared" ca="1" si="59"/>
        <v>12.417380000000009</v>
      </c>
      <c r="S1268" s="6">
        <f t="shared" ca="1" si="59"/>
        <v>12.623609999999999</v>
      </c>
    </row>
    <row r="1269" spans="2:19" x14ac:dyDescent="0.55000000000000004">
      <c r="B1269" t="s">
        <v>717</v>
      </c>
      <c r="D1269" s="4">
        <f>Quarts!S333</f>
        <v>-26.573735482885269</v>
      </c>
      <c r="E1269" s="4">
        <f>Quarts!T333</f>
        <v>44.321761350725822</v>
      </c>
      <c r="F1269" s="4">
        <f>Quarts!U333</f>
        <v>103.83962350440807</v>
      </c>
      <c r="G1269" s="4">
        <f>Quarts!V333</f>
        <v>76.426347798483036</v>
      </c>
      <c r="H1269" s="4">
        <f>Quarts!W333</f>
        <v>47.948477671184435</v>
      </c>
      <c r="I1269" s="4">
        <f>Quarts!X333</f>
        <v>70.464759075785892</v>
      </c>
      <c r="J1269" s="4">
        <f>Quarts!Y333</f>
        <v>112.52149170341677</v>
      </c>
      <c r="K1269" s="4">
        <f>Quarts!Z333</f>
        <v>163.5931127150406</v>
      </c>
      <c r="L1269" s="4" t="e">
        <f>Quarts!#REF!</f>
        <v>#REF!</v>
      </c>
      <c r="M1269" s="4" t="e">
        <f>Quarts!#REF!</f>
        <v>#REF!</v>
      </c>
      <c r="N1269" s="4" t="e">
        <f>Quarts!#REF!</f>
        <v>#REF!</v>
      </c>
      <c r="O1269" s="4" t="e">
        <f>Quarts!#REF!</f>
        <v>#REF!</v>
      </c>
      <c r="P1269" s="4">
        <f>Quarts!AE333</f>
        <v>110.03776784729415</v>
      </c>
      <c r="Q1269" s="4">
        <f>Quarts!AF333</f>
        <v>99.386487987988005</v>
      </c>
      <c r="R1269" s="4">
        <f ca="1">Quarts!AG333</f>
        <v>113.75183792658288</v>
      </c>
      <c r="S1269" s="4">
        <f ca="1">Quarts!AH333</f>
        <v>119.94362918735369</v>
      </c>
    </row>
    <row r="1270" spans="2:19" x14ac:dyDescent="0.55000000000000004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</row>
    <row r="1271" spans="2:19" x14ac:dyDescent="0.55000000000000004">
      <c r="B1271" s="31" t="s">
        <v>2490</v>
      </c>
      <c r="D1271" s="44" t="e">
        <f>D1269-D1273</f>
        <v>#REF!</v>
      </c>
      <c r="E1271" s="44" t="e">
        <f t="shared" ref="E1271:S1271" si="60">E1269-E1273</f>
        <v>#REF!</v>
      </c>
      <c r="F1271" s="44" t="e">
        <f t="shared" si="60"/>
        <v>#REF!</v>
      </c>
      <c r="G1271" s="44" t="e">
        <f t="shared" si="60"/>
        <v>#REF!</v>
      </c>
      <c r="H1271" s="44" t="e">
        <f t="shared" si="60"/>
        <v>#REF!</v>
      </c>
      <c r="I1271" s="44" t="e">
        <f t="shared" si="60"/>
        <v>#REF!</v>
      </c>
      <c r="J1271" s="44" t="e">
        <f t="shared" si="60"/>
        <v>#REF!</v>
      </c>
      <c r="K1271" s="4" t="e">
        <f t="shared" si="60"/>
        <v>#REF!</v>
      </c>
      <c r="L1271" s="4" t="e">
        <f t="shared" si="60"/>
        <v>#REF!</v>
      </c>
      <c r="M1271" s="4" t="e">
        <f t="shared" si="60"/>
        <v>#REF!</v>
      </c>
      <c r="N1271" s="4" t="e">
        <f t="shared" si="60"/>
        <v>#REF!</v>
      </c>
      <c r="O1271" s="4" t="e">
        <f t="shared" si="60"/>
        <v>#REF!</v>
      </c>
      <c r="P1271" s="4" t="e">
        <f t="shared" si="60"/>
        <v>#REF!</v>
      </c>
      <c r="Q1271" s="4" t="e">
        <f t="shared" si="60"/>
        <v>#REF!</v>
      </c>
      <c r="R1271" s="4" t="e">
        <f t="shared" ca="1" si="60"/>
        <v>#REF!</v>
      </c>
      <c r="S1271" s="4" t="e">
        <f t="shared" ca="1" si="60"/>
        <v>#REF!</v>
      </c>
    </row>
    <row r="1272" spans="2:19" x14ac:dyDescent="0.55000000000000004">
      <c r="B1272" s="31" t="s">
        <v>1795</v>
      </c>
      <c r="D1272" s="3" t="e">
        <f t="shared" ref="D1272:K1272" si="61">D1271/D1250</f>
        <v>#REF!</v>
      </c>
      <c r="E1272" s="3" t="e">
        <f t="shared" si="61"/>
        <v>#REF!</v>
      </c>
      <c r="F1272" s="3" t="e">
        <f t="shared" si="61"/>
        <v>#REF!</v>
      </c>
      <c r="G1272" s="3" t="e">
        <f t="shared" si="61"/>
        <v>#REF!</v>
      </c>
      <c r="H1272" s="3" t="e">
        <f t="shared" si="61"/>
        <v>#REF!</v>
      </c>
      <c r="I1272" s="3" t="e">
        <f t="shared" si="61"/>
        <v>#REF!</v>
      </c>
      <c r="J1272" s="3" t="e">
        <f t="shared" si="61"/>
        <v>#REF!</v>
      </c>
      <c r="K1272" s="2" t="e">
        <f t="shared" si="61"/>
        <v>#REF!</v>
      </c>
      <c r="L1272" s="4"/>
      <c r="M1272" s="4"/>
      <c r="N1272" s="4"/>
      <c r="O1272" s="4"/>
      <c r="P1272" s="4"/>
      <c r="Q1272" s="4"/>
      <c r="R1272" s="4"/>
      <c r="S1272" s="4"/>
    </row>
    <row r="1273" spans="2:19" x14ac:dyDescent="0.55000000000000004">
      <c r="B1273" t="s">
        <v>714</v>
      </c>
      <c r="D1273" s="4" t="e">
        <f>Quarts!#REF!</f>
        <v>#REF!</v>
      </c>
      <c r="E1273" s="4" t="e">
        <f>Quarts!#REF!</f>
        <v>#REF!</v>
      </c>
      <c r="F1273" s="4" t="e">
        <f>Quarts!#REF!</f>
        <v>#REF!</v>
      </c>
      <c r="G1273" s="4" t="e">
        <f>Quarts!#REF!</f>
        <v>#REF!</v>
      </c>
      <c r="H1273" s="4" t="e">
        <f>Quarts!#REF!</f>
        <v>#REF!</v>
      </c>
      <c r="I1273" s="4" t="e">
        <f>Quarts!#REF!</f>
        <v>#REF!</v>
      </c>
      <c r="J1273" s="4" t="e">
        <f>Quarts!#REF!</f>
        <v>#REF!</v>
      </c>
      <c r="K1273" s="4" t="e">
        <f>Quarts!#REF!</f>
        <v>#REF!</v>
      </c>
      <c r="L1273" s="4" t="e">
        <f>Quarts!#REF!</f>
        <v>#REF!</v>
      </c>
      <c r="M1273" s="4" t="e">
        <f>Quarts!#REF!</f>
        <v>#REF!</v>
      </c>
      <c r="N1273" s="4" t="e">
        <f>Quarts!#REF!</f>
        <v>#REF!</v>
      </c>
      <c r="O1273" s="4" t="e">
        <f>Quarts!#REF!</f>
        <v>#REF!</v>
      </c>
      <c r="P1273" s="4" t="e">
        <f>Quarts!#REF!</f>
        <v>#REF!</v>
      </c>
      <c r="Q1273" s="4" t="e">
        <f>Quarts!#REF!</f>
        <v>#REF!</v>
      </c>
      <c r="R1273" s="4" t="e">
        <f>Quarts!#REF!</f>
        <v>#REF!</v>
      </c>
      <c r="S1273" s="4" t="e">
        <f>Quarts!#REF!</f>
        <v>#REF!</v>
      </c>
    </row>
    <row r="1274" spans="2:19" x14ac:dyDescent="0.55000000000000004">
      <c r="B1274" t="s">
        <v>477</v>
      </c>
      <c r="D1274" s="2" t="e">
        <f t="shared" ref="D1274:K1274" si="62">D1273/D1250</f>
        <v>#REF!</v>
      </c>
      <c r="E1274" s="2" t="e">
        <f t="shared" si="62"/>
        <v>#REF!</v>
      </c>
      <c r="F1274" s="2" t="e">
        <f t="shared" si="62"/>
        <v>#REF!</v>
      </c>
      <c r="G1274" s="2" t="e">
        <f t="shared" si="62"/>
        <v>#REF!</v>
      </c>
      <c r="H1274" s="2" t="e">
        <f t="shared" si="62"/>
        <v>#REF!</v>
      </c>
      <c r="I1274" s="2" t="e">
        <f t="shared" si="62"/>
        <v>#REF!</v>
      </c>
      <c r="J1274" s="2" t="e">
        <f t="shared" si="62"/>
        <v>#REF!</v>
      </c>
      <c r="K1274" s="2" t="e">
        <f t="shared" si="62"/>
        <v>#REF!</v>
      </c>
      <c r="L1274" s="2" t="e">
        <f t="shared" ref="L1274:S1274" si="63">L1273/M1250</f>
        <v>#REF!</v>
      </c>
      <c r="M1274" s="2" t="e">
        <f t="shared" si="63"/>
        <v>#REF!</v>
      </c>
      <c r="N1274" s="2" t="e">
        <f t="shared" si="63"/>
        <v>#REF!</v>
      </c>
      <c r="O1274" s="2" t="e">
        <f t="shared" si="63"/>
        <v>#REF!</v>
      </c>
      <c r="P1274" s="2" t="e">
        <f t="shared" si="63"/>
        <v>#REF!</v>
      </c>
      <c r="Q1274" s="2" t="e">
        <f t="shared" si="63"/>
        <v>#REF!</v>
      </c>
      <c r="R1274" s="2" t="e">
        <f t="shared" ca="1" si="63"/>
        <v>#REF!</v>
      </c>
      <c r="S1274" s="2" t="e">
        <f t="shared" ca="1" si="63"/>
        <v>#REF!</v>
      </c>
    </row>
    <row r="1275" spans="2:19" x14ac:dyDescent="0.55000000000000004">
      <c r="D1275" s="2"/>
      <c r="E1275" s="2"/>
      <c r="F1275" s="2"/>
      <c r="G1275" s="2" t="e">
        <f>G1273/Quarts!V133</f>
        <v>#REF!</v>
      </c>
      <c r="H1275" s="2" t="e">
        <f>H1273/Quarts!W133</f>
        <v>#REF!</v>
      </c>
      <c r="I1275" s="2" t="e">
        <f>I1273/Quarts!X133</f>
        <v>#REF!</v>
      </c>
      <c r="J1275" s="2" t="e">
        <f>J1273/Quarts!Y133</f>
        <v>#REF!</v>
      </c>
      <c r="K1275" s="2"/>
      <c r="L1275" s="2"/>
      <c r="M1275" s="2"/>
      <c r="N1275" s="2"/>
      <c r="O1275" s="2"/>
      <c r="P1275" s="2"/>
      <c r="Q1275" s="2"/>
      <c r="R1275" s="2"/>
      <c r="S1275" s="2"/>
    </row>
    <row r="1276" spans="2:19" x14ac:dyDescent="0.55000000000000004">
      <c r="J1276" s="2" t="e">
        <f>AVERAGE(H1275:J1275)</f>
        <v>#REF!</v>
      </c>
    </row>
    <row r="1277" spans="2:19" x14ac:dyDescent="0.55000000000000004">
      <c r="B1277" s="1"/>
      <c r="C1277" s="20">
        <v>2021</v>
      </c>
      <c r="D1277" s="20">
        <f>C1277+1</f>
        <v>2022</v>
      </c>
      <c r="E1277" s="20">
        <f>D1277+1</f>
        <v>2023</v>
      </c>
      <c r="F1277" s="20">
        <f>E1277+1</f>
        <v>2024</v>
      </c>
      <c r="G1277" s="20">
        <f>F1277+1</f>
        <v>2025</v>
      </c>
    </row>
    <row r="1278" spans="2:19" x14ac:dyDescent="0.55000000000000004">
      <c r="B1278" t="str">
        <f>B1249</f>
        <v>Credit book (gross)</v>
      </c>
      <c r="C1278" s="7">
        <f>Pagbank!F105</f>
        <v>1907</v>
      </c>
      <c r="D1278" s="7">
        <f>Pagbank!G105</f>
        <v>2721</v>
      </c>
      <c r="E1278" s="7">
        <f>Pagbank!H105</f>
        <v>2529</v>
      </c>
      <c r="F1278" s="7">
        <f>Pagbank!I105</f>
        <v>2723.25</v>
      </c>
      <c r="G1278" s="7">
        <f>Pagbank!J105</f>
        <v>3493.1</v>
      </c>
    </row>
    <row r="1279" spans="2:19" x14ac:dyDescent="0.55000000000000004">
      <c r="B1279" t="s">
        <v>294</v>
      </c>
      <c r="C1279" s="7">
        <f>Pagbank!F95</f>
        <v>916.9</v>
      </c>
      <c r="D1279" s="7">
        <f>Pagbank!G95</f>
        <v>1414</v>
      </c>
      <c r="E1279" s="7">
        <f>Pagbank!H95</f>
        <v>1059.6905256844539</v>
      </c>
      <c r="F1279" s="7">
        <f>Pagbank!I95</f>
        <v>1073.28075609703</v>
      </c>
      <c r="G1279" s="7">
        <f>Pagbank!J95</f>
        <v>1478.7295387505144</v>
      </c>
    </row>
    <row r="1280" spans="2:19" x14ac:dyDescent="0.55000000000000004">
      <c r="B1280" t="s">
        <v>2487</v>
      </c>
    </row>
    <row r="1282" spans="2:9" x14ac:dyDescent="0.55000000000000004">
      <c r="C1282" s="8" t="str">
        <f t="shared" ref="C1282:I1282" si="64">D1248</f>
        <v>1Q 21</v>
      </c>
      <c r="D1282" s="8" t="str">
        <f t="shared" si="64"/>
        <v>2Q 21</v>
      </c>
      <c r="E1282" s="8" t="str">
        <f t="shared" si="64"/>
        <v>3Q 21</v>
      </c>
      <c r="F1282" s="8" t="str">
        <f t="shared" si="64"/>
        <v>4Q 21</v>
      </c>
      <c r="G1282" s="8" t="str">
        <f t="shared" si="64"/>
        <v>1Q 22</v>
      </c>
      <c r="H1282" s="8" t="str">
        <f t="shared" si="64"/>
        <v>2Q 22</v>
      </c>
      <c r="I1282" s="8" t="str">
        <f t="shared" si="64"/>
        <v>3Q 22</v>
      </c>
    </row>
    <row r="1283" spans="2:9" x14ac:dyDescent="0.55000000000000004">
      <c r="B1283" t="s">
        <v>2488</v>
      </c>
      <c r="C1283" s="2" t="e">
        <f>#REF!</f>
        <v>#REF!</v>
      </c>
      <c r="D1283" s="2" t="e">
        <f>#REF!</f>
        <v>#REF!</v>
      </c>
      <c r="E1283" s="2" t="e">
        <f>#REF!</f>
        <v>#REF!</v>
      </c>
      <c r="F1283" s="2" t="e">
        <f>#REF!</f>
        <v>#REF!</v>
      </c>
      <c r="G1283" s="2" t="e">
        <f>#REF!</f>
        <v>#REF!</v>
      </c>
      <c r="H1283" s="2" t="e">
        <f>#REF!</f>
        <v>#REF!</v>
      </c>
      <c r="I1283" s="2" t="e">
        <f>#REF!</f>
        <v>#REF!</v>
      </c>
    </row>
    <row r="1298" spans="18:19" x14ac:dyDescent="0.55000000000000004">
      <c r="S1298">
        <v>100</v>
      </c>
    </row>
    <row r="1303" spans="18:19" x14ac:dyDescent="0.55000000000000004">
      <c r="R1303">
        <v>100</v>
      </c>
      <c r="S1303">
        <v>100</v>
      </c>
    </row>
    <row r="1304" spans="18:19" x14ac:dyDescent="0.55000000000000004">
      <c r="R1304">
        <v>2.2999999999999998</v>
      </c>
      <c r="S1304" s="4">
        <f>S1303*(1+R1304/100)</f>
        <v>102.3</v>
      </c>
    </row>
    <row r="1305" spans="18:19" x14ac:dyDescent="0.55000000000000004">
      <c r="R1305">
        <v>2</v>
      </c>
      <c r="S1305" s="4">
        <f t="shared" ref="S1305:S1339" si="65">S1304*(1+R1305/100)</f>
        <v>104.346</v>
      </c>
    </row>
    <row r="1306" spans="18:19" x14ac:dyDescent="0.55000000000000004">
      <c r="R1306">
        <v>3.3</v>
      </c>
      <c r="S1306" s="4">
        <f t="shared" si="65"/>
        <v>107.789418</v>
      </c>
    </row>
    <row r="1307" spans="18:19" x14ac:dyDescent="0.55000000000000004">
      <c r="R1307">
        <v>1.5</v>
      </c>
      <c r="S1307" s="4">
        <f t="shared" si="65"/>
        <v>109.40625926999999</v>
      </c>
    </row>
    <row r="1308" spans="18:19" x14ac:dyDescent="0.55000000000000004">
      <c r="R1308">
        <v>1.5</v>
      </c>
      <c r="S1308" s="4">
        <f t="shared" si="65"/>
        <v>111.04735315904998</v>
      </c>
    </row>
    <row r="1309" spans="18:19" x14ac:dyDescent="0.55000000000000004">
      <c r="R1309">
        <v>2.2000000000000002</v>
      </c>
      <c r="S1309" s="4">
        <f t="shared" si="65"/>
        <v>113.49039492854908</v>
      </c>
    </row>
    <row r="1310" spans="18:19" x14ac:dyDescent="0.55000000000000004">
      <c r="R1310">
        <v>1.9</v>
      </c>
      <c r="S1310" s="4">
        <f t="shared" si="65"/>
        <v>115.64671243219151</v>
      </c>
    </row>
    <row r="1311" spans="18:19" x14ac:dyDescent="0.55000000000000004">
      <c r="R1311">
        <v>2.7</v>
      </c>
      <c r="S1311" s="4">
        <f t="shared" si="65"/>
        <v>118.76917366786067</v>
      </c>
    </row>
    <row r="1312" spans="18:19" x14ac:dyDescent="0.55000000000000004">
      <c r="R1312">
        <v>2.8</v>
      </c>
      <c r="S1312" s="4">
        <f t="shared" si="65"/>
        <v>122.09471053056077</v>
      </c>
    </row>
    <row r="1313" spans="17:21" x14ac:dyDescent="0.55000000000000004">
      <c r="R1313">
        <v>3.8</v>
      </c>
      <c r="S1313" s="4">
        <f t="shared" si="65"/>
        <v>126.73430953072209</v>
      </c>
    </row>
    <row r="1314" spans="17:21" x14ac:dyDescent="0.55000000000000004">
      <c r="R1314">
        <v>3.2</v>
      </c>
      <c r="S1314" s="4">
        <f t="shared" si="65"/>
        <v>130.7898074357052</v>
      </c>
    </row>
    <row r="1315" spans="17:21" x14ac:dyDescent="0.55000000000000004">
      <c r="R1315">
        <v>4</v>
      </c>
      <c r="S1315" s="4">
        <f t="shared" si="65"/>
        <v>136.02139973313342</v>
      </c>
      <c r="T1315" s="2">
        <f t="shared" ref="T1315:T1338" si="66">S1315/S1303-1</f>
        <v>0.3602139973313343</v>
      </c>
    </row>
    <row r="1316" spans="17:21" ht="15" x14ac:dyDescent="0.55000000000000004">
      <c r="Q1316" s="553">
        <v>44197</v>
      </c>
      <c r="R1316" s="551">
        <v>4</v>
      </c>
      <c r="S1316" s="4">
        <f t="shared" si="65"/>
        <v>141.46225572245876</v>
      </c>
      <c r="T1316" s="2">
        <f t="shared" si="66"/>
        <v>0.38281774899764187</v>
      </c>
    </row>
    <row r="1317" spans="17:21" ht="15" x14ac:dyDescent="0.55000000000000004">
      <c r="Q1317" s="553">
        <v>44228</v>
      </c>
      <c r="R1317" s="551">
        <v>3.6</v>
      </c>
      <c r="S1317" s="4">
        <f t="shared" si="65"/>
        <v>146.55489692846729</v>
      </c>
      <c r="T1317" s="2">
        <f t="shared" si="66"/>
        <v>0.40450900780544807</v>
      </c>
    </row>
    <row r="1318" spans="17:21" ht="15" x14ac:dyDescent="0.55000000000000004">
      <c r="Q1318" s="553">
        <v>44256</v>
      </c>
      <c r="R1318" s="551">
        <v>4.8</v>
      </c>
      <c r="S1318" s="4">
        <f t="shared" si="65"/>
        <v>153.58953198103373</v>
      </c>
      <c r="T1318" s="2">
        <f t="shared" si="66"/>
        <v>0.4249036206971053</v>
      </c>
      <c r="U1318" s="2">
        <f>AVERAGE(T1316:T1318)</f>
        <v>0.40407679250006506</v>
      </c>
    </row>
    <row r="1319" spans="17:21" ht="15" x14ac:dyDescent="0.55000000000000004">
      <c r="Q1319" s="553">
        <v>44287</v>
      </c>
      <c r="R1319" s="551">
        <v>4.0999999999999996</v>
      </c>
      <c r="S1319" s="4">
        <f t="shared" si="65"/>
        <v>159.8867027922561</v>
      </c>
      <c r="T1319" s="2">
        <f t="shared" si="66"/>
        <v>0.46140361492185877</v>
      </c>
    </row>
    <row r="1320" spans="17:21" ht="15" x14ac:dyDescent="0.55000000000000004">
      <c r="Q1320" s="553">
        <v>44317</v>
      </c>
      <c r="R1320" s="551">
        <v>3.3</v>
      </c>
      <c r="S1320" s="4">
        <f t="shared" si="65"/>
        <v>165.16296398440053</v>
      </c>
      <c r="T1320" s="2">
        <f t="shared" si="66"/>
        <v>0.48732013223081783</v>
      </c>
    </row>
    <row r="1321" spans="17:21" ht="15" x14ac:dyDescent="0.55000000000000004">
      <c r="Q1321" s="553">
        <v>44348</v>
      </c>
      <c r="R1321" s="551">
        <v>3.2</v>
      </c>
      <c r="S1321" s="4">
        <f t="shared" si="65"/>
        <v>170.44817883190134</v>
      </c>
      <c r="T1321" s="2">
        <f t="shared" si="66"/>
        <v>0.50187316679276317</v>
      </c>
      <c r="U1321" s="2">
        <f>AVERAGE(T1319:T1321)</f>
        <v>0.4835323046484799</v>
      </c>
    </row>
    <row r="1322" spans="17:21" ht="15" x14ac:dyDescent="0.55000000000000004">
      <c r="Q1322" s="553">
        <v>44378</v>
      </c>
      <c r="R1322" s="551">
        <v>3</v>
      </c>
      <c r="S1322" s="4">
        <f t="shared" si="65"/>
        <v>175.56162419685839</v>
      </c>
      <c r="T1322" s="2">
        <f t="shared" si="66"/>
        <v>0.51808573287197857</v>
      </c>
    </row>
    <row r="1323" spans="17:21" ht="15" x14ac:dyDescent="0.55000000000000004">
      <c r="Q1323" s="553">
        <v>44409</v>
      </c>
      <c r="R1323" s="551">
        <v>2.5</v>
      </c>
      <c r="S1323" s="4">
        <f t="shared" si="65"/>
        <v>179.95066480177982</v>
      </c>
      <c r="T1323" s="2">
        <f t="shared" si="66"/>
        <v>0.51512938285664833</v>
      </c>
    </row>
    <row r="1324" spans="17:21" ht="15" x14ac:dyDescent="0.55000000000000004">
      <c r="Q1324" s="553">
        <v>44440</v>
      </c>
      <c r="R1324" s="551">
        <v>3.5</v>
      </c>
      <c r="S1324" s="4">
        <f t="shared" si="65"/>
        <v>186.2489380698421</v>
      </c>
      <c r="T1324" s="2">
        <f t="shared" si="66"/>
        <v>0.52544641172824003</v>
      </c>
      <c r="U1324" s="2">
        <f>AVERAGE(T1322:T1324)</f>
        <v>0.51955384248562231</v>
      </c>
    </row>
    <row r="1325" spans="17:21" ht="15" x14ac:dyDescent="0.55000000000000004">
      <c r="Q1325" s="553">
        <v>44470</v>
      </c>
      <c r="R1325" s="551">
        <v>3.5</v>
      </c>
      <c r="S1325" s="4">
        <f t="shared" si="65"/>
        <v>192.76765090228656</v>
      </c>
      <c r="T1325" s="2">
        <f t="shared" si="66"/>
        <v>0.52103760707006574</v>
      </c>
    </row>
    <row r="1326" spans="17:21" ht="15" x14ac:dyDescent="0.55000000000000004">
      <c r="Q1326" s="553">
        <v>44501</v>
      </c>
      <c r="R1326" s="551">
        <v>2.5</v>
      </c>
      <c r="S1326" s="4">
        <f t="shared" si="65"/>
        <v>197.5868421748437</v>
      </c>
      <c r="T1326" s="2">
        <f t="shared" si="66"/>
        <v>0.51072049151823373</v>
      </c>
    </row>
    <row r="1327" spans="17:21" ht="15" x14ac:dyDescent="0.55000000000000004">
      <c r="Q1327" s="553">
        <v>44531</v>
      </c>
      <c r="R1327" s="551">
        <v>3.8</v>
      </c>
      <c r="S1327" s="4">
        <f t="shared" si="65"/>
        <v>205.09514217748776</v>
      </c>
      <c r="T1327" s="2">
        <f t="shared" si="66"/>
        <v>0.50781525980377551</v>
      </c>
      <c r="U1327" s="2">
        <f>AVERAGE(T1325:T1327)</f>
        <v>0.51319111946402496</v>
      </c>
    </row>
    <row r="1328" spans="17:21" ht="15" x14ac:dyDescent="0.55000000000000004">
      <c r="Q1328" s="553">
        <v>44562</v>
      </c>
      <c r="R1328" s="551">
        <v>3.9</v>
      </c>
      <c r="S1328" s="4">
        <f t="shared" si="65"/>
        <v>213.09385272240976</v>
      </c>
      <c r="T1328" s="2">
        <f t="shared" si="66"/>
        <v>0.50636543743857931</v>
      </c>
    </row>
    <row r="1329" spans="2:21" ht="15" x14ac:dyDescent="0.55000000000000004">
      <c r="Q1329" s="553">
        <v>44593</v>
      </c>
      <c r="R1329" s="551">
        <v>4.7</v>
      </c>
      <c r="S1329" s="4">
        <f t="shared" si="65"/>
        <v>223.10926380036301</v>
      </c>
      <c r="T1329" s="2">
        <f t="shared" si="66"/>
        <v>0.52235966505617015</v>
      </c>
    </row>
    <row r="1330" spans="2:21" ht="15" x14ac:dyDescent="0.55000000000000004">
      <c r="Q1330" s="553">
        <v>44621</v>
      </c>
      <c r="R1330" s="551">
        <v>6.7</v>
      </c>
      <c r="S1330" s="4">
        <f t="shared" si="65"/>
        <v>238.05758447498732</v>
      </c>
      <c r="T1330" s="2">
        <f t="shared" si="66"/>
        <v>0.54995969715165405</v>
      </c>
      <c r="U1330" s="2">
        <f>AVERAGE(T1328:T1330)</f>
        <v>0.52622826654880117</v>
      </c>
    </row>
    <row r="1331" spans="2:21" ht="15" x14ac:dyDescent="0.55000000000000004">
      <c r="Q1331" s="553">
        <v>44652</v>
      </c>
      <c r="R1331" s="551">
        <v>6</v>
      </c>
      <c r="S1331" s="4">
        <f t="shared" si="65"/>
        <v>252.34103954348657</v>
      </c>
      <c r="T1331" s="2">
        <f t="shared" si="66"/>
        <v>0.57824906722454705</v>
      </c>
    </row>
    <row r="1332" spans="2:21" ht="15" x14ac:dyDescent="0.55000000000000004">
      <c r="Q1332" s="553">
        <v>44682</v>
      </c>
      <c r="R1332" s="551">
        <v>5.0999999999999996</v>
      </c>
      <c r="S1332" s="4">
        <f t="shared" si="65"/>
        <v>265.21043256020437</v>
      </c>
      <c r="T1332" s="2">
        <f t="shared" si="66"/>
        <v>0.60575001902516834</v>
      </c>
    </row>
    <row r="1333" spans="2:21" ht="15" x14ac:dyDescent="0.55000000000000004">
      <c r="Q1333" s="553">
        <v>44713</v>
      </c>
      <c r="R1333" s="551">
        <v>5.3</v>
      </c>
      <c r="S1333" s="4">
        <f t="shared" si="65"/>
        <v>279.26658548589518</v>
      </c>
      <c r="T1333" s="2">
        <f t="shared" si="66"/>
        <v>0.63842516476114564</v>
      </c>
      <c r="U1333" s="2">
        <f>AVERAGE(T1331:T1333)</f>
        <v>0.60747475033695364</v>
      </c>
    </row>
    <row r="1334" spans="2:21" ht="15" x14ac:dyDescent="0.55000000000000004">
      <c r="Q1334" s="553">
        <v>44743</v>
      </c>
      <c r="R1334" s="551">
        <v>7.4</v>
      </c>
      <c r="S1334" s="4">
        <f t="shared" si="65"/>
        <v>299.93231281185143</v>
      </c>
      <c r="T1334" s="2">
        <f t="shared" si="66"/>
        <v>0.70841614267327224</v>
      </c>
    </row>
    <row r="1335" spans="2:21" ht="15" x14ac:dyDescent="0.55000000000000004">
      <c r="Q1335" s="553">
        <v>44774</v>
      </c>
      <c r="R1335" s="551">
        <v>7</v>
      </c>
      <c r="S1335" s="4">
        <f t="shared" si="65"/>
        <v>320.92757470868105</v>
      </c>
      <c r="T1335" s="2">
        <f t="shared" si="66"/>
        <v>0.78341977820526987</v>
      </c>
    </row>
    <row r="1336" spans="2:21" ht="15" x14ac:dyDescent="0.55000000000000004">
      <c r="Q1336" s="553">
        <v>44805</v>
      </c>
      <c r="R1336" s="551">
        <v>6.2</v>
      </c>
      <c r="S1336" s="4">
        <f t="shared" si="65"/>
        <v>340.8250843406193</v>
      </c>
      <c r="T1336" s="2">
        <f t="shared" si="66"/>
        <v>0.82994377241932082</v>
      </c>
      <c r="U1336" s="2">
        <f>AVERAGE(T1334:T1336)</f>
        <v>0.77392656443262098</v>
      </c>
    </row>
    <row r="1337" spans="2:21" ht="15" x14ac:dyDescent="0.55000000000000004">
      <c r="Q1337" s="553">
        <v>44835</v>
      </c>
      <c r="R1337" s="551">
        <v>6.3</v>
      </c>
      <c r="S1337" s="4">
        <f t="shared" si="65"/>
        <v>362.29706465407827</v>
      </c>
      <c r="T1337" s="2">
        <f t="shared" si="66"/>
        <v>0.87944949766351477</v>
      </c>
    </row>
    <row r="1338" spans="2:21" ht="15" x14ac:dyDescent="0.55000000000000004">
      <c r="Q1338" s="553">
        <v>44866</v>
      </c>
      <c r="R1338" s="551">
        <v>4.9000000000000004</v>
      </c>
      <c r="S1338" s="4">
        <f t="shared" si="65"/>
        <v>380.04962082212808</v>
      </c>
      <c r="T1338" s="2">
        <f t="shared" si="66"/>
        <v>0.92345612004783151</v>
      </c>
    </row>
    <row r="1339" spans="2:21" ht="15" x14ac:dyDescent="0.55000000000000004">
      <c r="Q1339" s="553">
        <v>44896</v>
      </c>
      <c r="R1339" s="552">
        <v>5.0999999999999996</v>
      </c>
      <c r="S1339" s="4">
        <f t="shared" si="65"/>
        <v>399.43215148405659</v>
      </c>
      <c r="T1339" s="2">
        <f>S1339/S1327-1</f>
        <v>0.94754564756288118</v>
      </c>
      <c r="U1339" s="2">
        <f>AVERAGE(T1337:T1339)</f>
        <v>0.91681708842474252</v>
      </c>
    </row>
    <row r="1340" spans="2:21" ht="15" x14ac:dyDescent="0.55000000000000004">
      <c r="Q1340" s="553">
        <v>44927</v>
      </c>
      <c r="R1340" s="551">
        <v>6</v>
      </c>
      <c r="S1340" s="4">
        <f>S1339*(1+R1340/100)</f>
        <v>423.3980805731</v>
      </c>
      <c r="T1340" s="2">
        <f>S1340/S1328-1</f>
        <v>0.98690893784086087</v>
      </c>
    </row>
    <row r="1341" spans="2:21" ht="15" x14ac:dyDescent="0.55000000000000004">
      <c r="Q1341" s="553">
        <v>44958</v>
      </c>
      <c r="R1341" s="551">
        <v>6.6</v>
      </c>
      <c r="S1341" s="4">
        <f>S1340*(1+R1341/100)</f>
        <v>451.34235389092464</v>
      </c>
      <c r="T1341" s="2">
        <f>S1341/S1329-1</f>
        <v>1.0229655470280399</v>
      </c>
    </row>
    <row r="1343" spans="2:21" x14ac:dyDescent="0.55000000000000004">
      <c r="C1343" s="8" t="str">
        <f>Quarts!W4</f>
        <v>1Q 22</v>
      </c>
      <c r="D1343" s="8" t="str">
        <f>Quarts!X4</f>
        <v>2Q 22</v>
      </c>
      <c r="E1343" s="8" t="str">
        <f>Quarts!Y4</f>
        <v>3Q 22</v>
      </c>
      <c r="F1343" s="8" t="str">
        <f>Quarts!Z4</f>
        <v>4Q 22</v>
      </c>
      <c r="G1343" s="8" t="e">
        <f>Quarts!#REF!</f>
        <v>#REF!</v>
      </c>
      <c r="H1343" s="8" t="e">
        <f>Quarts!#REF!</f>
        <v>#REF!</v>
      </c>
      <c r="I1343" s="8" t="e">
        <f>Quarts!#REF!</f>
        <v>#REF!</v>
      </c>
      <c r="J1343" s="8" t="e">
        <f>Quarts!#REF!</f>
        <v>#REF!</v>
      </c>
      <c r="K1343" s="8" t="str">
        <f>Quarts!AE4</f>
        <v>1Q 24E</v>
      </c>
      <c r="L1343" s="8" t="str">
        <f>Quarts!AF4</f>
        <v>2Q 24E</v>
      </c>
      <c r="M1343" s="8" t="str">
        <f>Quarts!AG4</f>
        <v>3Q 24E</v>
      </c>
      <c r="N1343" s="8" t="str">
        <f>Quarts!AH4</f>
        <v>4Q 24E</v>
      </c>
    </row>
    <row r="1344" spans="2:21" x14ac:dyDescent="0.55000000000000004">
      <c r="B1344" t="str">
        <f>Quarts!B239</f>
        <v>Working Capital</v>
      </c>
      <c r="C1344" s="4">
        <f>Quarts!W239</f>
        <v>1008.7420700399998</v>
      </c>
      <c r="D1344" s="4">
        <f>Quarts!X239</f>
        <v>918.60363681999991</v>
      </c>
      <c r="E1344" s="4">
        <f>Quarts!Y239</f>
        <v>813.28235339000003</v>
      </c>
      <c r="F1344" s="4">
        <f>Quarts!Z239</f>
        <v>743</v>
      </c>
      <c r="G1344" s="4" t="e">
        <f>Quarts!#REF!</f>
        <v>#REF!</v>
      </c>
      <c r="H1344" s="4" t="e">
        <f>Quarts!#REF!</f>
        <v>#REF!</v>
      </c>
      <c r="I1344" s="4" t="e">
        <f>Quarts!#REF!</f>
        <v>#REF!</v>
      </c>
      <c r="J1344" s="4" t="e">
        <f>Quarts!#REF!</f>
        <v>#REF!</v>
      </c>
      <c r="K1344" s="4">
        <f>Quarts!AE239</f>
        <v>0</v>
      </c>
      <c r="L1344" s="4">
        <f>Quarts!AF239</f>
        <v>0</v>
      </c>
      <c r="M1344" s="4">
        <f>Quarts!AG239</f>
        <v>0</v>
      </c>
      <c r="N1344" s="4">
        <f>Quarts!AH239</f>
        <v>0</v>
      </c>
    </row>
    <row r="1345" spans="2:14" x14ac:dyDescent="0.55000000000000004">
      <c r="B1345" t="str">
        <f>Quarts!B240</f>
        <v>Credit Cards</v>
      </c>
      <c r="C1345" s="4">
        <f>Quarts!W240</f>
        <v>852.44543726999996</v>
      </c>
      <c r="D1345" s="4">
        <f>Quarts!X240</f>
        <v>919.04727357000002</v>
      </c>
      <c r="E1345" s="4">
        <f>Quarts!Y240</f>
        <v>1014.1261052999999</v>
      </c>
      <c r="F1345" s="4">
        <f>Quarts!Z240</f>
        <v>1113</v>
      </c>
      <c r="G1345" s="4" t="e">
        <f>Quarts!#REF!</f>
        <v>#REF!</v>
      </c>
      <c r="H1345" s="4" t="e">
        <f>Quarts!#REF!</f>
        <v>#REF!</v>
      </c>
      <c r="I1345" s="4" t="e">
        <f>Quarts!#REF!</f>
        <v>#REF!</v>
      </c>
      <c r="J1345" s="4" t="e">
        <f>Quarts!#REF!</f>
        <v>#REF!</v>
      </c>
      <c r="K1345" s="4">
        <f>Quarts!AE240</f>
        <v>0</v>
      </c>
      <c r="L1345" s="4">
        <f>Quarts!AF240</f>
        <v>0</v>
      </c>
      <c r="M1345" s="4">
        <f>Quarts!AG240</f>
        <v>0</v>
      </c>
      <c r="N1345" s="4">
        <f>Quarts!AH240</f>
        <v>0</v>
      </c>
    </row>
    <row r="1346" spans="2:14" x14ac:dyDescent="0.55000000000000004">
      <c r="B1346" t="str">
        <f>Quarts!B241</f>
        <v>Others</v>
      </c>
      <c r="C1346" s="4">
        <f>Quarts!W241</f>
        <v>193.59793797</v>
      </c>
      <c r="D1346" s="4">
        <f>Quarts!X241</f>
        <v>437.36505529000004</v>
      </c>
      <c r="E1346" s="4">
        <f>Quarts!Y241</f>
        <v>825.85647173000007</v>
      </c>
      <c r="F1346" s="4">
        <f>Quarts!Z241</f>
        <v>865</v>
      </c>
      <c r="G1346" s="4" t="e">
        <f>Quarts!#REF!</f>
        <v>#REF!</v>
      </c>
      <c r="H1346" s="4" t="e">
        <f>Quarts!#REF!</f>
        <v>#REF!</v>
      </c>
      <c r="I1346" s="4" t="e">
        <f>Quarts!#REF!</f>
        <v>#REF!</v>
      </c>
      <c r="J1346" s="4" t="e">
        <f>Quarts!#REF!</f>
        <v>#REF!</v>
      </c>
      <c r="K1346" s="4">
        <f>Quarts!AE241</f>
        <v>0</v>
      </c>
      <c r="L1346" s="4">
        <f>Quarts!AF241</f>
        <v>0</v>
      </c>
      <c r="M1346" s="4">
        <f>Quarts!AG241</f>
        <v>0</v>
      </c>
      <c r="N1346" s="4">
        <f>Quarts!AH241</f>
        <v>0</v>
      </c>
    </row>
    <row r="1347" spans="2:14" x14ac:dyDescent="0.55000000000000004">
      <c r="G1347" s="4" t="e">
        <f>SUM(G1344:G1346)</f>
        <v>#REF!</v>
      </c>
      <c r="N1347" s="4">
        <f>SUM(N1344:N1346)</f>
        <v>0</v>
      </c>
    </row>
    <row r="1348" spans="2:14" x14ac:dyDescent="0.55000000000000004">
      <c r="N1348" s="2" t="e">
        <f>N1347/G1347-1</f>
        <v>#REF!</v>
      </c>
    </row>
    <row r="1365" spans="2:14" x14ac:dyDescent="0.55000000000000004">
      <c r="B1365" t="s">
        <v>392</v>
      </c>
    </row>
    <row r="1366" spans="2:14" x14ac:dyDescent="0.55000000000000004">
      <c r="C1366" s="8" t="str">
        <f>Quarts!W4</f>
        <v>1Q 22</v>
      </c>
      <c r="D1366" s="8" t="str">
        <f>Quarts!X4</f>
        <v>2Q 22</v>
      </c>
      <c r="E1366" s="8" t="str">
        <f>Quarts!Y4</f>
        <v>3Q 22</v>
      </c>
      <c r="F1366" s="8" t="str">
        <f>Quarts!Z4</f>
        <v>4Q 22</v>
      </c>
      <c r="G1366" s="8" t="str">
        <f>Quarts!AA4</f>
        <v>1Q 23</v>
      </c>
      <c r="H1366" s="8" t="e">
        <f>Quarts!#REF!</f>
        <v>#REF!</v>
      </c>
      <c r="I1366" s="8" t="e">
        <f>Quarts!#REF!</f>
        <v>#REF!</v>
      </c>
      <c r="J1366" s="8" t="e">
        <f>Quarts!#REF!</f>
        <v>#REF!</v>
      </c>
      <c r="K1366" s="8" t="str">
        <f>Quarts!AE4</f>
        <v>1Q 24E</v>
      </c>
      <c r="L1366" s="8" t="str">
        <f>Quarts!AF4</f>
        <v>2Q 24E</v>
      </c>
      <c r="M1366" s="8" t="str">
        <f>Quarts!AG4</f>
        <v>3Q 24E</v>
      </c>
      <c r="N1366" s="8" t="str">
        <f>Quarts!AH4</f>
        <v>4Q 24E</v>
      </c>
    </row>
    <row r="1367" spans="2:14" x14ac:dyDescent="0.55000000000000004">
      <c r="B1367" t="s">
        <v>2557</v>
      </c>
      <c r="C1367" s="4">
        <f>Quarts!W284</f>
        <v>149.65460412482645</v>
      </c>
      <c r="D1367" s="4">
        <f>Quarts!X284</f>
        <v>154.69311217091172</v>
      </c>
      <c r="E1367" s="4">
        <f>Quarts!Y284</f>
        <v>169.09455669361327</v>
      </c>
      <c r="F1367" s="4">
        <f>Quarts!Z284</f>
        <v>162.8070308402784</v>
      </c>
      <c r="G1367" s="4">
        <f>Quarts!AA284</f>
        <v>148.76876997009617</v>
      </c>
      <c r="H1367" s="4" t="e">
        <f>Quarts!#REF!</f>
        <v>#REF!</v>
      </c>
      <c r="I1367" s="4" t="e">
        <f>Quarts!#REF!</f>
        <v>#REF!</v>
      </c>
      <c r="J1367" s="4" t="e">
        <f>Quarts!#REF!</f>
        <v>#REF!</v>
      </c>
      <c r="K1367" s="4">
        <f>Quarts!AE284</f>
        <v>114.9238</v>
      </c>
      <c r="L1367" s="4">
        <f>Quarts!AF284</f>
        <v>113.5488</v>
      </c>
      <c r="M1367" s="4">
        <f>Quarts!AG284</f>
        <v>124.1738</v>
      </c>
      <c r="N1367" s="4">
        <f>Quarts!AH284</f>
        <v>126.23609999999999</v>
      </c>
    </row>
    <row r="1368" spans="2:14" x14ac:dyDescent="0.55000000000000004">
      <c r="B1368" t="s">
        <v>28</v>
      </c>
      <c r="C1368" s="4">
        <f>Quarts!W287</f>
        <v>127.4843078192323</v>
      </c>
      <c r="D1368" s="4">
        <f>Quarts!X287</f>
        <v>126.13935932000324</v>
      </c>
      <c r="E1368" s="4">
        <f>Quarts!Y287</f>
        <v>132.58151234774974</v>
      </c>
      <c r="F1368" s="4">
        <f>Quarts!Z287</f>
        <v>116.75208977700693</v>
      </c>
      <c r="G1368" s="4">
        <f>Quarts!AA287</f>
        <v>104.7941216301175</v>
      </c>
      <c r="H1368" s="4" t="e">
        <f>Quarts!#REF!</f>
        <v>#REF!</v>
      </c>
      <c r="I1368" s="4" t="e">
        <f>Quarts!#REF!</f>
        <v>#REF!</v>
      </c>
      <c r="J1368" s="4" t="e">
        <f>Quarts!#REF!</f>
        <v>#REF!</v>
      </c>
      <c r="K1368" s="4">
        <f>Quarts!AE287</f>
        <v>71</v>
      </c>
      <c r="L1368" s="4">
        <f>Quarts!AF287</f>
        <v>78</v>
      </c>
      <c r="M1368" s="4">
        <f>Quarts!AG287</f>
        <v>80</v>
      </c>
      <c r="N1368" s="4">
        <f>Quarts!AH287</f>
        <v>84.915634710311167</v>
      </c>
    </row>
    <row r="1369" spans="2:14" x14ac:dyDescent="0.55000000000000004">
      <c r="B1369" s="1" t="s">
        <v>5</v>
      </c>
      <c r="C1369" s="6">
        <f>C1370-C1367-C1368</f>
        <v>55.426874999999995</v>
      </c>
      <c r="D1369" s="6">
        <f t="shared" ref="D1369:N1369" si="67">D1370-D1367-D1368</f>
        <v>62.929999999999993</v>
      </c>
      <c r="E1369" s="6">
        <f t="shared" si="67"/>
        <v>74.089612499999816</v>
      </c>
      <c r="F1369" s="6">
        <f t="shared" si="67"/>
        <v>82.234281250000024</v>
      </c>
      <c r="G1369" s="6">
        <f t="shared" si="67"/>
        <v>77.034375000000011</v>
      </c>
      <c r="H1369" s="6" t="e">
        <f t="shared" si="67"/>
        <v>#REF!</v>
      </c>
      <c r="I1369" s="6" t="e">
        <f t="shared" si="67"/>
        <v>#REF!</v>
      </c>
      <c r="J1369" s="6" t="e">
        <f t="shared" si="67"/>
        <v>#REF!</v>
      </c>
      <c r="K1369" s="6">
        <f t="shared" si="67"/>
        <v>76.541129097294146</v>
      </c>
      <c r="L1369" s="6">
        <f t="shared" si="67"/>
        <v>60.36686798798803</v>
      </c>
      <c r="M1369" s="6">
        <f t="shared" ca="1" si="67"/>
        <v>61.100749176582923</v>
      </c>
      <c r="N1369" s="6">
        <f t="shared" ca="1" si="67"/>
        <v>82.473875124853663</v>
      </c>
    </row>
    <row r="1370" spans="2:14" x14ac:dyDescent="0.55000000000000004">
      <c r="B1370" t="s">
        <v>243</v>
      </c>
      <c r="C1370" s="4">
        <f>Quarts!W232</f>
        <v>332.56578694405874</v>
      </c>
      <c r="D1370" s="4">
        <f>Quarts!X232</f>
        <v>343.76247149091495</v>
      </c>
      <c r="E1370" s="4">
        <f>Quarts!Y232</f>
        <v>375.76568154136282</v>
      </c>
      <c r="F1370" s="4">
        <f>Quarts!Z232</f>
        <v>361.79340186728535</v>
      </c>
      <c r="G1370" s="4">
        <f>Quarts!AA232</f>
        <v>330.59726660021369</v>
      </c>
      <c r="H1370" s="4" t="e">
        <f>Quarts!#REF!</f>
        <v>#REF!</v>
      </c>
      <c r="I1370" s="4" t="e">
        <f>Quarts!#REF!</f>
        <v>#REF!</v>
      </c>
      <c r="J1370" s="4" t="e">
        <f>Quarts!#REF!</f>
        <v>#REF!</v>
      </c>
      <c r="K1370" s="4">
        <f>Quarts!AE232</f>
        <v>262.46492909729415</v>
      </c>
      <c r="L1370" s="4">
        <f>Quarts!AF232</f>
        <v>251.91566798798803</v>
      </c>
      <c r="M1370" s="4">
        <f ca="1">Quarts!AG232</f>
        <v>265.27454917658292</v>
      </c>
      <c r="N1370" s="4">
        <f ca="1">Quarts!AH232</f>
        <v>293.62560983516482</v>
      </c>
    </row>
    <row r="1371" spans="2:14" x14ac:dyDescent="0.55000000000000004">
      <c r="B1371" t="s">
        <v>1955</v>
      </c>
      <c r="C1371" s="2">
        <f>Quarts!W341</f>
        <v>-0.22965478997551786</v>
      </c>
      <c r="D1371" s="2">
        <f>Quarts!X341</f>
        <v>-0.19344858392060327</v>
      </c>
      <c r="E1371" s="2">
        <f>Quarts!Y341</f>
        <v>-0.16574030592814543</v>
      </c>
      <c r="F1371" s="2">
        <f>Quarts!Z341</f>
        <v>3.2102717340667199E-2</v>
      </c>
      <c r="G1371" s="2">
        <f>Quarts!AA341</f>
        <v>0.20836679719032455</v>
      </c>
      <c r="H1371" s="2" t="e">
        <f>Quarts!#REF!</f>
        <v>#REF!</v>
      </c>
      <c r="I1371" s="2" t="e">
        <f>Quarts!#REF!</f>
        <v>#REF!</v>
      </c>
      <c r="J1371" s="2" t="e">
        <f>Quarts!#REF!</f>
        <v>#REF!</v>
      </c>
      <c r="K1371" s="2">
        <f>Quarts!AE341</f>
        <v>0.10556781216734118</v>
      </c>
      <c r="L1371" s="2">
        <f>Quarts!AF341</f>
        <v>0.11837382339479853</v>
      </c>
      <c r="M1371" s="2">
        <f ca="1">Quarts!AG341</f>
        <v>0.18435898154038219</v>
      </c>
      <c r="N1371" s="2">
        <f ca="1">Quarts!AH341</f>
        <v>0.24149159080723293</v>
      </c>
    </row>
    <row r="1373" spans="2:14" x14ac:dyDescent="0.55000000000000004">
      <c r="C1373" s="8" t="str">
        <f>C1366</f>
        <v>1Q 22</v>
      </c>
      <c r="D1373" s="8" t="str">
        <f t="shared" ref="D1373:N1373" si="68">D1366</f>
        <v>2Q 22</v>
      </c>
      <c r="E1373" s="8" t="str">
        <f t="shared" si="68"/>
        <v>3Q 22</v>
      </c>
      <c r="F1373" s="8" t="str">
        <f t="shared" si="68"/>
        <v>4Q 22</v>
      </c>
      <c r="G1373" s="8" t="str">
        <f t="shared" si="68"/>
        <v>1Q 23</v>
      </c>
      <c r="H1373" s="8" t="e">
        <f t="shared" si="68"/>
        <v>#REF!</v>
      </c>
      <c r="I1373" s="8" t="e">
        <f t="shared" si="68"/>
        <v>#REF!</v>
      </c>
      <c r="J1373" s="8" t="e">
        <f t="shared" si="68"/>
        <v>#REF!</v>
      </c>
      <c r="K1373" s="8" t="str">
        <f t="shared" si="68"/>
        <v>1Q 24E</v>
      </c>
      <c r="L1373" s="8" t="str">
        <f t="shared" si="68"/>
        <v>2Q 24E</v>
      </c>
      <c r="M1373" s="8" t="str">
        <f t="shared" si="68"/>
        <v>3Q 24E</v>
      </c>
      <c r="N1373" s="8" t="str">
        <f t="shared" si="68"/>
        <v>4Q 24E</v>
      </c>
    </row>
    <row r="1374" spans="2:14" x14ac:dyDescent="0.55000000000000004">
      <c r="B1374" t="s">
        <v>2534</v>
      </c>
      <c r="C1374" s="560">
        <f>Quarts!W238</f>
        <v>2054.7854452799997</v>
      </c>
      <c r="D1374" s="560">
        <f>Quarts!X238</f>
        <v>2275.0159656799997</v>
      </c>
      <c r="E1374" s="560">
        <f>Quarts!Y238</f>
        <v>2653.2649304199999</v>
      </c>
      <c r="F1374" s="560">
        <f>Quarts!Z238</f>
        <v>2721</v>
      </c>
      <c r="G1374" s="560">
        <f>Quarts!AA238</f>
        <v>2717</v>
      </c>
      <c r="H1374" s="560" t="e">
        <f>Quarts!#REF!</f>
        <v>#REF!</v>
      </c>
      <c r="I1374" s="560" t="e">
        <f>Quarts!#REF!</f>
        <v>#REF!</v>
      </c>
      <c r="J1374" s="560" t="e">
        <f>Quarts!#REF!</f>
        <v>#REF!</v>
      </c>
      <c r="K1374" s="560">
        <f>Quarts!AE238</f>
        <v>2444.1400000000003</v>
      </c>
      <c r="L1374" s="560">
        <f>Quarts!AF238</f>
        <v>2369.1400000000003</v>
      </c>
      <c r="M1374" s="560">
        <f>Quarts!AG238</f>
        <v>2419.1400000000003</v>
      </c>
      <c r="N1374" s="560">
        <f>Quarts!AH238</f>
        <v>2723.25</v>
      </c>
    </row>
    <row r="1375" spans="2:14" x14ac:dyDescent="0.55000000000000004">
      <c r="B1375" t="s">
        <v>2556</v>
      </c>
      <c r="C1375" s="366">
        <f>Quarts!W285</f>
        <v>0.30219857864579014</v>
      </c>
      <c r="D1375" s="366">
        <f>Quarts!X285</f>
        <v>0.28582024437303388</v>
      </c>
      <c r="E1375" s="366">
        <f>Quarts!Y285</f>
        <v>0.2744885046263113</v>
      </c>
      <c r="F1375" s="366">
        <f>Quarts!Z285</f>
        <v>0.242350584421308</v>
      </c>
      <c r="G1375" s="366">
        <f>Quarts!AA285</f>
        <v>0.21885806542125219</v>
      </c>
      <c r="H1375" s="366" t="e">
        <f>Quarts!#REF!</f>
        <v>#REF!</v>
      </c>
      <c r="I1375" s="366" t="e">
        <f>Quarts!#REF!</f>
        <v>#REF!</v>
      </c>
      <c r="J1375" s="366" t="e">
        <f>Quarts!#REF!</f>
        <v>#REF!</v>
      </c>
      <c r="K1375" s="366">
        <f>Quarts!AE285</f>
        <v>0.18487120813007474</v>
      </c>
      <c r="L1375" s="366">
        <f>Quarts!AF285</f>
        <v>0.18872585845826545</v>
      </c>
      <c r="M1375" s="366">
        <f>Quarts!AG285</f>
        <v>0.20746288855288325</v>
      </c>
      <c r="N1375" s="366">
        <f>Quarts!AH285</f>
        <v>0.19638510498036904</v>
      </c>
    </row>
    <row r="1378" spans="2:12" x14ac:dyDescent="0.55000000000000004">
      <c r="B1378" s="18" t="s">
        <v>2807</v>
      </c>
    </row>
    <row r="1380" spans="2:12" x14ac:dyDescent="0.55000000000000004">
      <c r="B1380" s="20" t="s">
        <v>2726</v>
      </c>
      <c r="C1380" s="20">
        <v>2023</v>
      </c>
      <c r="D1380" s="20">
        <f t="shared" ref="D1380:J1380" si="69">C1380+1</f>
        <v>2024</v>
      </c>
      <c r="E1380" s="20">
        <f t="shared" si="69"/>
        <v>2025</v>
      </c>
      <c r="F1380" s="20">
        <f t="shared" si="69"/>
        <v>2026</v>
      </c>
      <c r="G1380" s="20">
        <f t="shared" si="69"/>
        <v>2027</v>
      </c>
      <c r="H1380" s="20">
        <f t="shared" si="69"/>
        <v>2028</v>
      </c>
      <c r="I1380" s="20">
        <f t="shared" si="69"/>
        <v>2029</v>
      </c>
      <c r="J1380" s="20">
        <f t="shared" si="69"/>
        <v>2030</v>
      </c>
    </row>
    <row r="1381" spans="2:12" x14ac:dyDescent="0.55000000000000004">
      <c r="B1381" s="412" t="s">
        <v>683</v>
      </c>
      <c r="C1381" s="429">
        <f>Acquirer!L7</f>
        <v>394.6</v>
      </c>
      <c r="D1381" s="429">
        <f>Acquirer!M7</f>
        <v>457.82619834710738</v>
      </c>
      <c r="E1381" s="429">
        <f>Acquirer!N7</f>
        <v>522.17537685950413</v>
      </c>
      <c r="F1381" s="429">
        <f>Acquirer!O7</f>
        <v>586.17561545454555</v>
      </c>
    </row>
    <row r="1382" spans="2:12" x14ac:dyDescent="0.55000000000000004">
      <c r="B1382" t="s">
        <v>2725</v>
      </c>
      <c r="C1382" s="7">
        <f>Master!K12</f>
        <v>15949</v>
      </c>
      <c r="D1382" s="7">
        <f>Master!L12</f>
        <v>17433.882583367609</v>
      </c>
      <c r="E1382" s="7">
        <f>Master!M12</f>
        <v>19159.259496036688</v>
      </c>
      <c r="F1382" s="7">
        <f>Master!N12</f>
        <v>20618.750366735352</v>
      </c>
      <c r="K1382" s="12">
        <f>(E1382/C1382)^(1/2)-1</f>
        <v>9.6030477427996974E-2</v>
      </c>
    </row>
    <row r="1383" spans="2:12" x14ac:dyDescent="0.55000000000000004">
      <c r="B1383" s="412" t="s">
        <v>679</v>
      </c>
      <c r="C1383" s="558">
        <f>Master!K33</f>
        <v>2.4643943233654333E-2</v>
      </c>
      <c r="D1383" s="558">
        <f>Master!L33</f>
        <v>2.2755086078811694E-2</v>
      </c>
      <c r="E1383" s="558">
        <f>Master!M33</f>
        <v>2.1736757007815924E-2</v>
      </c>
      <c r="F1383" s="558">
        <f>Master!N33</f>
        <v>2.0620059775920699E-2</v>
      </c>
    </row>
    <row r="1384" spans="2:12" x14ac:dyDescent="0.55000000000000004">
      <c r="B1384" t="s">
        <v>2934</v>
      </c>
      <c r="C1384" s="7">
        <f>Master!K103</f>
        <v>1740.6199999999994</v>
      </c>
      <c r="D1384" s="7">
        <f>Master!L103</f>
        <v>2167.4068836829047</v>
      </c>
      <c r="E1384" s="7">
        <f>Master!M103</f>
        <v>2717.7870420817958</v>
      </c>
      <c r="F1384" s="7">
        <f>Master!N103</f>
        <v>2864.6318855928389</v>
      </c>
      <c r="G1384" s="7">
        <f>Master!O94</f>
        <v>2885.737521541746</v>
      </c>
      <c r="H1384" s="7">
        <f>Master!P94</f>
        <v>3200.1241300930133</v>
      </c>
      <c r="I1384" s="7">
        <f>Master!Q94</f>
        <v>3324.061696101196</v>
      </c>
      <c r="J1384" s="7">
        <f>Master!R94</f>
        <v>3423.3736060768206</v>
      </c>
      <c r="K1384" s="12">
        <f>(E1384/C1384)^(1/2)-1</f>
        <v>0.24955600853859661</v>
      </c>
      <c r="L1384" s="12">
        <f>(J1384/C1384)^(1/7)-1</f>
        <v>0.10144884705151647</v>
      </c>
    </row>
    <row r="1385" spans="2:12" x14ac:dyDescent="0.55000000000000004">
      <c r="B1385" s="412" t="s">
        <v>477</v>
      </c>
      <c r="C1385" s="482">
        <f>C1384/C1382</f>
        <v>0.1091366229857671</v>
      </c>
      <c r="D1385" s="482">
        <f>D1384/D1382</f>
        <v>0.12432152581724217</v>
      </c>
      <c r="E1385" s="482">
        <f>E1384/E1382</f>
        <v>0.14185240523747805</v>
      </c>
      <c r="F1385" s="482">
        <f>F1384/F1382</f>
        <v>0.13893334148001557</v>
      </c>
    </row>
    <row r="1387" spans="2:12" x14ac:dyDescent="0.55000000000000004">
      <c r="B1387" s="580" t="s">
        <v>1826</v>
      </c>
      <c r="C1387" s="412"/>
      <c r="D1387" s="412"/>
      <c r="E1387" s="412"/>
      <c r="F1387" s="412"/>
    </row>
    <row r="1388" spans="2:12" x14ac:dyDescent="0.55000000000000004">
      <c r="B1388" t="str">
        <f>B1381</f>
        <v>TPV, BRL billion</v>
      </c>
      <c r="C1388" s="7">
        <v>388.86239080116479</v>
      </c>
      <c r="D1388" s="7">
        <v>443.65316807287394</v>
      </c>
      <c r="E1388" s="7">
        <v>504.87444390353187</v>
      </c>
      <c r="F1388" s="7">
        <v>565.03733526469068</v>
      </c>
    </row>
    <row r="1389" spans="2:12" x14ac:dyDescent="0.55000000000000004">
      <c r="B1389" s="412" t="str">
        <f>B1382</f>
        <v>Revenue (Gross)</v>
      </c>
      <c r="C1389" s="413">
        <v>16118.312897430462</v>
      </c>
      <c r="D1389" s="413">
        <v>17714.070848750904</v>
      </c>
      <c r="E1389" s="413">
        <v>18743.681460657033</v>
      </c>
      <c r="F1389" s="413">
        <v>19819.025975339377</v>
      </c>
    </row>
    <row r="1390" spans="2:12" x14ac:dyDescent="0.55000000000000004">
      <c r="B1390" t="str">
        <f>B1383</f>
        <v>Take-rate</v>
      </c>
      <c r="C1390" s="11">
        <v>2.5492971411944388E-2</v>
      </c>
      <c r="D1390" s="11">
        <v>2.4201385885432868E-2</v>
      </c>
      <c r="E1390" s="11">
        <v>2.1923483500470988E-2</v>
      </c>
      <c r="F1390" s="11">
        <v>2.0347389544547085E-2</v>
      </c>
    </row>
    <row r="1391" spans="2:12" x14ac:dyDescent="0.55000000000000004">
      <c r="B1391" s="412" t="str">
        <f>B1384</f>
        <v>Net profit (non GAAP)</v>
      </c>
      <c r="C1391" s="413">
        <v>1604.5803686600234</v>
      </c>
      <c r="D1391" s="413">
        <v>1756.2395195721031</v>
      </c>
      <c r="E1391" s="413">
        <v>2071.2863874080049</v>
      </c>
      <c r="F1391" s="413">
        <v>2201.099782104382</v>
      </c>
    </row>
    <row r="1392" spans="2:12" x14ac:dyDescent="0.55000000000000004">
      <c r="B1392" t="s">
        <v>477</v>
      </c>
      <c r="C1392" s="12">
        <v>9.9550143918339079E-2</v>
      </c>
      <c r="D1392" s="12">
        <v>9.9143756089015711E-2</v>
      </c>
      <c r="E1392" s="12">
        <v>0.11050584655717889</v>
      </c>
      <c r="F1392" s="12">
        <v>0.11105993729677681</v>
      </c>
    </row>
    <row r="1393" spans="2:7" x14ac:dyDescent="0.55000000000000004">
      <c r="B1393" s="412"/>
      <c r="C1393" s="412"/>
      <c r="D1393" s="412"/>
      <c r="E1393" s="412"/>
      <c r="F1393" s="412"/>
    </row>
    <row r="1394" spans="2:7" x14ac:dyDescent="0.55000000000000004">
      <c r="B1394" t="s">
        <v>7</v>
      </c>
    </row>
    <row r="1395" spans="2:7" x14ac:dyDescent="0.55000000000000004">
      <c r="B1395" s="412" t="str">
        <f>B1388</f>
        <v>TPV, BRL billion</v>
      </c>
      <c r="C1395" s="482">
        <f t="shared" ref="C1395:F1396" si="70">C1381/C1388-1</f>
        <v>1.4754857591175563E-2</v>
      </c>
      <c r="D1395" s="482">
        <f t="shared" si="70"/>
        <v>3.1946194221485591E-2</v>
      </c>
      <c r="E1395" s="482">
        <f t="shared" si="70"/>
        <v>3.4267793042180639E-2</v>
      </c>
      <c r="F1395" s="482">
        <f t="shared" si="70"/>
        <v>3.7410413207390469E-2</v>
      </c>
    </row>
    <row r="1396" spans="2:7" x14ac:dyDescent="0.55000000000000004">
      <c r="B1396" t="str">
        <f>B1389</f>
        <v>Revenue (Gross)</v>
      </c>
      <c r="C1396" s="12">
        <f t="shared" si="70"/>
        <v>-1.0504380855979822E-2</v>
      </c>
      <c r="D1396" s="12">
        <f t="shared" si="70"/>
        <v>-1.5817271353131823E-2</v>
      </c>
      <c r="E1396" s="12">
        <f t="shared" si="70"/>
        <v>2.2171633478297759E-2</v>
      </c>
      <c r="F1396" s="12">
        <f t="shared" si="70"/>
        <v>4.0351346851811298E-2</v>
      </c>
    </row>
    <row r="1397" spans="2:7" x14ac:dyDescent="0.55000000000000004">
      <c r="B1397" s="412" t="str">
        <f>B1390</f>
        <v>Take-rate</v>
      </c>
      <c r="C1397" s="559">
        <f>(C1383-C1390)*10000</f>
        <v>-8.4902817829005457</v>
      </c>
      <c r="D1397" s="559">
        <f>(D1383-D1390)*10000</f>
        <v>-14.462998066211743</v>
      </c>
      <c r="E1397" s="559">
        <f>(E1383-E1390)*10000</f>
        <v>-1.8672649265506422</v>
      </c>
      <c r="F1397" s="559">
        <f>(F1383-F1390)*10000</f>
        <v>2.7267023137361388</v>
      </c>
    </row>
    <row r="1398" spans="2:7" x14ac:dyDescent="0.55000000000000004">
      <c r="B1398" t="str">
        <f>B1391</f>
        <v>Net profit (non GAAP)</v>
      </c>
      <c r="C1398" s="12">
        <f>C1384/C1391-1</f>
        <v>8.4782061401874165E-2</v>
      </c>
      <c r="D1398" s="12">
        <f>D1384/D1391-1</f>
        <v>0.23411804570425554</v>
      </c>
      <c r="E1398" s="12">
        <f>E1384/E1391-1</f>
        <v>0.31212518877354167</v>
      </c>
      <c r="F1398" s="12">
        <f>F1384/F1391-1</f>
        <v>0.30145480404076941</v>
      </c>
    </row>
    <row r="1400" spans="2:7" x14ac:dyDescent="0.55000000000000004">
      <c r="B1400" t="s">
        <v>1767</v>
      </c>
      <c r="C1400" s="4">
        <f>Master!K26</f>
        <v>10175</v>
      </c>
      <c r="D1400" s="4">
        <f>Master!L26</f>
        <v>10835.624552523543</v>
      </c>
      <c r="E1400" s="4">
        <f>Master!M26</f>
        <v>11751.109282259747</v>
      </c>
      <c r="F1400" s="4">
        <f>Master!N26</f>
        <v>12470.115122716978</v>
      </c>
      <c r="G1400" s="12">
        <f>(E1400/C1400)^(1/2)-1</f>
        <v>7.4662819288293436E-2</v>
      </c>
    </row>
    <row r="1401" spans="2:7" x14ac:dyDescent="0.55000000000000004">
      <c r="B1401" t="s">
        <v>2728</v>
      </c>
      <c r="C1401" s="4">
        <f>Master!K86-Master!K22-Master!K29</f>
        <v>7964.6</v>
      </c>
      <c r="D1401" s="4">
        <f>Master!L86-Master!L22-Master!L29</f>
        <v>8085.5359479199124</v>
      </c>
      <c r="E1401" s="4">
        <f>Master!M86-Master!M22-Master!M29</f>
        <v>8324.7214796575026</v>
      </c>
      <c r="F1401" s="4">
        <f>Master!N86-Master!N22-Master!N29</f>
        <v>8873.3206728687856</v>
      </c>
      <c r="G1401" s="12">
        <f>(E1401/C1401)^(1/2)-1</f>
        <v>2.2357697918748309E-2</v>
      </c>
    </row>
    <row r="1402" spans="2:7" x14ac:dyDescent="0.55000000000000004">
      <c r="B1402" s="10" t="s">
        <v>2729</v>
      </c>
      <c r="C1402" s="4">
        <f>- Master!K62</f>
        <v>-3270</v>
      </c>
      <c r="D1402" s="4">
        <f>- Master!L62</f>
        <v>-2814.6109517699424</v>
      </c>
      <c r="E1402" s="4">
        <f>- Master!M62</f>
        <v>-2682.7958329098233</v>
      </c>
      <c r="F1402" s="4">
        <f>- Master!N62</f>
        <v>-2870.2753146387149</v>
      </c>
      <c r="G1402" s="12">
        <f>(E1402/C1402)^(1/2)-1</f>
        <v>-9.4225822725624742E-2</v>
      </c>
    </row>
    <row r="1403" spans="2:7" x14ac:dyDescent="0.55000000000000004">
      <c r="B1403" s="10" t="s">
        <v>2730</v>
      </c>
      <c r="C1403" s="4">
        <f>-Master!K72</f>
        <v>-1355</v>
      </c>
      <c r="D1403" s="4">
        <f>-Master!L72</f>
        <v>-1773.5470645841904</v>
      </c>
      <c r="E1403" s="4">
        <f>-Master!M72</f>
        <v>-1841.6814874009174</v>
      </c>
      <c r="F1403" s="4">
        <f>-Master!N72</f>
        <v>-1909.438759168384</v>
      </c>
      <c r="G1403" s="12">
        <f>(E1403/C1403)^(1/2)-1</f>
        <v>0.16583640766926289</v>
      </c>
    </row>
    <row r="1404" spans="2:7" x14ac:dyDescent="0.55000000000000004">
      <c r="B1404" t="s">
        <v>2731</v>
      </c>
      <c r="C1404" s="4">
        <f>SUM(C1401:C1403)</f>
        <v>3339.6000000000004</v>
      </c>
      <c r="D1404" s="4">
        <f>SUM(D1401:D1403)</f>
        <v>3497.3779315657794</v>
      </c>
      <c r="E1404" s="4">
        <f>SUM(E1401:E1403)</f>
        <v>3800.2441593467615</v>
      </c>
      <c r="F1404" s="4">
        <f>SUM(F1401:F1403)</f>
        <v>4093.6065990616867</v>
      </c>
      <c r="G1404" s="12">
        <f>(E1404/C1404)^(1/2)-1</f>
        <v>6.6739861452568938E-2</v>
      </c>
    </row>
    <row r="1407" spans="2:7" x14ac:dyDescent="0.55000000000000004">
      <c r="B1407" s="561" t="s">
        <v>2732</v>
      </c>
      <c r="C1407" s="561"/>
      <c r="D1407" s="561">
        <v>2023</v>
      </c>
      <c r="E1407" s="561">
        <v>2024</v>
      </c>
      <c r="F1407" s="561">
        <v>2025</v>
      </c>
    </row>
    <row r="1408" spans="2:7" x14ac:dyDescent="0.55000000000000004">
      <c r="B1408" s="562" t="s">
        <v>2733</v>
      </c>
      <c r="C1408" s="562"/>
      <c r="D1408" s="563">
        <f t="shared" ref="D1408:F1409" si="71">C1381</f>
        <v>394.6</v>
      </c>
      <c r="E1408" s="563">
        <f t="shared" si="71"/>
        <v>457.82619834710738</v>
      </c>
      <c r="F1408" s="563">
        <f t="shared" si="71"/>
        <v>522.17537685950413</v>
      </c>
    </row>
    <row r="1409" spans="2:6" x14ac:dyDescent="0.55000000000000004">
      <c r="B1409" s="564" t="s">
        <v>294</v>
      </c>
      <c r="C1409" s="564"/>
      <c r="D1409" s="565">
        <f t="shared" si="71"/>
        <v>15949</v>
      </c>
      <c r="E1409" s="565">
        <f t="shared" si="71"/>
        <v>17433.882583367609</v>
      </c>
      <c r="F1409" s="565">
        <f t="shared" si="71"/>
        <v>19159.259496036688</v>
      </c>
    </row>
    <row r="1410" spans="2:6" x14ac:dyDescent="0.55000000000000004">
      <c r="B1410" s="562" t="s">
        <v>807</v>
      </c>
      <c r="C1410" s="562"/>
      <c r="D1410" s="566">
        <f>C1384</f>
        <v>1740.6199999999994</v>
      </c>
      <c r="E1410" s="566">
        <f>D1384</f>
        <v>2167.4068836829047</v>
      </c>
      <c r="F1410" s="566">
        <f>E1384</f>
        <v>2717.7870420817958</v>
      </c>
    </row>
    <row r="1411" spans="2:6" x14ac:dyDescent="0.55000000000000004">
      <c r="B1411" s="564"/>
      <c r="C1411" s="564"/>
      <c r="D1411" s="564"/>
      <c r="E1411" s="564"/>
      <c r="F1411" s="564"/>
    </row>
    <row r="1412" spans="2:6" x14ac:dyDescent="0.55000000000000004">
      <c r="B1412" s="567" t="s">
        <v>2734</v>
      </c>
      <c r="C1412" s="562"/>
      <c r="D1412" s="562"/>
      <c r="E1412" s="562"/>
      <c r="F1412" s="562"/>
    </row>
    <row r="1413" spans="2:6" x14ac:dyDescent="0.55000000000000004">
      <c r="B1413" s="564" t="str">
        <f>B1408</f>
        <v>TPV (BRL bn)</v>
      </c>
      <c r="C1413" s="564"/>
      <c r="D1413" s="565">
        <v>383</v>
      </c>
      <c r="E1413" s="565">
        <v>426</v>
      </c>
      <c r="F1413" s="565">
        <v>469</v>
      </c>
    </row>
    <row r="1414" spans="2:6" x14ac:dyDescent="0.55000000000000004">
      <c r="B1414" s="562" t="str">
        <f>B1409</f>
        <v>Revenue</v>
      </c>
      <c r="C1414" s="562"/>
      <c r="D1414" s="566">
        <v>15760</v>
      </c>
      <c r="E1414" s="566">
        <v>16948</v>
      </c>
      <c r="F1414" s="566">
        <v>18752</v>
      </c>
    </row>
    <row r="1415" spans="2:6" x14ac:dyDescent="0.55000000000000004">
      <c r="B1415" s="564" t="str">
        <f>B1410</f>
        <v>Net income (GAAP)</v>
      </c>
      <c r="C1415" s="564"/>
      <c r="D1415" s="565">
        <v>1675</v>
      </c>
      <c r="E1415" s="565">
        <v>1905</v>
      </c>
      <c r="F1415" s="565">
        <v>2191</v>
      </c>
    </row>
    <row r="1416" spans="2:6" x14ac:dyDescent="0.55000000000000004">
      <c r="B1416" s="562"/>
      <c r="C1416" s="562"/>
      <c r="D1416" s="562"/>
      <c r="E1416" s="562"/>
      <c r="F1416" s="562"/>
    </row>
    <row r="1417" spans="2:6" x14ac:dyDescent="0.55000000000000004">
      <c r="B1417" s="568" t="s">
        <v>1712</v>
      </c>
      <c r="C1417" s="564"/>
      <c r="D1417" s="564"/>
      <c r="E1417" s="564"/>
      <c r="F1417" s="564"/>
    </row>
    <row r="1418" spans="2:6" x14ac:dyDescent="0.55000000000000004">
      <c r="B1418" s="562" t="str">
        <f>B1413</f>
        <v>TPV (BRL bn)</v>
      </c>
      <c r="C1418" s="562"/>
      <c r="D1418" s="569">
        <f t="shared" ref="D1418:F1420" si="72">D1408/D1413-1</f>
        <v>3.0287206266318645E-2</v>
      </c>
      <c r="E1418" s="569">
        <f t="shared" si="72"/>
        <v>7.4709385791331906E-2</v>
      </c>
      <c r="F1418" s="569">
        <f t="shared" si="72"/>
        <v>0.11338033445523266</v>
      </c>
    </row>
    <row r="1419" spans="2:6" x14ac:dyDescent="0.55000000000000004">
      <c r="B1419" s="564" t="str">
        <f>B1414</f>
        <v>Revenue</v>
      </c>
      <c r="C1419" s="564"/>
      <c r="D1419" s="570">
        <f t="shared" si="72"/>
        <v>1.1992385786802062E-2</v>
      </c>
      <c r="E1419" s="570">
        <f t="shared" si="72"/>
        <v>2.8669021912179016E-2</v>
      </c>
      <c r="F1419" s="570">
        <f t="shared" si="72"/>
        <v>2.1718189848372926E-2</v>
      </c>
    </row>
    <row r="1420" spans="2:6" x14ac:dyDescent="0.55000000000000004">
      <c r="B1420" s="562" t="str">
        <f>B1415</f>
        <v>Net income (GAAP)</v>
      </c>
      <c r="C1420" s="562"/>
      <c r="D1420" s="569">
        <f t="shared" si="72"/>
        <v>3.917611940298471E-2</v>
      </c>
      <c r="E1420" s="569">
        <f t="shared" si="72"/>
        <v>0.13774639563407076</v>
      </c>
      <c r="F1420" s="569">
        <f t="shared" si="72"/>
        <v>0.24043224193600898</v>
      </c>
    </row>
    <row r="1426" spans="2:5" x14ac:dyDescent="0.55000000000000004">
      <c r="B1426" s="1"/>
      <c r="C1426" s="1">
        <v>2023</v>
      </c>
      <c r="D1426" s="1">
        <f>C1426+1</f>
        <v>2024</v>
      </c>
    </row>
    <row r="1427" spans="2:5" x14ac:dyDescent="0.55000000000000004">
      <c r="B1427" t="s">
        <v>396</v>
      </c>
      <c r="C1427" s="4">
        <f>Master!K72</f>
        <v>1355</v>
      </c>
      <c r="D1427" s="4">
        <f>Master!L72</f>
        <v>1773.5470645841904</v>
      </c>
      <c r="E1427" s="4">
        <f>C1427-D1427</f>
        <v>-418.54706458419037</v>
      </c>
    </row>
    <row r="1428" spans="2:5" x14ac:dyDescent="0.55000000000000004">
      <c r="B1428" t="s">
        <v>2886</v>
      </c>
      <c r="C1428" s="4">
        <f>Master!K62</f>
        <v>3270</v>
      </c>
      <c r="D1428" s="4">
        <f>Master!L62</f>
        <v>2814.6109517699424</v>
      </c>
      <c r="E1428" s="4">
        <f>C1428-D1428</f>
        <v>455.3890482300576</v>
      </c>
    </row>
    <row r="1434" spans="2:5" x14ac:dyDescent="0.55000000000000004">
      <c r="B1434" s="1"/>
      <c r="C1434" s="1">
        <v>2023</v>
      </c>
      <c r="D1434" s="1">
        <f>C1434+1</f>
        <v>2024</v>
      </c>
    </row>
    <row r="1435" spans="2:5" x14ac:dyDescent="0.55000000000000004">
      <c r="B1435" t="s">
        <v>1092</v>
      </c>
      <c r="C1435" s="7">
        <f>Master!K103</f>
        <v>1740.6199999999994</v>
      </c>
      <c r="D1435" s="7">
        <f>Master!L103</f>
        <v>2167.4068836829047</v>
      </c>
    </row>
    <row r="1454" spans="2:8" x14ac:dyDescent="0.55000000000000004">
      <c r="B1454" s="20"/>
      <c r="C1454" s="20">
        <v>2018</v>
      </c>
      <c r="D1454" s="20">
        <f>C1454+1</f>
        <v>2019</v>
      </c>
      <c r="E1454" s="20">
        <f>D1454+1</f>
        <v>2020</v>
      </c>
      <c r="F1454" s="20">
        <f>E1454+1</f>
        <v>2021</v>
      </c>
      <c r="G1454" s="20">
        <f>F1454+1</f>
        <v>2022</v>
      </c>
      <c r="H1454" s="20">
        <f>G1454+1</f>
        <v>2023</v>
      </c>
    </row>
    <row r="1455" spans="2:8" x14ac:dyDescent="0.55000000000000004">
      <c r="B1455" t="s">
        <v>462</v>
      </c>
      <c r="C1455" s="4">
        <f>Acquirer!G7</f>
        <v>75.7</v>
      </c>
      <c r="D1455" s="4">
        <f>Acquirer!H7</f>
        <v>115.8</v>
      </c>
      <c r="E1455" s="4">
        <f>Acquirer!I7</f>
        <v>161.54383102003447</v>
      </c>
      <c r="F1455" s="4">
        <f>Acquirer!J7</f>
        <v>253</v>
      </c>
      <c r="G1455" s="4">
        <f>Acquirer!K7</f>
        <v>354</v>
      </c>
      <c r="H1455" s="4">
        <f>Acquirer!L7</f>
        <v>394.6</v>
      </c>
    </row>
    <row r="1456" spans="2:8" x14ac:dyDescent="0.55000000000000004">
      <c r="B1456" t="s">
        <v>2887</v>
      </c>
      <c r="C1456" s="2">
        <v>0.13500000000000001</v>
      </c>
      <c r="D1456" s="5">
        <v>0.17</v>
      </c>
      <c r="E1456" s="5">
        <v>0.22</v>
      </c>
      <c r="F1456" s="5">
        <v>0.32</v>
      </c>
      <c r="G1456" s="5">
        <v>0.35</v>
      </c>
      <c r="H1456" s="2">
        <v>0.31</v>
      </c>
    </row>
    <row r="1457" spans="2:8" x14ac:dyDescent="0.55000000000000004">
      <c r="B1457" t="s">
        <v>2888</v>
      </c>
      <c r="C1457" s="4">
        <f t="shared" ref="C1457:H1457" si="73">C1455*C1456</f>
        <v>10.219500000000002</v>
      </c>
      <c r="D1457" s="4">
        <f t="shared" si="73"/>
        <v>19.686</v>
      </c>
      <c r="E1457" s="4">
        <f t="shared" si="73"/>
        <v>35.539642824407586</v>
      </c>
      <c r="F1457" s="4">
        <f t="shared" si="73"/>
        <v>80.960000000000008</v>
      </c>
      <c r="G1457" s="4">
        <f t="shared" si="73"/>
        <v>123.89999999999999</v>
      </c>
      <c r="H1457" s="4">
        <f t="shared" si="73"/>
        <v>122.32600000000001</v>
      </c>
    </row>
    <row r="1459" spans="2:8" x14ac:dyDescent="0.55000000000000004">
      <c r="B1459" t="s">
        <v>892</v>
      </c>
      <c r="C1459" s="2">
        <v>0</v>
      </c>
      <c r="D1459" s="2">
        <v>0.02</v>
      </c>
      <c r="E1459" s="2">
        <v>0.05</v>
      </c>
      <c r="F1459" s="2">
        <f>AVERAGE(Quarts!S177:V177)</f>
        <v>0.14874999999999999</v>
      </c>
      <c r="G1459" s="2">
        <f>AVERAGE(Quarts!W177:Z177)</f>
        <v>0.29250000000000004</v>
      </c>
      <c r="H1459" s="2">
        <v>0.36</v>
      </c>
    </row>
    <row r="1460" spans="2:8" x14ac:dyDescent="0.55000000000000004">
      <c r="B1460" t="s">
        <v>1106</v>
      </c>
      <c r="C1460" s="4">
        <f t="shared" ref="C1460:H1460" si="74">C1459*C1455</f>
        <v>0</v>
      </c>
      <c r="D1460" s="4">
        <f t="shared" si="74"/>
        <v>2.3159999999999998</v>
      </c>
      <c r="E1460" s="4">
        <f t="shared" si="74"/>
        <v>8.0771915510017234</v>
      </c>
      <c r="F1460" s="4">
        <f t="shared" si="74"/>
        <v>37.633749999999999</v>
      </c>
      <c r="G1460" s="4">
        <f t="shared" si="74"/>
        <v>103.54500000000002</v>
      </c>
      <c r="H1460" s="4">
        <f t="shared" si="74"/>
        <v>142.05600000000001</v>
      </c>
    </row>
    <row r="1462" spans="2:8" x14ac:dyDescent="0.55000000000000004">
      <c r="B1462" t="s">
        <v>2889</v>
      </c>
      <c r="C1462" s="4">
        <f t="shared" ref="C1462:H1462" si="75">C1455-C1457-C1460</f>
        <v>65.480500000000006</v>
      </c>
      <c r="D1462" s="4">
        <f t="shared" si="75"/>
        <v>93.798000000000002</v>
      </c>
      <c r="E1462" s="4">
        <f t="shared" si="75"/>
        <v>117.92699664462516</v>
      </c>
      <c r="F1462" s="4">
        <f t="shared" si="75"/>
        <v>134.40625</v>
      </c>
      <c r="G1462" s="4">
        <f t="shared" si="75"/>
        <v>126.55500000000001</v>
      </c>
      <c r="H1462" s="4">
        <f t="shared" si="75"/>
        <v>130.21799999999999</v>
      </c>
    </row>
    <row r="1465" spans="2:8" x14ac:dyDescent="0.55000000000000004">
      <c r="B1465" t="s">
        <v>2889</v>
      </c>
      <c r="C1465" s="4">
        <f t="shared" ref="C1465:H1465" si="76">C1462</f>
        <v>65.480500000000006</v>
      </c>
      <c r="D1465" s="4">
        <f t="shared" si="76"/>
        <v>93.798000000000002</v>
      </c>
      <c r="E1465" s="4">
        <f t="shared" si="76"/>
        <v>117.92699664462516</v>
      </c>
      <c r="F1465" s="4">
        <f t="shared" si="76"/>
        <v>134.40625</v>
      </c>
      <c r="G1465" s="4">
        <f t="shared" si="76"/>
        <v>126.55500000000001</v>
      </c>
      <c r="H1465" s="4">
        <f t="shared" si="76"/>
        <v>130.21799999999999</v>
      </c>
    </row>
    <row r="1466" spans="2:8" x14ac:dyDescent="0.55000000000000004">
      <c r="B1466" t="s">
        <v>1570</v>
      </c>
      <c r="C1466" s="4">
        <f t="shared" ref="C1466:H1466" si="77">C1460</f>
        <v>0</v>
      </c>
      <c r="D1466" s="4">
        <f t="shared" si="77"/>
        <v>2.3159999999999998</v>
      </c>
      <c r="E1466" s="4">
        <f t="shared" si="77"/>
        <v>8.0771915510017234</v>
      </c>
      <c r="F1466" s="4">
        <f t="shared" si="77"/>
        <v>37.633749999999999</v>
      </c>
      <c r="G1466" s="4">
        <f t="shared" si="77"/>
        <v>103.54500000000002</v>
      </c>
      <c r="H1466" s="4">
        <f t="shared" si="77"/>
        <v>142.05600000000001</v>
      </c>
    </row>
    <row r="1467" spans="2:8" x14ac:dyDescent="0.55000000000000004">
      <c r="B1467" s="1" t="s">
        <v>2888</v>
      </c>
      <c r="C1467" s="6">
        <f t="shared" ref="C1467:H1467" si="78">C1457</f>
        <v>10.219500000000002</v>
      </c>
      <c r="D1467" s="6">
        <f t="shared" si="78"/>
        <v>19.686</v>
      </c>
      <c r="E1467" s="6">
        <f t="shared" si="78"/>
        <v>35.539642824407586</v>
      </c>
      <c r="F1467" s="6">
        <f t="shared" si="78"/>
        <v>80.960000000000008</v>
      </c>
      <c r="G1467" s="6">
        <f t="shared" si="78"/>
        <v>123.89999999999999</v>
      </c>
      <c r="H1467" s="6">
        <f t="shared" si="78"/>
        <v>122.32600000000001</v>
      </c>
    </row>
    <row r="1468" spans="2:8" x14ac:dyDescent="0.55000000000000004">
      <c r="C1468" s="4">
        <f t="shared" ref="C1468:H1468" si="79">SUM(C1465:C1467)</f>
        <v>75.7</v>
      </c>
      <c r="D1468" s="4">
        <f t="shared" si="79"/>
        <v>115.80000000000001</v>
      </c>
      <c r="E1468" s="4">
        <f t="shared" si="79"/>
        <v>161.54383102003447</v>
      </c>
      <c r="F1468" s="4">
        <f t="shared" si="79"/>
        <v>253</v>
      </c>
      <c r="G1468" s="4">
        <f t="shared" si="79"/>
        <v>354</v>
      </c>
      <c r="H1468" s="4">
        <f t="shared" si="79"/>
        <v>394.6</v>
      </c>
    </row>
    <row r="1476" spans="2:6" x14ac:dyDescent="0.55000000000000004">
      <c r="B1476" s="20" t="s">
        <v>2856</v>
      </c>
      <c r="C1476" s="20">
        <v>2023</v>
      </c>
      <c r="D1476" s="20">
        <f>C1476+1</f>
        <v>2024</v>
      </c>
      <c r="F1476" s="20">
        <f>D1476</f>
        <v>2024</v>
      </c>
    </row>
    <row r="1477" spans="2:6" x14ac:dyDescent="0.55000000000000004">
      <c r="B1477" s="412" t="s">
        <v>2923</v>
      </c>
      <c r="C1477" s="413">
        <f>C1479*C$1495</f>
        <v>300000</v>
      </c>
      <c r="D1477" s="413">
        <f>(1+D1478)*C1477</f>
        <v>336000.00000000006</v>
      </c>
    </row>
    <row r="1478" spans="2:6" x14ac:dyDescent="0.55000000000000004">
      <c r="B1478" t="s">
        <v>273</v>
      </c>
      <c r="D1478" s="5">
        <v>0.12</v>
      </c>
    </row>
    <row r="1479" spans="2:6" ht="14.7" thickBot="1" x14ac:dyDescent="0.6">
      <c r="B1479" s="412" t="s">
        <v>2916</v>
      </c>
      <c r="C1479" s="414">
        <v>0.3</v>
      </c>
      <c r="D1479" s="414">
        <f>D1477/D1495</f>
        <v>0.29840142095914746</v>
      </c>
    </row>
    <row r="1480" spans="2:6" ht="14.7" thickBot="1" x14ac:dyDescent="0.6">
      <c r="B1480" t="s">
        <v>2917</v>
      </c>
      <c r="C1480" s="586">
        <v>1.4E-2</v>
      </c>
      <c r="D1480" s="11">
        <f>C1480*0.9</f>
        <v>1.26E-2</v>
      </c>
    </row>
    <row r="1481" spans="2:6" x14ac:dyDescent="0.55000000000000004">
      <c r="B1481" s="412" t="s">
        <v>1061</v>
      </c>
      <c r="C1481" s="412">
        <f>C1480*C1477</f>
        <v>4200</v>
      </c>
      <c r="D1481" s="429">
        <f>D1480*D1477</f>
        <v>4233.6000000000004</v>
      </c>
    </row>
    <row r="1483" spans="2:6" x14ac:dyDescent="0.55000000000000004">
      <c r="B1483" s="412" t="s">
        <v>1570</v>
      </c>
      <c r="C1483" s="413">
        <f>C1485*C$1495</f>
        <v>500000</v>
      </c>
      <c r="D1483" s="413">
        <f>(1+D1484)*C1483</f>
        <v>590000</v>
      </c>
    </row>
    <row r="1484" spans="2:6" x14ac:dyDescent="0.55000000000000004">
      <c r="B1484" t="s">
        <v>273</v>
      </c>
      <c r="D1484" s="5">
        <v>0.18</v>
      </c>
    </row>
    <row r="1485" spans="2:6" ht="14.7" thickBot="1" x14ac:dyDescent="0.6">
      <c r="B1485" s="412" t="s">
        <v>2916</v>
      </c>
      <c r="C1485" s="414">
        <v>0.5</v>
      </c>
      <c r="D1485" s="414">
        <f>D1483/D1495</f>
        <v>0.5239786856127886</v>
      </c>
    </row>
    <row r="1486" spans="2:6" ht="14.7" thickBot="1" x14ac:dyDescent="0.6">
      <c r="B1486" t="s">
        <v>2917</v>
      </c>
      <c r="C1486" s="586">
        <v>2.3E-2</v>
      </c>
      <c r="D1486" s="11">
        <f>C1486</f>
        <v>2.3E-2</v>
      </c>
    </row>
    <row r="1487" spans="2:6" x14ac:dyDescent="0.55000000000000004">
      <c r="B1487" s="412" t="s">
        <v>1061</v>
      </c>
      <c r="C1487" s="412">
        <f>C1486*C1483</f>
        <v>11500</v>
      </c>
      <c r="D1487" s="412">
        <f>D1486*D1483</f>
        <v>13570</v>
      </c>
    </row>
    <row r="1489" spans="2:6" x14ac:dyDescent="0.55000000000000004">
      <c r="B1489" s="412" t="s">
        <v>2889</v>
      </c>
      <c r="C1489" s="413">
        <f>C1491*C$1495</f>
        <v>200000</v>
      </c>
      <c r="D1489" s="413">
        <f>(1+D1490)*C1489</f>
        <v>200000</v>
      </c>
    </row>
    <row r="1490" spans="2:6" x14ac:dyDescent="0.55000000000000004">
      <c r="B1490" t="s">
        <v>273</v>
      </c>
      <c r="D1490" s="5">
        <v>0</v>
      </c>
    </row>
    <row r="1491" spans="2:6" ht="14.7" thickBot="1" x14ac:dyDescent="0.6">
      <c r="B1491" s="412" t="s">
        <v>2916</v>
      </c>
      <c r="C1491" s="414">
        <v>0.2</v>
      </c>
      <c r="D1491" s="414">
        <f>D1489/D1495</f>
        <v>0.17761989342806395</v>
      </c>
    </row>
    <row r="1492" spans="2:6" ht="14.7" thickBot="1" x14ac:dyDescent="0.6">
      <c r="B1492" t="s">
        <v>2917</v>
      </c>
      <c r="C1492" s="586">
        <v>3.5000000000000003E-2</v>
      </c>
      <c r="D1492" s="11">
        <f>C1492</f>
        <v>3.5000000000000003E-2</v>
      </c>
    </row>
    <row r="1493" spans="2:6" x14ac:dyDescent="0.55000000000000004">
      <c r="B1493" s="412" t="s">
        <v>1061</v>
      </c>
      <c r="C1493" s="412">
        <f>C1492*C1489</f>
        <v>7000.0000000000009</v>
      </c>
      <c r="D1493" s="412">
        <f>D1492*D1489</f>
        <v>7000.0000000000009</v>
      </c>
    </row>
    <row r="1494" spans="2:6" ht="14.7" thickBot="1" x14ac:dyDescent="0.6"/>
    <row r="1495" spans="2:6" ht="14.7" thickBot="1" x14ac:dyDescent="0.6">
      <c r="B1495" s="412" t="s">
        <v>1166</v>
      </c>
      <c r="C1495" s="585">
        <v>1000000</v>
      </c>
      <c r="D1495" s="413">
        <f>D1477+D1483+D1489</f>
        <v>1126000</v>
      </c>
    </row>
    <row r="1496" spans="2:6" x14ac:dyDescent="0.55000000000000004">
      <c r="B1496" t="s">
        <v>7</v>
      </c>
      <c r="D1496" s="2">
        <f>D1495/C1495-1</f>
        <v>0.12599999999999989</v>
      </c>
      <c r="F1496" s="2">
        <f>Acquirer!M84</f>
        <v>0.16022858172100185</v>
      </c>
    </row>
    <row r="1497" spans="2:6" x14ac:dyDescent="0.55000000000000004">
      <c r="B1497" s="412" t="s">
        <v>2931</v>
      </c>
      <c r="C1497" s="413">
        <f>C1481+C1487+C1493</f>
        <v>22700</v>
      </c>
      <c r="D1497" s="413">
        <f>D1481+D1487+D1493</f>
        <v>24803.599999999999</v>
      </c>
    </row>
    <row r="1498" spans="2:6" x14ac:dyDescent="0.55000000000000004">
      <c r="B1498" t="s">
        <v>7</v>
      </c>
      <c r="D1498" s="2">
        <f>D1497/C1497-1</f>
        <v>9.2669603524228927E-2</v>
      </c>
      <c r="F1498" s="2">
        <f>Master!L35</f>
        <v>7.8453464455970234E-2</v>
      </c>
    </row>
    <row r="1499" spans="2:6" x14ac:dyDescent="0.55000000000000004">
      <c r="B1499" s="415" t="s">
        <v>2918</v>
      </c>
      <c r="C1499" s="587">
        <f>C1497/C1495</f>
        <v>2.2700000000000001E-2</v>
      </c>
      <c r="D1499" s="587">
        <f>D1497/D1495</f>
        <v>2.2028063943161633E-2</v>
      </c>
      <c r="F1499" s="11">
        <f>Master!K36-Master!L36</f>
        <v>1.5476742340203575E-3</v>
      </c>
    </row>
    <row r="1501" spans="2:6" x14ac:dyDescent="0.55000000000000004">
      <c r="B1501" t="s">
        <v>2924</v>
      </c>
      <c r="C1501">
        <f>C1483+C1489</f>
        <v>700000</v>
      </c>
      <c r="D1501">
        <f>D1483+D1489</f>
        <v>790000</v>
      </c>
      <c r="E1501">
        <f>E1483+E1489</f>
        <v>0</v>
      </c>
    </row>
    <row r="1502" spans="2:6" x14ac:dyDescent="0.55000000000000004">
      <c r="B1502" t="s">
        <v>7</v>
      </c>
      <c r="D1502" s="2">
        <f>D1501/C1501-1</f>
        <v>0.12857142857142856</v>
      </c>
      <c r="E1502" s="2">
        <f>E1501/D1501-1</f>
        <v>-1</v>
      </c>
    </row>
    <row r="1503" spans="2:6" x14ac:dyDescent="0.55000000000000004">
      <c r="D1503" s="2"/>
      <c r="E1503" s="2"/>
    </row>
    <row r="1504" spans="2:6" x14ac:dyDescent="0.55000000000000004">
      <c r="B1504" t="s">
        <v>256</v>
      </c>
    </row>
    <row r="1505" spans="2:7" x14ac:dyDescent="0.55000000000000004">
      <c r="B1505" t="s">
        <v>2925</v>
      </c>
      <c r="C1505" s="11"/>
    </row>
    <row r="1506" spans="2:7" x14ac:dyDescent="0.55000000000000004">
      <c r="B1506" t="s">
        <v>2926</v>
      </c>
    </row>
    <row r="1507" spans="2:7" x14ac:dyDescent="0.55000000000000004">
      <c r="E1507" s="18" t="s">
        <v>1643</v>
      </c>
      <c r="G1507" s="18" t="s">
        <v>3359</v>
      </c>
    </row>
    <row r="1508" spans="2:7" x14ac:dyDescent="0.55000000000000004">
      <c r="B1508" s="20" t="s">
        <v>2856</v>
      </c>
      <c r="C1508" s="20">
        <v>2023</v>
      </c>
      <c r="D1508" s="20">
        <f>C1508+1</f>
        <v>2024</v>
      </c>
      <c r="E1508" s="20">
        <f>D1508+1</f>
        <v>2025</v>
      </c>
      <c r="G1508" s="20">
        <v>2025</v>
      </c>
    </row>
    <row r="1509" spans="2:7" x14ac:dyDescent="0.55000000000000004">
      <c r="B1509" s="412" t="s">
        <v>2923</v>
      </c>
      <c r="C1509" s="413">
        <f>C1511*C1527</f>
        <v>118.38</v>
      </c>
      <c r="D1509" s="413">
        <f>(1+D1510)*C1509</f>
        <v>130.21800000000002</v>
      </c>
      <c r="E1509" s="413">
        <f>(1+E1510)*D1509</f>
        <v>143.23980000000003</v>
      </c>
      <c r="G1509" s="413">
        <f ca="1">G1511*G1527</f>
        <v>148.5206252271704</v>
      </c>
    </row>
    <row r="1510" spans="2:7" x14ac:dyDescent="0.55000000000000004">
      <c r="B1510" t="s">
        <v>273</v>
      </c>
      <c r="D1510" s="674">
        <v>0.1</v>
      </c>
      <c r="E1510" s="674">
        <v>0.1</v>
      </c>
      <c r="G1510" s="2">
        <f ca="1">G1509/D1509-1</f>
        <v>0.14055372703597335</v>
      </c>
    </row>
    <row r="1511" spans="2:7" ht="14.7" thickBot="1" x14ac:dyDescent="0.6">
      <c r="B1511" s="412" t="s">
        <v>2916</v>
      </c>
      <c r="C1511" s="414">
        <v>0.3</v>
      </c>
      <c r="D1511" s="414">
        <f>D1509/D1527</f>
        <v>0.28442671142483072</v>
      </c>
      <c r="E1511" s="414">
        <f>E1509/E1527</f>
        <v>0.27431358571804115</v>
      </c>
      <c r="G1511" s="414">
        <f>D1511</f>
        <v>0.28442671142483072</v>
      </c>
    </row>
    <row r="1512" spans="2:7" ht="14.7" thickBot="1" x14ac:dyDescent="0.6">
      <c r="B1512" t="s">
        <v>2917</v>
      </c>
      <c r="C1512" s="586">
        <v>1.4999999999999999E-2</v>
      </c>
      <c r="D1512" s="11">
        <f>C1512</f>
        <v>1.4999999999999999E-2</v>
      </c>
      <c r="E1512" s="11">
        <f>D1512</f>
        <v>1.4999999999999999E-2</v>
      </c>
      <c r="G1512" s="11">
        <f>D1512</f>
        <v>1.4999999999999999E-2</v>
      </c>
    </row>
    <row r="1513" spans="2:7" x14ac:dyDescent="0.55000000000000004">
      <c r="B1513" s="412" t="s">
        <v>1061</v>
      </c>
      <c r="C1513" s="413">
        <f>C1512*C1509*1000</f>
        <v>1775.6999999999998</v>
      </c>
      <c r="D1513" s="413">
        <f>D1512*D1509*1000</f>
        <v>1953.2700000000002</v>
      </c>
      <c r="E1513" s="413">
        <f>E1512*E1509*1000</f>
        <v>2148.5970000000007</v>
      </c>
      <c r="G1513" s="413">
        <f ca="1">G1512*G1509*1000</f>
        <v>2227.8093784075563</v>
      </c>
    </row>
    <row r="1515" spans="2:7" x14ac:dyDescent="0.55000000000000004">
      <c r="B1515" s="412" t="s">
        <v>1570</v>
      </c>
      <c r="C1515" s="413">
        <f>C1527*C1517</f>
        <v>197.3</v>
      </c>
      <c r="D1515" s="413">
        <f>(1+D1516)*C1515</f>
        <v>246.625</v>
      </c>
      <c r="E1515" s="413">
        <f>(1+E1516)*D1515</f>
        <v>283.61874999999998</v>
      </c>
      <c r="G1515" s="413">
        <f ca="1">G1517*G1527</f>
        <v>281.28906293024693</v>
      </c>
    </row>
    <row r="1516" spans="2:7" x14ac:dyDescent="0.55000000000000004">
      <c r="B1516" t="s">
        <v>273</v>
      </c>
      <c r="D1516" s="674">
        <v>0.25</v>
      </c>
      <c r="E1516" s="674">
        <v>0.15</v>
      </c>
      <c r="G1516" s="2">
        <f ca="1">G1515/D1515-1</f>
        <v>0.14055372703597335</v>
      </c>
    </row>
    <row r="1517" spans="2:7" ht="14.7" thickBot="1" x14ac:dyDescent="0.6">
      <c r="B1517" s="412" t="s">
        <v>2916</v>
      </c>
      <c r="C1517" s="414">
        <v>0.5</v>
      </c>
      <c r="D1517" s="414">
        <f>D1515/D1527</f>
        <v>0.53868695345611872</v>
      </c>
      <c r="E1517" s="414">
        <f>E1515/E1527</f>
        <v>0.5431484565698127</v>
      </c>
      <c r="G1517" s="414">
        <f>D1517</f>
        <v>0.53868695345611872</v>
      </c>
    </row>
    <row r="1518" spans="2:7" ht="14.7" thickBot="1" x14ac:dyDescent="0.6">
      <c r="B1518" t="s">
        <v>2917</v>
      </c>
      <c r="C1518" s="586">
        <v>2.5000000000000001E-2</v>
      </c>
      <c r="D1518" s="676">
        <v>2.2499999999999999E-2</v>
      </c>
      <c r="E1518" s="676">
        <v>2.0500000000000001E-2</v>
      </c>
      <c r="G1518" s="11">
        <f>D1518</f>
        <v>2.2499999999999999E-2</v>
      </c>
    </row>
    <row r="1519" spans="2:7" x14ac:dyDescent="0.55000000000000004">
      <c r="B1519" s="412" t="s">
        <v>1061</v>
      </c>
      <c r="C1519" s="413">
        <f>C1518*C1515*1000</f>
        <v>4932.5000000000009</v>
      </c>
      <c r="D1519" s="413">
        <f>D1518*D1515*1000</f>
        <v>5549.0625</v>
      </c>
      <c r="E1519" s="413">
        <f>E1518*E1515*1000</f>
        <v>5814.1843749999998</v>
      </c>
      <c r="G1519" s="413">
        <f ca="1">G1518*G1515*1000</f>
        <v>6329.0039159305552</v>
      </c>
    </row>
    <row r="1521" spans="2:7" x14ac:dyDescent="0.55000000000000004">
      <c r="B1521" s="412" t="s">
        <v>2889</v>
      </c>
      <c r="C1521" s="413">
        <f>C1523*C1527</f>
        <v>78.920000000000016</v>
      </c>
      <c r="D1521" s="413">
        <f>D1527-D1509-D1515</f>
        <v>80.983198347107361</v>
      </c>
      <c r="E1521" s="413">
        <f>E1527-E1509-E1515</f>
        <v>95.31682685950409</v>
      </c>
      <c r="G1521" s="413">
        <f ca="1">G1523*G1527</f>
        <v>92.365688702086771</v>
      </c>
    </row>
    <row r="1522" spans="2:7" x14ac:dyDescent="0.55000000000000004">
      <c r="B1522" t="s">
        <v>273</v>
      </c>
      <c r="D1522" s="2">
        <f>D1521/C1521-1</f>
        <v>2.6142908605009341E-2</v>
      </c>
      <c r="E1522" s="2">
        <f>E1521/D1521-1</f>
        <v>0.17699509040085615</v>
      </c>
      <c r="G1522" s="2">
        <f ca="1">G1521/D1521-1</f>
        <v>0.14055372703597335</v>
      </c>
    </row>
    <row r="1523" spans="2:7" ht="14.7" thickBot="1" x14ac:dyDescent="0.6">
      <c r="B1523" s="412" t="s">
        <v>2916</v>
      </c>
      <c r="C1523" s="414">
        <v>0.2</v>
      </c>
      <c r="D1523" s="414">
        <f>D1521/D1527</f>
        <v>0.17688633511905058</v>
      </c>
      <c r="E1523" s="414">
        <f>E1521/E1527</f>
        <v>0.18253795771214604</v>
      </c>
      <c r="G1523" s="414">
        <f>D1523</f>
        <v>0.17688633511905058</v>
      </c>
    </row>
    <row r="1524" spans="2:7" ht="14.7" thickBot="1" x14ac:dyDescent="0.6">
      <c r="B1524" t="s">
        <v>2917</v>
      </c>
      <c r="C1524" s="675">
        <f>C1525/C1521/1000</f>
        <v>3.8219716168271654E-2</v>
      </c>
      <c r="D1524" s="12">
        <f>D1525/(D1521*1000)</f>
        <v>3.6001814105032622E-2</v>
      </c>
      <c r="E1524" s="12">
        <f>E1525/(E1521*1000)</f>
        <v>3.5540607245067642E-2</v>
      </c>
      <c r="G1524" s="12">
        <f>D1524</f>
        <v>3.6001814105032622E-2</v>
      </c>
    </row>
    <row r="1525" spans="2:7" x14ac:dyDescent="0.55000000000000004">
      <c r="B1525" s="412" t="s">
        <v>1061</v>
      </c>
      <c r="C1525" s="413">
        <f>C1529-C1513-C1519</f>
        <v>3016.2999999999993</v>
      </c>
      <c r="D1525" s="413">
        <f>D1529-D1513-D1519</f>
        <v>2915.542052523544</v>
      </c>
      <c r="E1525" s="413">
        <f>E1529-E1513-E1519</f>
        <v>3387.6179072597488</v>
      </c>
      <c r="G1525" s="413">
        <f ca="1">G1524*G1521*1000</f>
        <v>3325.3323543358397</v>
      </c>
    </row>
    <row r="1527" spans="2:7" x14ac:dyDescent="0.55000000000000004">
      <c r="B1527" s="412" t="s">
        <v>1166</v>
      </c>
      <c r="C1527" s="413">
        <f>Acquirer!L7</f>
        <v>394.6</v>
      </c>
      <c r="D1527" s="413">
        <f>Acquirer!M7</f>
        <v>457.82619834710738</v>
      </c>
      <c r="E1527" s="413">
        <f>Acquirer!N7</f>
        <v>522.17537685950413</v>
      </c>
      <c r="G1527" s="413">
        <f ca="1">G1509+G1515+G1521</f>
        <v>522.17537685950413</v>
      </c>
    </row>
    <row r="1528" spans="2:7" x14ac:dyDescent="0.55000000000000004">
      <c r="B1528" t="s">
        <v>7</v>
      </c>
      <c r="D1528" s="2">
        <f>D1527/C1527-1</f>
        <v>0.16022858172100185</v>
      </c>
      <c r="E1528" s="2">
        <f>E1527/D1527-1</f>
        <v>0.14055372703597335</v>
      </c>
      <c r="G1528" s="2">
        <f ca="1">G1527/D1527-1</f>
        <v>0.14055372703597335</v>
      </c>
    </row>
    <row r="1529" spans="2:7" x14ac:dyDescent="0.55000000000000004">
      <c r="B1529" s="412" t="s">
        <v>1033</v>
      </c>
      <c r="C1529" s="413">
        <f>Master!K32</f>
        <v>9724.5</v>
      </c>
      <c r="D1529" s="413">
        <f>Master!L32</f>
        <v>10417.874552523544</v>
      </c>
      <c r="E1529" s="413">
        <f>Master!M32</f>
        <v>11350.399282259748</v>
      </c>
      <c r="G1529" s="413">
        <f ca="1">G1513+G1519+G1525</f>
        <v>11882.145648673952</v>
      </c>
    </row>
    <row r="1530" spans="2:7" x14ac:dyDescent="0.55000000000000004">
      <c r="B1530" s="20" t="s">
        <v>2918</v>
      </c>
      <c r="C1530" s="584">
        <f>C1529/C1527/1000</f>
        <v>2.4643943233654333E-2</v>
      </c>
      <c r="D1530" s="584">
        <f>D1529/D1527/1000</f>
        <v>2.2755086078811694E-2</v>
      </c>
      <c r="E1530" s="584">
        <f>E1529/E1527/1000</f>
        <v>2.1736757007815924E-2</v>
      </c>
      <c r="G1530" s="584">
        <f ca="1">G1529/G1527/1000</f>
        <v>2.2755086078811694E-2</v>
      </c>
    </row>
    <row r="1531" spans="2:7" x14ac:dyDescent="0.55000000000000004">
      <c r="B1531" s="18" t="s">
        <v>3360</v>
      </c>
      <c r="G1531" s="41">
        <f ca="1">G1529/D1529-1</f>
        <v>0.14055372703597335</v>
      </c>
    </row>
    <row r="1537" spans="2:14" x14ac:dyDescent="0.55000000000000004">
      <c r="I1537" t="s">
        <v>1076</v>
      </c>
    </row>
    <row r="1538" spans="2:14" x14ac:dyDescent="0.55000000000000004">
      <c r="B1538" s="1"/>
      <c r="C1538" s="234" t="str">
        <f>Quarts!W4</f>
        <v>1Q 22</v>
      </c>
      <c r="D1538" s="234" t="str">
        <f>Quarts!X4</f>
        <v>2Q 22</v>
      </c>
      <c r="E1538" s="234" t="str">
        <f>Quarts!Y4</f>
        <v>3Q 22</v>
      </c>
      <c r="F1538" s="234" t="str">
        <f>Quarts!Z4</f>
        <v>4Q 22</v>
      </c>
      <c r="G1538" s="234" t="str">
        <f>Quarts!AA4</f>
        <v>1Q 23</v>
      </c>
      <c r="H1538" s="234" t="str">
        <f>Quarts!AB4</f>
        <v>2Q 23</v>
      </c>
      <c r="I1538" s="234" t="str">
        <f>Quarts!AC4</f>
        <v>3Q 23</v>
      </c>
      <c r="J1538" s="234" t="e">
        <f>Quarts!#REF!</f>
        <v>#REF!</v>
      </c>
      <c r="K1538" s="234" t="str">
        <f>Quarts!AE4</f>
        <v>1Q 24E</v>
      </c>
      <c r="L1538" s="234" t="str">
        <f>Quarts!AF4</f>
        <v>2Q 24E</v>
      </c>
      <c r="M1538" s="234" t="str">
        <f>Quarts!AG4</f>
        <v>3Q 24E</v>
      </c>
      <c r="N1538" s="234" t="str">
        <f>Quarts!AH4</f>
        <v>4Q 24E</v>
      </c>
    </row>
    <row r="1539" spans="2:14" x14ac:dyDescent="0.55000000000000004">
      <c r="B1539" t="s">
        <v>462</v>
      </c>
      <c r="C1539" s="8">
        <f>Quarts!W159</f>
        <v>80100</v>
      </c>
      <c r="D1539" s="8">
        <f>Quarts!X159</f>
        <v>89200</v>
      </c>
      <c r="E1539" s="8">
        <f>Quarts!Y159</f>
        <v>90300</v>
      </c>
      <c r="F1539" s="8">
        <f>Quarts!Z159</f>
        <v>94300</v>
      </c>
      <c r="G1539" s="8">
        <f>Quarts!AA159</f>
        <v>88100</v>
      </c>
      <c r="H1539" s="8">
        <f>Quarts!AB159</f>
        <v>92700</v>
      </c>
      <c r="I1539" s="8">
        <f>Quarts!AC159</f>
        <v>99836</v>
      </c>
      <c r="J1539" s="8" t="e">
        <f>Quarts!#REF!</f>
        <v>#REF!</v>
      </c>
      <c r="K1539" s="8">
        <f>Quarts!AE159</f>
        <v>104000</v>
      </c>
      <c r="L1539" s="8">
        <f>Quarts!AF159</f>
        <v>107000</v>
      </c>
      <c r="M1539" s="8">
        <f>Quarts!AG159</f>
        <v>116000</v>
      </c>
      <c r="N1539" s="8">
        <f>Quarts!AH159</f>
        <v>130826.19834710739</v>
      </c>
    </row>
    <row r="1540" spans="2:14" x14ac:dyDescent="0.55000000000000004">
      <c r="B1540" t="s">
        <v>2921</v>
      </c>
      <c r="C1540" s="4">
        <f>Quarts!W9-Quarts!W8</f>
        <v>3385</v>
      </c>
      <c r="D1540" s="4">
        <f>Quarts!X9-Quarts!X8</f>
        <v>3865.7889999999998</v>
      </c>
      <c r="E1540" s="4">
        <f>Quarts!Y9-Quarts!Y8</f>
        <v>3989</v>
      </c>
      <c r="F1540" s="4">
        <f>Quarts!Z9-Quarts!Z8</f>
        <v>3919</v>
      </c>
      <c r="G1540" s="4">
        <f>Quarts!AA9-Quarts!AA8</f>
        <v>3685</v>
      </c>
      <c r="H1540" s="4">
        <f>Quarts!AB9-Quarts!AB8</f>
        <v>3761</v>
      </c>
      <c r="I1540" s="4">
        <f>Quarts!AC9-Quarts!AC8</f>
        <v>3960</v>
      </c>
      <c r="J1540" s="4" t="e">
        <f>Quarts!#REF!-Quarts!#REF!</f>
        <v>#REF!</v>
      </c>
      <c r="K1540" s="4">
        <f>Quarts!AE9-Quarts!AE8</f>
        <v>3997.3999999999996</v>
      </c>
      <c r="L1540" s="4">
        <f>Quarts!AF9-Quarts!AF8</f>
        <v>4079.6000000000004</v>
      </c>
      <c r="M1540" s="4">
        <f>Quarts!AG9-Quarts!AG8</f>
        <v>4350.2</v>
      </c>
      <c r="N1540" s="4">
        <f>Quarts!AH9-Quarts!AH8</f>
        <v>4764.582583367609</v>
      </c>
    </row>
    <row r="1541" spans="2:14" x14ac:dyDescent="0.55000000000000004">
      <c r="B1541" t="s">
        <v>2919</v>
      </c>
      <c r="C1541" s="4">
        <f>Quarts!W10</f>
        <v>-1230</v>
      </c>
      <c r="D1541" s="4">
        <f>Quarts!X10</f>
        <v>-1365</v>
      </c>
      <c r="E1541" s="4">
        <f>Quarts!Y10</f>
        <v>-1379</v>
      </c>
      <c r="F1541" s="4">
        <f>Quarts!Z10</f>
        <v>-1412</v>
      </c>
      <c r="G1541" s="4">
        <f>Quarts!AA10</f>
        <v>-1338.17849682</v>
      </c>
      <c r="H1541" s="4">
        <f>Quarts!AB10</f>
        <v>-1357.0185106399999</v>
      </c>
      <c r="I1541" s="4">
        <f>Quarts!AC10</f>
        <v>-1449.9760000000001</v>
      </c>
      <c r="J1541" s="4" t="e">
        <f>Quarts!#REF!</f>
        <v>#REF!</v>
      </c>
      <c r="K1541" s="4">
        <f>Quarts!AE10</f>
        <v>-1497.6</v>
      </c>
      <c r="L1541" s="4">
        <f>Quarts!AF10</f>
        <v>-1540.8</v>
      </c>
      <c r="M1541" s="4">
        <f>Quarts!AG10</f>
        <v>-1670.3999999999999</v>
      </c>
      <c r="N1541" s="4">
        <f>Quarts!AH10</f>
        <v>-1889.4580308440661</v>
      </c>
    </row>
    <row r="1542" spans="2:14" x14ac:dyDescent="0.55000000000000004">
      <c r="B1542" t="s">
        <v>5</v>
      </c>
      <c r="C1542" s="4">
        <f>Quarts!W19</f>
        <v>-73</v>
      </c>
      <c r="D1542" s="4">
        <f>Quarts!X19</f>
        <v>-49</v>
      </c>
      <c r="E1542" s="4">
        <f>Quarts!Y19</f>
        <v>8</v>
      </c>
      <c r="F1542" s="4">
        <f>Quarts!Z19</f>
        <v>-66</v>
      </c>
      <c r="G1542" s="4">
        <f>Quarts!AA19</f>
        <v>-50.581215213332655</v>
      </c>
      <c r="H1542" s="4">
        <f>Quarts!AB19</f>
        <v>-57.210573223765266</v>
      </c>
      <c r="I1542" s="4">
        <f>Quarts!AC19</f>
        <v>-58.465026786585014</v>
      </c>
      <c r="J1542" s="4" t="e">
        <f>Quarts!#REF!</f>
        <v>#REF!</v>
      </c>
      <c r="K1542" s="4">
        <f>Quarts!AE19</f>
        <v>-35</v>
      </c>
      <c r="L1542" s="4">
        <f>Quarts!AF19</f>
        <v>-35</v>
      </c>
      <c r="M1542" s="4">
        <f>Quarts!AG19</f>
        <v>-35</v>
      </c>
      <c r="N1542" s="4">
        <f>Quarts!AH19</f>
        <v>-70.650000000000006</v>
      </c>
    </row>
    <row r="1543" spans="2:14" x14ac:dyDescent="0.55000000000000004">
      <c r="B1543" t="s">
        <v>2920</v>
      </c>
      <c r="C1543" s="4">
        <f t="shared" ref="C1543:N1543" si="80">C1540+C1541+C1542</f>
        <v>2082</v>
      </c>
      <c r="D1543" s="4">
        <f t="shared" si="80"/>
        <v>2451.7889999999998</v>
      </c>
      <c r="E1543" s="4">
        <f t="shared" si="80"/>
        <v>2618</v>
      </c>
      <c r="F1543" s="4">
        <f t="shared" si="80"/>
        <v>2441</v>
      </c>
      <c r="G1543" s="4">
        <f t="shared" si="80"/>
        <v>2296.2402879666674</v>
      </c>
      <c r="H1543" s="4">
        <f t="shared" si="80"/>
        <v>2346.770916136235</v>
      </c>
      <c r="I1543" s="4">
        <f t="shared" si="80"/>
        <v>2451.5589732134149</v>
      </c>
      <c r="J1543" s="4" t="e">
        <f t="shared" si="80"/>
        <v>#REF!</v>
      </c>
      <c r="K1543" s="4">
        <f t="shared" si="80"/>
        <v>2464.7999999999997</v>
      </c>
      <c r="L1543" s="4">
        <f t="shared" si="80"/>
        <v>2503.8000000000002</v>
      </c>
      <c r="M1543" s="4">
        <f t="shared" si="80"/>
        <v>2644.8</v>
      </c>
      <c r="N1543" s="4">
        <f t="shared" si="80"/>
        <v>2804.4745525235426</v>
      </c>
    </row>
    <row r="1544" spans="2:14" x14ac:dyDescent="0.55000000000000004">
      <c r="B1544" s="18" t="s">
        <v>679</v>
      </c>
      <c r="C1544" s="367">
        <f t="shared" ref="C1544:N1544" si="81">C1543/C1539</f>
        <v>2.599250936329588E-2</v>
      </c>
      <c r="D1544" s="367">
        <f t="shared" si="81"/>
        <v>2.7486423766816141E-2</v>
      </c>
      <c r="E1544" s="367">
        <f t="shared" si="81"/>
        <v>2.8992248062015506E-2</v>
      </c>
      <c r="F1544" s="367">
        <f t="shared" si="81"/>
        <v>2.5885471898197242E-2</v>
      </c>
      <c r="G1544" s="367">
        <f t="shared" si="81"/>
        <v>2.6064021429814614E-2</v>
      </c>
      <c r="H1544" s="367">
        <f t="shared" si="81"/>
        <v>2.5315759613120117E-2</v>
      </c>
      <c r="I1544" s="367">
        <f t="shared" si="81"/>
        <v>2.4555861344739523E-2</v>
      </c>
      <c r="J1544" s="367" t="e">
        <f t="shared" si="81"/>
        <v>#REF!</v>
      </c>
      <c r="K1544" s="367">
        <f t="shared" si="81"/>
        <v>2.3699999999999999E-2</v>
      </c>
      <c r="L1544" s="367">
        <f t="shared" si="81"/>
        <v>2.3400000000000001E-2</v>
      </c>
      <c r="M1544" s="367">
        <f t="shared" si="81"/>
        <v>2.2800000000000001E-2</v>
      </c>
      <c r="N1544" s="367">
        <f t="shared" si="81"/>
        <v>2.1436643332574147E-2</v>
      </c>
    </row>
    <row r="1546" spans="2:14" x14ac:dyDescent="0.55000000000000004">
      <c r="B1546" t="s">
        <v>2796</v>
      </c>
      <c r="C1546" s="4">
        <f>Quarts!W232</f>
        <v>332.56578694405874</v>
      </c>
      <c r="D1546" s="4">
        <f>Quarts!X232</f>
        <v>343.76247149091495</v>
      </c>
      <c r="E1546" s="4">
        <f>Quarts!Y232</f>
        <v>375.76568154136282</v>
      </c>
      <c r="F1546" s="4">
        <f>Quarts!Z232</f>
        <v>361.79340186728535</v>
      </c>
      <c r="G1546" s="4">
        <f>Quarts!AA232</f>
        <v>330.59726660021369</v>
      </c>
      <c r="H1546" s="4">
        <f>Quarts!AB232</f>
        <v>243</v>
      </c>
      <c r="I1546" s="4">
        <f>Quarts!AC232</f>
        <v>260</v>
      </c>
      <c r="J1546" s="4" t="e">
        <f>Quarts!#REF!</f>
        <v>#REF!</v>
      </c>
      <c r="K1546" s="4">
        <f>Quarts!AE232</f>
        <v>262.46492909729415</v>
      </c>
      <c r="L1546" s="4">
        <f>Quarts!AF232</f>
        <v>251.91566798798803</v>
      </c>
      <c r="M1546" s="4">
        <f ca="1">Quarts!AG232</f>
        <v>265.27454917658292</v>
      </c>
      <c r="N1546" s="4">
        <f ca="1">Quarts!AH232</f>
        <v>293.62560983516482</v>
      </c>
    </row>
    <row r="1547" spans="2:14" x14ac:dyDescent="0.55000000000000004">
      <c r="B1547" t="s">
        <v>1076</v>
      </c>
      <c r="C1547" s="4">
        <f t="shared" ref="C1547:N1547" si="82">C1543-C1546</f>
        <v>1749.4342130559412</v>
      </c>
      <c r="D1547" s="4">
        <f t="shared" si="82"/>
        <v>2108.026528509085</v>
      </c>
      <c r="E1547" s="4">
        <f t="shared" si="82"/>
        <v>2242.2343184586371</v>
      </c>
      <c r="F1547" s="4">
        <f t="shared" si="82"/>
        <v>2079.2065981327146</v>
      </c>
      <c r="G1547" s="4">
        <f t="shared" si="82"/>
        <v>1965.6430213664537</v>
      </c>
      <c r="H1547" s="4">
        <f t="shared" si="82"/>
        <v>2103.770916136235</v>
      </c>
      <c r="I1547" s="4">
        <f t="shared" si="82"/>
        <v>2191.5589732134149</v>
      </c>
      <c r="J1547" s="4" t="e">
        <f t="shared" si="82"/>
        <v>#REF!</v>
      </c>
      <c r="K1547" s="4">
        <f t="shared" si="82"/>
        <v>2202.3350709027054</v>
      </c>
      <c r="L1547" s="4">
        <f t="shared" si="82"/>
        <v>2251.8843320120122</v>
      </c>
      <c r="M1547" s="4">
        <f t="shared" ca="1" si="82"/>
        <v>2379.5254508234175</v>
      </c>
      <c r="N1547" s="4">
        <f t="shared" ca="1" si="82"/>
        <v>2510.848942688378</v>
      </c>
    </row>
    <row r="1548" spans="2:14" x14ac:dyDescent="0.55000000000000004">
      <c r="B1548" s="18" t="s">
        <v>2922</v>
      </c>
      <c r="C1548" s="367">
        <f>C1547/C1539</f>
        <v>2.1840626879599766E-2</v>
      </c>
      <c r="D1548" s="367">
        <f t="shared" ref="D1548:J1548" si="83">D1547/D1539</f>
        <v>2.3632584400326066E-2</v>
      </c>
      <c r="E1548" s="367">
        <f t="shared" si="83"/>
        <v>2.4830944833428983E-2</v>
      </c>
      <c r="F1548" s="367">
        <f t="shared" si="83"/>
        <v>2.2048850457398881E-2</v>
      </c>
      <c r="G1548" s="367">
        <f t="shared" si="83"/>
        <v>2.2311498539914345E-2</v>
      </c>
      <c r="H1548" s="367">
        <f t="shared" si="83"/>
        <v>2.2694400389819149E-2</v>
      </c>
      <c r="I1548" s="367">
        <f>I1547/I1539</f>
        <v>2.1951590340292228E-2</v>
      </c>
      <c r="J1548" s="367" t="e">
        <f t="shared" si="83"/>
        <v>#REF!</v>
      </c>
      <c r="K1548" s="367">
        <f>K1547/K1539</f>
        <v>2.1176298758679858E-2</v>
      </c>
      <c r="L1548" s="367">
        <f>L1547/L1539</f>
        <v>2.1045647962729085E-2</v>
      </c>
      <c r="M1548" s="367">
        <f ca="1">M1547/M1539</f>
        <v>2.0513150438132909E-2</v>
      </c>
      <c r="N1548" s="367">
        <f ca="1">N1547/N1539</f>
        <v>1.9192248757596751E-2</v>
      </c>
    </row>
    <row r="1550" spans="2:14" x14ac:dyDescent="0.55000000000000004">
      <c r="B1550" s="1"/>
      <c r="C1550" s="234" t="str">
        <f>C1538</f>
        <v>1Q 22</v>
      </c>
      <c r="D1550" s="234" t="str">
        <f t="shared" ref="D1550:N1550" si="84">D1538</f>
        <v>2Q 22</v>
      </c>
      <c r="E1550" s="234" t="str">
        <f t="shared" si="84"/>
        <v>3Q 22</v>
      </c>
      <c r="F1550" s="234" t="str">
        <f t="shared" si="84"/>
        <v>4Q 22</v>
      </c>
      <c r="G1550" s="234" t="str">
        <f t="shared" si="84"/>
        <v>1Q 23</v>
      </c>
      <c r="H1550" s="234" t="str">
        <f t="shared" si="84"/>
        <v>2Q 23</v>
      </c>
      <c r="I1550" s="234" t="str">
        <f>I1538</f>
        <v>3Q 23</v>
      </c>
      <c r="J1550" s="234" t="e">
        <f t="shared" si="84"/>
        <v>#REF!</v>
      </c>
      <c r="K1550" s="234" t="str">
        <f t="shared" si="84"/>
        <v>1Q 24E</v>
      </c>
      <c r="L1550" s="234" t="str">
        <f t="shared" si="84"/>
        <v>2Q 24E</v>
      </c>
      <c r="M1550" s="234" t="str">
        <f t="shared" si="84"/>
        <v>3Q 24E</v>
      </c>
      <c r="N1550" s="234" t="str">
        <f t="shared" si="84"/>
        <v>4Q 24E</v>
      </c>
    </row>
    <row r="1551" spans="2:14" x14ac:dyDescent="0.55000000000000004">
      <c r="B1551" t="s">
        <v>2928</v>
      </c>
      <c r="C1551" s="11">
        <f>C1548</f>
        <v>2.1840626879599766E-2</v>
      </c>
      <c r="D1551" s="11">
        <f t="shared" ref="D1551:N1551" si="85">D1548</f>
        <v>2.3632584400326066E-2</v>
      </c>
      <c r="E1551" s="11">
        <f t="shared" si="85"/>
        <v>2.4830944833428983E-2</v>
      </c>
      <c r="F1551" s="11">
        <f t="shared" si="85"/>
        <v>2.2048850457398881E-2</v>
      </c>
      <c r="G1551" s="11">
        <f t="shared" si="85"/>
        <v>2.2311498539914345E-2</v>
      </c>
      <c r="H1551" s="11">
        <f t="shared" si="85"/>
        <v>2.2694400389819149E-2</v>
      </c>
      <c r="I1551" s="11">
        <f>I1548</f>
        <v>2.1951590340292228E-2</v>
      </c>
      <c r="J1551" s="11" t="e">
        <f t="shared" si="85"/>
        <v>#REF!</v>
      </c>
      <c r="K1551" s="11">
        <f t="shared" si="85"/>
        <v>2.1176298758679858E-2</v>
      </c>
      <c r="L1551" s="11">
        <f t="shared" si="85"/>
        <v>2.1045647962729085E-2</v>
      </c>
      <c r="M1551" s="11">
        <f t="shared" ca="1" si="85"/>
        <v>2.0513150438132909E-2</v>
      </c>
      <c r="N1551" s="11">
        <f t="shared" ca="1" si="85"/>
        <v>1.9192248757596751E-2</v>
      </c>
    </row>
    <row r="1552" spans="2:14" x14ac:dyDescent="0.55000000000000004">
      <c r="B1552" t="s">
        <v>2927</v>
      </c>
      <c r="C1552" s="11">
        <v>1.9354567307692309E-2</v>
      </c>
      <c r="D1552" s="11">
        <v>1.9834619625137814E-2</v>
      </c>
      <c r="E1552" s="11">
        <v>2.1324758842443732E-2</v>
      </c>
      <c r="F1552" s="11">
        <v>2.1955044955044953E-2</v>
      </c>
      <c r="G1552" s="11">
        <v>2.3475935828877005E-2</v>
      </c>
      <c r="H1552" s="11">
        <v>2.4405544147843943E-2</v>
      </c>
      <c r="I1552" s="11">
        <v>2.46E-2</v>
      </c>
      <c r="J1552" s="11">
        <v>2.4496771133887645E-2</v>
      </c>
      <c r="K1552" s="11">
        <v>2.4379897919120531E-2</v>
      </c>
      <c r="L1552" s="11">
        <v>2.4348998731825288E-2</v>
      </c>
      <c r="M1552" s="11">
        <v>2.4046972646360538E-2</v>
      </c>
      <c r="N1552" s="11">
        <v>2.346140336870068E-2</v>
      </c>
    </row>
    <row r="1555" spans="2:5" x14ac:dyDescent="0.55000000000000004">
      <c r="B1555" t="s">
        <v>462</v>
      </c>
    </row>
    <row r="1556" spans="2:5" x14ac:dyDescent="0.55000000000000004">
      <c r="C1556" s="8" t="s">
        <v>4</v>
      </c>
      <c r="D1556" s="8" t="s">
        <v>3</v>
      </c>
    </row>
    <row r="1557" spans="2:5" x14ac:dyDescent="0.55000000000000004">
      <c r="B1557" t="s">
        <v>2889</v>
      </c>
      <c r="C1557" s="2">
        <f>C1491</f>
        <v>0.2</v>
      </c>
      <c r="D1557" s="2">
        <f>E1557/E$1560</f>
        <v>0.17453798767967146</v>
      </c>
      <c r="E1557" s="4">
        <v>17</v>
      </c>
    </row>
    <row r="1558" spans="2:5" x14ac:dyDescent="0.55000000000000004">
      <c r="B1558" t="s">
        <v>1570</v>
      </c>
      <c r="C1558" s="2">
        <f>C1485</f>
        <v>0.5</v>
      </c>
      <c r="D1558" s="2">
        <f>E1558/E$1560</f>
        <v>0.6806981519507187</v>
      </c>
      <c r="E1558" s="4">
        <v>66.3</v>
      </c>
    </row>
    <row r="1559" spans="2:5" x14ac:dyDescent="0.55000000000000004">
      <c r="B1559" t="s">
        <v>2929</v>
      </c>
      <c r="C1559" s="2">
        <f>C1479</f>
        <v>0.3</v>
      </c>
      <c r="D1559" s="2">
        <f>E1559/E$1560</f>
        <v>0.14476386036960986</v>
      </c>
      <c r="E1559" s="4">
        <v>14.1</v>
      </c>
    </row>
    <row r="1560" spans="2:5" x14ac:dyDescent="0.55000000000000004">
      <c r="E1560" s="4">
        <f>SUM(E1557:E1559)</f>
        <v>97.399999999999991</v>
      </c>
    </row>
    <row r="1582" spans="2:7" x14ac:dyDescent="0.55000000000000004">
      <c r="B1582" s="20"/>
      <c r="C1582" s="20">
        <v>2021</v>
      </c>
      <c r="D1582" s="20">
        <f>C1582+1</f>
        <v>2022</v>
      </c>
      <c r="E1582" s="20">
        <f>D1582+1</f>
        <v>2023</v>
      </c>
      <c r="F1582" s="20">
        <f>E1582+1</f>
        <v>2024</v>
      </c>
      <c r="G1582" s="20">
        <f>F1582+1</f>
        <v>2025</v>
      </c>
    </row>
    <row r="1583" spans="2:7" x14ac:dyDescent="0.55000000000000004">
      <c r="B1583" t="s">
        <v>396</v>
      </c>
      <c r="C1583" s="7">
        <f>Master!I72</f>
        <v>768.6</v>
      </c>
      <c r="D1583" s="7">
        <f>Master!J72</f>
        <v>1131</v>
      </c>
      <c r="E1583" s="7">
        <f>Master!K72</f>
        <v>1355</v>
      </c>
      <c r="F1583" s="7">
        <f>Master!L72</f>
        <v>1773.5470645841904</v>
      </c>
      <c r="G1583" s="7">
        <f>Master!M72</f>
        <v>1841.6814874009174</v>
      </c>
    </row>
    <row r="1584" spans="2:7" x14ac:dyDescent="0.55000000000000004">
      <c r="B1584" t="s">
        <v>2933</v>
      </c>
      <c r="C1584" s="7">
        <v>0</v>
      </c>
      <c r="D1584" s="7">
        <v>200</v>
      </c>
      <c r="E1584" s="7">
        <v>220</v>
      </c>
      <c r="F1584" s="7">
        <v>180</v>
      </c>
      <c r="G1584" s="7">
        <v>100</v>
      </c>
    </row>
    <row r="1585" spans="2:7" x14ac:dyDescent="0.55000000000000004">
      <c r="B1585" t="s">
        <v>449</v>
      </c>
      <c r="C1585" s="7">
        <f>Master!I135</f>
        <v>1751.8</v>
      </c>
      <c r="D1585" s="7">
        <f>Master!J135</f>
        <v>2136</v>
      </c>
      <c r="E1585" s="7">
        <f>Master!K135</f>
        <v>1988.4</v>
      </c>
      <c r="F1585" s="7">
        <f>Master!L135</f>
        <v>2004.8964970872751</v>
      </c>
      <c r="G1585" s="7">
        <f>Master!M135</f>
        <v>2061.5363217735476</v>
      </c>
    </row>
    <row r="1590" spans="2:7" x14ac:dyDescent="0.55000000000000004">
      <c r="C1590" t="s">
        <v>2935</v>
      </c>
      <c r="D1590" t="s">
        <v>2937</v>
      </c>
    </row>
    <row r="1591" spans="2:7" x14ac:dyDescent="0.55000000000000004">
      <c r="B1591" t="s">
        <v>814</v>
      </c>
      <c r="C1591" s="4">
        <f>Master!L103</f>
        <v>2167.4068836829047</v>
      </c>
      <c r="D1591" s="4">
        <f>C1591-150*(75/100)</f>
        <v>2054.9068836829047</v>
      </c>
      <c r="E1591" s="2">
        <f>C1591/D1591-1</f>
        <v>5.474700624797757E-2</v>
      </c>
    </row>
    <row r="1592" spans="2:7" x14ac:dyDescent="0.55000000000000004">
      <c r="B1592" t="s">
        <v>477</v>
      </c>
      <c r="C1592" s="12">
        <f>C1591/Master!$L$12</f>
        <v>0.12432152581724217</v>
      </c>
      <c r="D1592" s="12">
        <f>D1591/Master!$L$12</f>
        <v>0.11786857424652733</v>
      </c>
    </row>
    <row r="1593" spans="2:7" x14ac:dyDescent="0.55000000000000004">
      <c r="C1593" s="12"/>
      <c r="D1593" s="12"/>
    </row>
    <row r="1594" spans="2:7" x14ac:dyDescent="0.55000000000000004">
      <c r="C1594" s="12"/>
      <c r="D1594" s="12"/>
    </row>
    <row r="1595" spans="2:7" x14ac:dyDescent="0.55000000000000004">
      <c r="B1595" t="s">
        <v>1814</v>
      </c>
    </row>
    <row r="1596" spans="2:7" x14ac:dyDescent="0.55000000000000004">
      <c r="B1596" t="s">
        <v>294</v>
      </c>
      <c r="C1596" s="4">
        <v>13047.686301010172</v>
      </c>
    </row>
    <row r="1597" spans="2:7" x14ac:dyDescent="0.55000000000000004">
      <c r="B1597" t="s">
        <v>2936</v>
      </c>
      <c r="C1597" s="4">
        <v>1748</v>
      </c>
      <c r="D1597" s="4">
        <f>C1597-150*(75/100)</f>
        <v>1635.5</v>
      </c>
      <c r="E1597" s="2">
        <f>C1597/D1597-1</f>
        <v>6.8786303882604649E-2</v>
      </c>
    </row>
    <row r="1598" spans="2:7" x14ac:dyDescent="0.55000000000000004">
      <c r="C1598" s="12">
        <f>C1597/$C$1596</f>
        <v>0.13397011237652665</v>
      </c>
      <c r="D1598" s="12">
        <f>D1597/$C$1596</f>
        <v>0.12534789404565752</v>
      </c>
    </row>
    <row r="1604" spans="3:4" x14ac:dyDescent="0.55000000000000004">
      <c r="C1604" s="11">
        <v>0.11749999999999999</v>
      </c>
      <c r="D1604" s="11">
        <v>0.09</v>
      </c>
    </row>
    <row r="1605" spans="3:4" x14ac:dyDescent="0.55000000000000004">
      <c r="D1605" s="11">
        <f>AVERAGE(C1604,D1604)</f>
        <v>0.10375</v>
      </c>
    </row>
    <row r="1607" spans="3:4" x14ac:dyDescent="0.55000000000000004">
      <c r="C1607" s="11">
        <v>0.11749999999999999</v>
      </c>
      <c r="D1607" s="11">
        <v>0.105</v>
      </c>
    </row>
    <row r="1608" spans="3:4" x14ac:dyDescent="0.55000000000000004">
      <c r="D1608" s="11">
        <f>AVERAGE(C1607,D1607)</f>
        <v>0.11124999999999999</v>
      </c>
    </row>
    <row r="1609" spans="3:4" x14ac:dyDescent="0.55000000000000004">
      <c r="D1609" s="11">
        <f>D1608-D1605</f>
        <v>7.4999999999999928E-3</v>
      </c>
    </row>
    <row r="1630" spans="2:5" x14ac:dyDescent="0.55000000000000004">
      <c r="D1630" s="8"/>
    </row>
    <row r="1631" spans="2:5" x14ac:dyDescent="0.55000000000000004">
      <c r="B1631" s="20" t="s">
        <v>3120</v>
      </c>
      <c r="C1631" s="19" t="s">
        <v>2658</v>
      </c>
      <c r="D1631" s="19" t="s">
        <v>2735</v>
      </c>
      <c r="E1631" s="19" t="s">
        <v>2939</v>
      </c>
    </row>
    <row r="1632" spans="2:5" x14ac:dyDescent="0.55000000000000004">
      <c r="B1632" t="s">
        <v>116</v>
      </c>
      <c r="C1632">
        <f>Quarts!AA240</f>
        <v>1087</v>
      </c>
      <c r="D1632">
        <f>Quarts!AB240</f>
        <v>886</v>
      </c>
      <c r="E1632">
        <f>Quarts!AC240</f>
        <v>816</v>
      </c>
    </row>
    <row r="1633" spans="2:6" x14ac:dyDescent="0.55000000000000004">
      <c r="B1633" t="s">
        <v>3118</v>
      </c>
      <c r="C1633">
        <f>Quarts!AA241</f>
        <v>958</v>
      </c>
      <c r="D1633">
        <f>Quarts!AB241</f>
        <v>1099</v>
      </c>
      <c r="E1633">
        <f>Quarts!AC241</f>
        <v>1175</v>
      </c>
    </row>
    <row r="1634" spans="2:6" x14ac:dyDescent="0.55000000000000004">
      <c r="B1634" s="1" t="s">
        <v>3119</v>
      </c>
      <c r="C1634" s="1">
        <f>Quarts!AA239</f>
        <v>672</v>
      </c>
      <c r="D1634" s="1">
        <f>Quarts!AB239</f>
        <v>625</v>
      </c>
      <c r="E1634" s="1">
        <f>Quarts!AC239</f>
        <v>471</v>
      </c>
      <c r="F1634" s="2"/>
    </row>
    <row r="1635" spans="2:6" x14ac:dyDescent="0.55000000000000004">
      <c r="B1635" t="s">
        <v>243</v>
      </c>
      <c r="C1635">
        <f>SUM(C1632:C1634)</f>
        <v>2717</v>
      </c>
      <c r="D1635">
        <f>SUM(D1632:D1634)</f>
        <v>2610</v>
      </c>
      <c r="E1635">
        <f>SUM(E1632:E1634)</f>
        <v>2462</v>
      </c>
    </row>
    <row r="1637" spans="2:6" x14ac:dyDescent="0.55000000000000004">
      <c r="B1637" t="s">
        <v>3121</v>
      </c>
      <c r="C1637" s="2">
        <v>0.44</v>
      </c>
      <c r="D1637" s="2">
        <v>0.52</v>
      </c>
      <c r="E1637" s="2">
        <v>0.6</v>
      </c>
    </row>
    <row r="1638" spans="2:6" x14ac:dyDescent="0.55000000000000004">
      <c r="B1638" t="s">
        <v>2461</v>
      </c>
      <c r="C1638" s="2">
        <f>100%-C1637</f>
        <v>0.56000000000000005</v>
      </c>
      <c r="D1638" s="2">
        <f>100%-D1637</f>
        <v>0.48</v>
      </c>
      <c r="E1638" s="2">
        <f>100%-E1637</f>
        <v>0.4</v>
      </c>
    </row>
    <row r="1640" spans="2:6" x14ac:dyDescent="0.55000000000000004">
      <c r="B1640" s="18" t="s">
        <v>3132</v>
      </c>
    </row>
    <row r="1641" spans="2:6" x14ac:dyDescent="0.55000000000000004">
      <c r="B1641" t="s">
        <v>3122</v>
      </c>
      <c r="C1641" s="4">
        <f>C1643-C1642</f>
        <v>237.48000000000002</v>
      </c>
      <c r="D1641" s="4">
        <f>D1643-D1642</f>
        <v>258.20000000000005</v>
      </c>
      <c r="E1641" s="4">
        <f>E1643-E1642</f>
        <v>302.20000000000005</v>
      </c>
    </row>
    <row r="1642" spans="2:6" x14ac:dyDescent="0.55000000000000004">
      <c r="B1642" s="1" t="str">
        <f>B1633</f>
        <v>Payroll / FGTS</v>
      </c>
      <c r="C1642" s="1">
        <f>C1633</f>
        <v>958</v>
      </c>
      <c r="D1642" s="1">
        <f>D1633</f>
        <v>1099</v>
      </c>
      <c r="E1642" s="1">
        <f>E1633</f>
        <v>1175</v>
      </c>
    </row>
    <row r="1643" spans="2:6" x14ac:dyDescent="0.55000000000000004">
      <c r="B1643" t="s">
        <v>3121</v>
      </c>
      <c r="C1643" s="4">
        <f>C1637*C1635</f>
        <v>1195.48</v>
      </c>
      <c r="D1643" s="4">
        <f>D1637*D1635</f>
        <v>1357.2</v>
      </c>
      <c r="E1643" s="4">
        <f>E1637*E1635</f>
        <v>1477.2</v>
      </c>
    </row>
    <row r="1644" spans="2:6" x14ac:dyDescent="0.55000000000000004">
      <c r="C1644" s="4"/>
      <c r="D1644" s="4"/>
      <c r="E1644" s="4"/>
    </row>
    <row r="1645" spans="2:6" x14ac:dyDescent="0.55000000000000004">
      <c r="B1645" t="s">
        <v>3123</v>
      </c>
      <c r="C1645" s="4">
        <f>C1632-C1641</f>
        <v>849.52</v>
      </c>
      <c r="D1645" s="4">
        <f>D1632-D1641</f>
        <v>627.79999999999995</v>
      </c>
      <c r="E1645" s="4">
        <f>E1632-E1641</f>
        <v>513.79999999999995</v>
      </c>
    </row>
    <row r="1646" spans="2:6" x14ac:dyDescent="0.55000000000000004">
      <c r="B1646" s="1" t="s">
        <v>3124</v>
      </c>
      <c r="C1646" s="1">
        <f>C1634</f>
        <v>672</v>
      </c>
      <c r="D1646" s="1">
        <f>D1634</f>
        <v>625</v>
      </c>
      <c r="E1646" s="1">
        <f>E1634</f>
        <v>471</v>
      </c>
    </row>
    <row r="1647" spans="2:6" x14ac:dyDescent="0.55000000000000004">
      <c r="B1647" t="s">
        <v>2461</v>
      </c>
      <c r="C1647" s="4">
        <f>SUM(C1645:C1646)</f>
        <v>1521.52</v>
      </c>
      <c r="D1647" s="4">
        <f>SUM(D1645:D1646)</f>
        <v>1252.8</v>
      </c>
      <c r="E1647" s="4">
        <f>SUM(E1645:E1646)</f>
        <v>984.8</v>
      </c>
    </row>
    <row r="1649" spans="2:5" x14ac:dyDescent="0.55000000000000004">
      <c r="B1649" s="18" t="s">
        <v>3136</v>
      </c>
    </row>
    <row r="1650" spans="2:5" x14ac:dyDescent="0.55000000000000004">
      <c r="B1650" t="s">
        <v>3126</v>
      </c>
      <c r="C1650" s="12">
        <v>1.0999999999999999E-2</v>
      </c>
      <c r="D1650" s="12">
        <v>1.2E-2</v>
      </c>
      <c r="E1650" s="12">
        <v>1.0999999999999999E-2</v>
      </c>
    </row>
    <row r="1651" spans="2:5" x14ac:dyDescent="0.55000000000000004">
      <c r="B1651" s="1" t="s">
        <v>3127</v>
      </c>
      <c r="C1651" s="43">
        <f>(C1647-C1656)/C1647</f>
        <v>0.31100000000000017</v>
      </c>
      <c r="D1651" s="43">
        <f>(D1647-D1656)/D1647</f>
        <v>0.28700000000000014</v>
      </c>
      <c r="E1651" s="43">
        <f>(E1647-E1656)/E1647</f>
        <v>0.25099999999999978</v>
      </c>
    </row>
    <row r="1652" spans="2:5" x14ac:dyDescent="0.55000000000000004">
      <c r="B1652" t="s">
        <v>3125</v>
      </c>
      <c r="C1652" s="12">
        <v>0.17899999999999999</v>
      </c>
      <c r="D1652" s="12">
        <v>0.14399999999999999</v>
      </c>
      <c r="E1652" s="12">
        <v>0.107</v>
      </c>
    </row>
    <row r="1653" spans="2:5" x14ac:dyDescent="0.55000000000000004">
      <c r="D1653" s="12"/>
      <c r="E1653" s="12"/>
    </row>
    <row r="1654" spans="2:5" x14ac:dyDescent="0.55000000000000004">
      <c r="B1654" s="18" t="s">
        <v>3138</v>
      </c>
      <c r="D1654" s="12"/>
      <c r="E1654" s="12"/>
    </row>
    <row r="1655" spans="2:5" x14ac:dyDescent="0.55000000000000004">
      <c r="B1655" t="s">
        <v>3129</v>
      </c>
      <c r="C1655" s="4">
        <f>(1-C1650)*C1643</f>
        <v>1182.32972</v>
      </c>
      <c r="D1655" s="4">
        <f>(1-D1650)*D1643</f>
        <v>1340.9136000000001</v>
      </c>
      <c r="E1655" s="4">
        <f>(1-E1650)*E1643</f>
        <v>1460.9508000000001</v>
      </c>
    </row>
    <row r="1656" spans="2:5" x14ac:dyDescent="0.55000000000000004">
      <c r="B1656" s="1" t="s">
        <v>3130</v>
      </c>
      <c r="C1656" s="6">
        <f>C1657-C1655</f>
        <v>1048.3272799999997</v>
      </c>
      <c r="D1656" s="6">
        <f>D1657-D1655</f>
        <v>893.24639999999977</v>
      </c>
      <c r="E1656" s="6">
        <f>E1657-E1655</f>
        <v>737.61520000000019</v>
      </c>
    </row>
    <row r="1657" spans="2:5" x14ac:dyDescent="0.55000000000000004">
      <c r="B1657" t="s">
        <v>3131</v>
      </c>
      <c r="C1657" s="4">
        <f>(1-C1652)*C1635</f>
        <v>2230.6569999999997</v>
      </c>
      <c r="D1657" s="4">
        <f>(1-D1652)*D1635</f>
        <v>2234.16</v>
      </c>
      <c r="E1657" s="4">
        <f>(1-E1652)*E1635</f>
        <v>2198.5660000000003</v>
      </c>
    </row>
    <row r="1658" spans="2:5" x14ac:dyDescent="0.55000000000000004">
      <c r="D1658" s="4"/>
      <c r="E1658" s="4"/>
    </row>
    <row r="1659" spans="2:5" x14ac:dyDescent="0.55000000000000004">
      <c r="B1659" s="18" t="s">
        <v>294</v>
      </c>
      <c r="D1659" s="4"/>
      <c r="E1659" s="4"/>
    </row>
    <row r="1660" spans="2:5" ht="14.7" thickBot="1" x14ac:dyDescent="0.6">
      <c r="B1660" t="s">
        <v>3133</v>
      </c>
      <c r="D1660" s="4">
        <f>D1665/4*AVERAGE(C1655,D1655)</f>
        <v>56.772974699999999</v>
      </c>
      <c r="E1660" s="4">
        <f>E1665/4*AVERAGE(D1655,E1655)</f>
        <v>63.04194900000001</v>
      </c>
    </row>
    <row r="1661" spans="2:5" ht="14.7" thickBot="1" x14ac:dyDescent="0.6">
      <c r="B1661" s="214" t="s">
        <v>3134</v>
      </c>
      <c r="C1661" s="215"/>
      <c r="D1661" s="594">
        <f>D1662-D1660</f>
        <v>186.22702530000001</v>
      </c>
      <c r="E1661" s="595">
        <f>E1662-E1660</f>
        <v>196.95805099999998</v>
      </c>
    </row>
    <row r="1662" spans="2:5" x14ac:dyDescent="0.55000000000000004">
      <c r="B1662" t="s">
        <v>250</v>
      </c>
      <c r="D1662" s="4">
        <f>Quarts!AB232</f>
        <v>243</v>
      </c>
      <c r="E1662" s="4">
        <f>Quarts!AC232</f>
        <v>260</v>
      </c>
    </row>
    <row r="1663" spans="2:5" x14ac:dyDescent="0.55000000000000004">
      <c r="D1663" s="4"/>
      <c r="E1663" s="4"/>
    </row>
    <row r="1664" spans="2:5" x14ac:dyDescent="0.55000000000000004">
      <c r="B1664" s="18" t="s">
        <v>3137</v>
      </c>
      <c r="D1664" s="4"/>
      <c r="E1664" s="4"/>
    </row>
    <row r="1665" spans="2:5" x14ac:dyDescent="0.55000000000000004">
      <c r="B1665" t="str">
        <f>B1660</f>
        <v>Secured revenue</v>
      </c>
      <c r="D1665" s="3">
        <v>0.18</v>
      </c>
      <c r="E1665" s="3">
        <v>0.18</v>
      </c>
    </row>
    <row r="1666" spans="2:5" ht="14.7" thickBot="1" x14ac:dyDescent="0.6">
      <c r="B1666" s="15" t="s">
        <v>3135</v>
      </c>
      <c r="D1666" s="2"/>
    </row>
    <row r="1667" spans="2:5" ht="14.7" thickBot="1" x14ac:dyDescent="0.6">
      <c r="B1667" s="214" t="str">
        <f>B1661</f>
        <v>Unsecured revenue</v>
      </c>
      <c r="C1667" s="215"/>
      <c r="D1667" s="592">
        <f>D1661*4/AVERAGE(C1656,D1656)</f>
        <v>0.7673240617888889</v>
      </c>
      <c r="E1667" s="593">
        <f>E1661*4/AVERAGE(D1656,E1656)</f>
        <v>0.96615458233856255</v>
      </c>
    </row>
    <row r="1668" spans="2:5" x14ac:dyDescent="0.55000000000000004">
      <c r="B1668" t="s">
        <v>3128</v>
      </c>
      <c r="D1668" s="2">
        <f>D1662*4/AVERAGE(C1657,D1657)</f>
        <v>0.43540418341893977</v>
      </c>
      <c r="E1668" s="2">
        <f>E1662*4/AVERAGE(D1657,E1657)</f>
        <v>0.46923721430108689</v>
      </c>
    </row>
    <row r="1670" spans="2:5" x14ac:dyDescent="0.55000000000000004">
      <c r="B1670" s="18" t="s">
        <v>2492</v>
      </c>
    </row>
    <row r="1671" spans="2:5" x14ac:dyDescent="0.55000000000000004">
      <c r="B1671" t="s">
        <v>116</v>
      </c>
      <c r="C1671">
        <f>Quarts!AA256</f>
        <v>495</v>
      </c>
      <c r="D1671">
        <f>Quarts!AB256</f>
        <v>288</v>
      </c>
      <c r="E1671">
        <f>Quarts!AC256</f>
        <v>236</v>
      </c>
    </row>
    <row r="1672" spans="2:5" x14ac:dyDescent="0.55000000000000004">
      <c r="B1672" t="s">
        <v>3118</v>
      </c>
      <c r="C1672">
        <f>Quarts!AA257</f>
        <v>10</v>
      </c>
      <c r="D1672">
        <f>Quarts!AB257</f>
        <v>14</v>
      </c>
      <c r="E1672">
        <f>Quarts!AC257</f>
        <v>28</v>
      </c>
    </row>
    <row r="1673" spans="2:5" x14ac:dyDescent="0.55000000000000004">
      <c r="B1673" s="1" t="s">
        <v>3119</v>
      </c>
      <c r="C1673" s="1">
        <f>Quarts!AA255</f>
        <v>520</v>
      </c>
      <c r="D1673" s="1">
        <f>Quarts!AB255</f>
        <v>513</v>
      </c>
      <c r="E1673" s="1">
        <f>Quarts!AC255</f>
        <v>387</v>
      </c>
    </row>
    <row r="1674" spans="2:5" x14ac:dyDescent="0.55000000000000004">
      <c r="B1674" t="s">
        <v>243</v>
      </c>
      <c r="C1674">
        <f>SUM(C1671:C1673)</f>
        <v>1025</v>
      </c>
      <c r="D1674">
        <f>SUM(D1671:D1673)</f>
        <v>815</v>
      </c>
      <c r="E1674">
        <f>SUM(E1671:E1673)</f>
        <v>651</v>
      </c>
    </row>
    <row r="1676" spans="2:5" x14ac:dyDescent="0.55000000000000004">
      <c r="B1676" s="18" t="s">
        <v>1442</v>
      </c>
    </row>
    <row r="1677" spans="2:5" x14ac:dyDescent="0.55000000000000004">
      <c r="B1677" t="s">
        <v>116</v>
      </c>
      <c r="C1677">
        <f t="shared" ref="C1677:E1679" si="86">C1632-C1671</f>
        <v>592</v>
      </c>
      <c r="D1677">
        <f t="shared" si="86"/>
        <v>598</v>
      </c>
      <c r="E1677">
        <f t="shared" si="86"/>
        <v>580</v>
      </c>
    </row>
    <row r="1678" spans="2:5" x14ac:dyDescent="0.55000000000000004">
      <c r="B1678" t="s">
        <v>3118</v>
      </c>
      <c r="C1678">
        <f t="shared" si="86"/>
        <v>948</v>
      </c>
      <c r="D1678">
        <f t="shared" si="86"/>
        <v>1085</v>
      </c>
      <c r="E1678">
        <f t="shared" si="86"/>
        <v>1147</v>
      </c>
    </row>
    <row r="1679" spans="2:5" x14ac:dyDescent="0.55000000000000004">
      <c r="B1679" s="1" t="s">
        <v>3119</v>
      </c>
      <c r="C1679" s="1">
        <f t="shared" si="86"/>
        <v>152</v>
      </c>
      <c r="D1679" s="1">
        <f t="shared" si="86"/>
        <v>112</v>
      </c>
      <c r="E1679" s="1">
        <f t="shared" si="86"/>
        <v>84</v>
      </c>
    </row>
    <row r="1680" spans="2:5" x14ac:dyDescent="0.55000000000000004">
      <c r="B1680" t="s">
        <v>243</v>
      </c>
      <c r="C1680">
        <f>SUM(C1677:C1679)</f>
        <v>1692</v>
      </c>
      <c r="D1680">
        <f>SUM(D1677:D1679)</f>
        <v>1795</v>
      </c>
      <c r="E1680">
        <f>SUM(E1677:E1679)</f>
        <v>1811</v>
      </c>
    </row>
    <row r="1682" spans="2:31" x14ac:dyDescent="0.55000000000000004">
      <c r="B1682" s="18" t="s">
        <v>294</v>
      </c>
    </row>
    <row r="1689" spans="2:31" x14ac:dyDescent="0.55000000000000004">
      <c r="B1689" s="568" t="s">
        <v>3232</v>
      </c>
      <c r="C1689" s="564"/>
      <c r="E1689" s="612">
        <v>44592</v>
      </c>
      <c r="F1689" s="612">
        <v>44620</v>
      </c>
      <c r="G1689" s="612">
        <v>44651</v>
      </c>
      <c r="H1689" s="612">
        <v>44679</v>
      </c>
      <c r="I1689" s="612">
        <v>44712</v>
      </c>
      <c r="J1689" s="612">
        <v>44742</v>
      </c>
      <c r="K1689" s="612">
        <v>44773</v>
      </c>
      <c r="L1689" s="612">
        <v>44804</v>
      </c>
      <c r="M1689" s="612">
        <v>44833</v>
      </c>
      <c r="N1689" s="612">
        <v>44865</v>
      </c>
      <c r="O1689" s="612">
        <v>44895</v>
      </c>
      <c r="P1689" s="612">
        <v>44924</v>
      </c>
      <c r="Q1689" s="612">
        <v>44957</v>
      </c>
      <c r="R1689" s="612">
        <v>44985</v>
      </c>
      <c r="S1689" s="612">
        <v>45016</v>
      </c>
      <c r="T1689" s="612">
        <v>45044</v>
      </c>
      <c r="U1689" s="612">
        <v>45077</v>
      </c>
      <c r="V1689" s="612">
        <v>45107</v>
      </c>
      <c r="W1689" s="612">
        <v>45138</v>
      </c>
      <c r="X1689" s="612">
        <v>45169</v>
      </c>
      <c r="Y1689" s="612">
        <v>45198</v>
      </c>
      <c r="Z1689" s="612">
        <v>45230</v>
      </c>
      <c r="AA1689" s="612">
        <v>45260</v>
      </c>
      <c r="AB1689" s="612">
        <v>45289</v>
      </c>
      <c r="AC1689" s="612">
        <v>45320</v>
      </c>
      <c r="AD1689" s="612">
        <v>45351</v>
      </c>
      <c r="AE1689" s="612">
        <v>45380</v>
      </c>
    </row>
    <row r="1690" spans="2:31" x14ac:dyDescent="0.55000000000000004">
      <c r="B1690" s="564" t="s">
        <v>4</v>
      </c>
      <c r="C1690" s="564"/>
      <c r="E1690" s="608">
        <v>14.4647255</v>
      </c>
      <c r="F1690" s="608">
        <v>9.8298020000000008</v>
      </c>
      <c r="G1690" s="608">
        <v>12.037208</v>
      </c>
      <c r="H1690" s="608">
        <v>9.7636269999999996</v>
      </c>
      <c r="I1690" s="608">
        <v>9.7880819999999993</v>
      </c>
      <c r="J1690" s="608">
        <v>7.1302849999999998</v>
      </c>
      <c r="K1690" s="608">
        <v>7.4402245999999996</v>
      </c>
      <c r="L1690" s="608">
        <v>10.730093999999999</v>
      </c>
      <c r="M1690" s="608">
        <v>9.4400879999999994</v>
      </c>
      <c r="N1690" s="608">
        <v>9.3956210000000002</v>
      </c>
      <c r="O1690" s="608">
        <v>7.4872909999999999</v>
      </c>
      <c r="P1690" s="608">
        <v>6.7909345999999999</v>
      </c>
      <c r="Q1690" s="608">
        <v>8.033258</v>
      </c>
      <c r="R1690" s="608">
        <v>7.075094</v>
      </c>
      <c r="S1690" s="608">
        <v>6.7343297</v>
      </c>
      <c r="T1690" s="608">
        <v>7.3821839999999996</v>
      </c>
      <c r="U1690" s="608">
        <v>7.3098130000000001</v>
      </c>
      <c r="V1690" s="608">
        <v>6.7694345</v>
      </c>
      <c r="W1690" s="608">
        <v>8.0046490000000006</v>
      </c>
      <c r="X1690" s="608">
        <v>6.7953463000000003</v>
      </c>
      <c r="Y1690" s="608">
        <v>6.5099090000000004</v>
      </c>
      <c r="Z1690" s="608">
        <v>5.3921022000000001</v>
      </c>
      <c r="AA1690" s="608">
        <v>7.4571389999999997</v>
      </c>
      <c r="AB1690" s="608">
        <v>8.7935890000000008</v>
      </c>
      <c r="AC1690" s="608">
        <v>9.0836939999999995</v>
      </c>
      <c r="AD1690" s="608">
        <v>9.3905890000000003</v>
      </c>
      <c r="AE1690" s="608">
        <v>8.5173959999999997</v>
      </c>
    </row>
    <row r="1691" spans="2:31" x14ac:dyDescent="0.55000000000000004">
      <c r="B1691" s="564" t="s">
        <v>1814</v>
      </c>
      <c r="C1691" s="564"/>
      <c r="E1691" s="608">
        <v>20.206614999999999</v>
      </c>
      <c r="F1691" s="608">
        <v>14.551970499999999</v>
      </c>
      <c r="G1691" s="608">
        <v>13.589461999999999</v>
      </c>
      <c r="H1691" s="608">
        <v>11.413081999999999</v>
      </c>
      <c r="I1691" s="608">
        <v>11.714604</v>
      </c>
      <c r="J1691" s="608">
        <v>10.292104999999999</v>
      </c>
      <c r="K1691" s="608">
        <v>12.835960999999999</v>
      </c>
      <c r="L1691" s="608">
        <v>13.185155</v>
      </c>
      <c r="M1691" s="608">
        <v>13.690452000000001</v>
      </c>
      <c r="N1691" s="608">
        <v>14.160826</v>
      </c>
      <c r="O1691" s="608">
        <v>14.866235</v>
      </c>
      <c r="P1691" s="608">
        <v>12.004448999999999</v>
      </c>
      <c r="Q1691" s="608">
        <v>13.944786000000001</v>
      </c>
      <c r="R1691" s="608">
        <v>10.585735</v>
      </c>
      <c r="S1691" s="608">
        <v>10.965611000000001</v>
      </c>
      <c r="T1691" s="608">
        <v>13.915103999999999</v>
      </c>
      <c r="U1691" s="608">
        <v>13.608731000000001</v>
      </c>
      <c r="V1691" s="608">
        <v>12.309611</v>
      </c>
      <c r="W1691" s="608">
        <v>13.523635000000001</v>
      </c>
      <c r="X1691" s="608">
        <v>11.032078</v>
      </c>
      <c r="Y1691" s="608">
        <v>9.3086129999999994</v>
      </c>
      <c r="Z1691" s="608">
        <v>8.6047499999999992</v>
      </c>
      <c r="AA1691" s="608">
        <v>11.099035000000001</v>
      </c>
      <c r="AB1691" s="608">
        <v>12.261628</v>
      </c>
      <c r="AC1691" s="608">
        <v>11.306851999999999</v>
      </c>
      <c r="AD1691" s="608">
        <v>11.152170999999999</v>
      </c>
      <c r="AE1691" s="608">
        <v>10.291594</v>
      </c>
    </row>
    <row r="1692" spans="2:31" x14ac:dyDescent="0.55000000000000004">
      <c r="B1692" s="564" t="s">
        <v>3231</v>
      </c>
      <c r="C1692" s="564"/>
      <c r="E1692" s="609">
        <f t="shared" ref="E1692:P1692" si="87">E1690/E1691-1</f>
        <v>-0.28415890043928682</v>
      </c>
      <c r="F1692" s="609">
        <f t="shared" si="87"/>
        <v>-0.32450371583697202</v>
      </c>
      <c r="G1692" s="609">
        <f t="shared" si="87"/>
        <v>-0.11422483097564862</v>
      </c>
      <c r="H1692" s="609">
        <f t="shared" si="87"/>
        <v>-0.14452318839030509</v>
      </c>
      <c r="I1692" s="609">
        <f t="shared" si="87"/>
        <v>-0.16445472676669226</v>
      </c>
      <c r="J1692" s="609">
        <f t="shared" si="87"/>
        <v>-0.30720829218123991</v>
      </c>
      <c r="K1692" s="609">
        <f t="shared" si="87"/>
        <v>-0.42036092194421593</v>
      </c>
      <c r="L1692" s="609">
        <f t="shared" si="87"/>
        <v>-0.18619887289910508</v>
      </c>
      <c r="M1692" s="609">
        <f t="shared" si="87"/>
        <v>-0.3104619190074952</v>
      </c>
      <c r="N1692" s="609">
        <f t="shared" si="87"/>
        <v>-0.33650614731089834</v>
      </c>
      <c r="O1692" s="609">
        <f t="shared" si="87"/>
        <v>-0.49635593679233514</v>
      </c>
      <c r="P1692" s="609">
        <f t="shared" si="87"/>
        <v>-0.43429851715809697</v>
      </c>
      <c r="Q1692" s="609">
        <f>Q1690/Q1691-1</f>
        <v>-0.42392389528243746</v>
      </c>
      <c r="R1692" s="609">
        <f t="shared" ref="R1692:AE1692" si="88">R1690/R1691-1</f>
        <v>-0.33163885171884611</v>
      </c>
      <c r="S1692" s="609">
        <f t="shared" si="88"/>
        <v>-0.38586826579932487</v>
      </c>
      <c r="T1692" s="609">
        <f t="shared" si="88"/>
        <v>-0.46948409440561856</v>
      </c>
      <c r="U1692" s="609">
        <f t="shared" si="88"/>
        <v>-0.46285858688807946</v>
      </c>
      <c r="V1692" s="609">
        <f t="shared" si="88"/>
        <v>-0.45006917765313625</v>
      </c>
      <c r="W1692" s="609">
        <f t="shared" si="88"/>
        <v>-0.40809930170401665</v>
      </c>
      <c r="X1692" s="609">
        <f t="shared" si="88"/>
        <v>-0.38403750408581228</v>
      </c>
      <c r="Y1692" s="609">
        <f t="shared" si="88"/>
        <v>-0.30065746637012403</v>
      </c>
      <c r="Z1692" s="609">
        <f t="shared" si="88"/>
        <v>-0.3733574827856706</v>
      </c>
      <c r="AA1692" s="609">
        <f t="shared" si="88"/>
        <v>-0.32812726511809365</v>
      </c>
      <c r="AB1692" s="609">
        <f t="shared" si="88"/>
        <v>-0.28283674892110566</v>
      </c>
      <c r="AC1692" s="609">
        <f t="shared" si="88"/>
        <v>-0.19662042096243937</v>
      </c>
      <c r="AD1692" s="609">
        <f t="shared" si="88"/>
        <v>-0.1579586611431979</v>
      </c>
      <c r="AE1692" s="609">
        <f t="shared" si="88"/>
        <v>-0.17239292572171039</v>
      </c>
    </row>
    <row r="1693" spans="2:31" x14ac:dyDescent="0.55000000000000004">
      <c r="B1693" s="564"/>
      <c r="C1693" s="564"/>
      <c r="Q1693" s="564"/>
      <c r="R1693" s="564"/>
      <c r="S1693" s="564"/>
      <c r="T1693" s="564"/>
      <c r="U1693" s="564"/>
      <c r="V1693" s="564"/>
      <c r="W1693" s="564"/>
      <c r="X1693" s="564"/>
      <c r="Y1693" s="564"/>
      <c r="Z1693" s="564"/>
      <c r="AA1693" s="564"/>
      <c r="AB1693" s="564"/>
      <c r="AC1693" s="564"/>
    </row>
    <row r="1694" spans="2:31" x14ac:dyDescent="0.55000000000000004">
      <c r="B1694" s="564" t="str">
        <f>B1690</f>
        <v>PAGS</v>
      </c>
      <c r="C1694" s="564"/>
      <c r="E1694" s="608">
        <f t="shared" ref="E1694:P1694" si="89">E1690/F1690*F1694</f>
        <v>14.126592441930423</v>
      </c>
      <c r="F1694" s="608">
        <f t="shared" si="89"/>
        <v>9.6000167192161765</v>
      </c>
      <c r="G1694" s="608">
        <f t="shared" si="89"/>
        <v>11.75582153665788</v>
      </c>
      <c r="H1694" s="608">
        <f t="shared" si="89"/>
        <v>9.5353886517948663</v>
      </c>
      <c r="I1694" s="608">
        <f t="shared" si="89"/>
        <v>9.5592719821883403</v>
      </c>
      <c r="J1694" s="608">
        <f t="shared" si="89"/>
        <v>6.9636046802139369</v>
      </c>
      <c r="K1694" s="608">
        <f t="shared" si="89"/>
        <v>7.2662990113863417</v>
      </c>
      <c r="L1694" s="608">
        <f t="shared" si="89"/>
        <v>10.479263142712455</v>
      </c>
      <c r="M1694" s="608">
        <f t="shared" si="89"/>
        <v>9.2194128254945511</v>
      </c>
      <c r="N1694" s="608">
        <f t="shared" si="89"/>
        <v>9.1759853034088188</v>
      </c>
      <c r="O1694" s="608">
        <f t="shared" si="89"/>
        <v>7.3122651688850713</v>
      </c>
      <c r="P1694" s="608">
        <f t="shared" si="89"/>
        <v>6.6321870673594052</v>
      </c>
      <c r="Q1694" s="608">
        <f t="shared" ref="Q1694:AA1694" si="90">Q1690/R1690*R1694</f>
        <v>7.845469431609823</v>
      </c>
      <c r="R1694" s="608">
        <f t="shared" si="90"/>
        <v>6.909703846529772</v>
      </c>
      <c r="S1694" s="608">
        <f t="shared" si="90"/>
        <v>6.57690538555243</v>
      </c>
      <c r="T1694" s="608">
        <f t="shared" si="90"/>
        <v>7.2096151910618484</v>
      </c>
      <c r="U1694" s="608">
        <f t="shared" si="90"/>
        <v>7.1389359637502112</v>
      </c>
      <c r="V1694" s="608">
        <f t="shared" si="90"/>
        <v>6.6111895620724397</v>
      </c>
      <c r="W1694" s="608">
        <f t="shared" si="90"/>
        <v>7.8175292067385538</v>
      </c>
      <c r="X1694" s="608">
        <f t="shared" si="90"/>
        <v>6.6364956377416133</v>
      </c>
      <c r="Y1694" s="608">
        <f t="shared" si="90"/>
        <v>6.357730831259456</v>
      </c>
      <c r="Z1694" s="608">
        <f t="shared" si="90"/>
        <v>5.2660543184615856</v>
      </c>
      <c r="AA1694" s="608">
        <f t="shared" si="90"/>
        <v>7.2828180137828822</v>
      </c>
      <c r="AB1694" s="608">
        <f t="shared" ref="AB1694:AD1695" si="91">AB1690/AC1690*AC1694</f>
        <v>8.5880266379643739</v>
      </c>
      <c r="AC1694" s="608">
        <f t="shared" si="91"/>
        <v>8.8713500304730122</v>
      </c>
      <c r="AD1694" s="608">
        <f t="shared" si="91"/>
        <v>9.1710709334010527</v>
      </c>
      <c r="AE1694" s="610">
        <f>Valuation!J44</f>
        <v>8.3182900331242671</v>
      </c>
    </row>
    <row r="1695" spans="2:31" x14ac:dyDescent="0.55000000000000004">
      <c r="B1695" s="564" t="str">
        <f>B1691</f>
        <v>StoneCo</v>
      </c>
      <c r="C1695" s="564"/>
      <c r="E1695" s="608">
        <f t="shared" ref="E1695:P1695" si="92">E1691/F1691*F1695</f>
        <v>20.223119421539554</v>
      </c>
      <c r="F1695" s="608">
        <f t="shared" si="92"/>
        <v>14.563856303503615</v>
      </c>
      <c r="G1695" s="608">
        <f t="shared" si="92"/>
        <v>13.600561642832002</v>
      </c>
      <c r="H1695" s="608">
        <f t="shared" si="92"/>
        <v>11.422404012439666</v>
      </c>
      <c r="I1695" s="608">
        <f t="shared" si="92"/>
        <v>11.724172290512042</v>
      </c>
      <c r="J1695" s="608">
        <f t="shared" si="92"/>
        <v>10.30051141737616</v>
      </c>
      <c r="K1695" s="608">
        <f t="shared" si="92"/>
        <v>12.846445195953123</v>
      </c>
      <c r="L1695" s="608">
        <f t="shared" si="92"/>
        <v>13.195924411709205</v>
      </c>
      <c r="M1695" s="608">
        <f t="shared" si="92"/>
        <v>13.701634129756769</v>
      </c>
      <c r="N1695" s="608">
        <f t="shared" si="92"/>
        <v>14.172392323288305</v>
      </c>
      <c r="O1695" s="608">
        <f t="shared" si="92"/>
        <v>14.878377489434579</v>
      </c>
      <c r="P1695" s="608">
        <f t="shared" si="92"/>
        <v>12.014254031008218</v>
      </c>
      <c r="Q1695" s="608">
        <f t="shared" ref="Q1695:AA1695" si="93">Q1691/R1691*R1695</f>
        <v>13.95617586546846</v>
      </c>
      <c r="R1695" s="608">
        <f t="shared" si="93"/>
        <v>10.594381249396353</v>
      </c>
      <c r="S1695" s="608">
        <f t="shared" si="93"/>
        <v>10.974567525691358</v>
      </c>
      <c r="T1695" s="608">
        <f t="shared" si="93"/>
        <v>13.926469621712634</v>
      </c>
      <c r="U1695" s="608">
        <f t="shared" si="93"/>
        <v>13.619846381425464</v>
      </c>
      <c r="V1695" s="608">
        <f t="shared" si="93"/>
        <v>12.319665282171062</v>
      </c>
      <c r="W1695" s="608">
        <f t="shared" si="93"/>
        <v>13.53468087645121</v>
      </c>
      <c r="X1695" s="608">
        <f t="shared" si="93"/>
        <v>11.041088814813333</v>
      </c>
      <c r="Y1695" s="608">
        <f t="shared" si="93"/>
        <v>9.3162161177364755</v>
      </c>
      <c r="Z1695" s="608">
        <f t="shared" si="93"/>
        <v>8.6117782143368657</v>
      </c>
      <c r="AA1695" s="608">
        <f t="shared" si="93"/>
        <v>11.108100504159028</v>
      </c>
      <c r="AB1695" s="608">
        <f t="shared" si="91"/>
        <v>12.271643090467816</v>
      </c>
      <c r="AC1695" s="608">
        <f t="shared" si="91"/>
        <v>11.316087245571484</v>
      </c>
      <c r="AD1695" s="608">
        <f t="shared" si="91"/>
        <v>11.161279904745562</v>
      </c>
      <c r="AE1695" s="611">
        <v>10.3</v>
      </c>
    </row>
    <row r="1696" spans="2:31" x14ac:dyDescent="0.55000000000000004">
      <c r="B1696" s="564" t="s">
        <v>3233</v>
      </c>
      <c r="C1696" s="564"/>
      <c r="E1696" s="608">
        <f t="shared" ref="E1696:P1696" si="94">F1696</f>
        <v>8.1300792760000018</v>
      </c>
      <c r="F1696" s="608">
        <f t="shared" si="94"/>
        <v>8.1300792760000018</v>
      </c>
      <c r="G1696" s="608">
        <f t="shared" si="94"/>
        <v>8.1300792760000018</v>
      </c>
      <c r="H1696" s="608">
        <f t="shared" si="94"/>
        <v>8.1300792760000018</v>
      </c>
      <c r="I1696" s="608">
        <f t="shared" si="94"/>
        <v>8.1300792760000018</v>
      </c>
      <c r="J1696" s="608">
        <f t="shared" si="94"/>
        <v>8.1300792760000018</v>
      </c>
      <c r="K1696" s="608">
        <f t="shared" si="94"/>
        <v>8.1300792760000018</v>
      </c>
      <c r="L1696" s="608">
        <f t="shared" si="94"/>
        <v>8.1300792760000018</v>
      </c>
      <c r="M1696" s="608">
        <f t="shared" si="94"/>
        <v>8.1300792760000018</v>
      </c>
      <c r="N1696" s="608">
        <f t="shared" si="94"/>
        <v>8.1300792760000018</v>
      </c>
      <c r="O1696" s="608">
        <f t="shared" si="94"/>
        <v>8.1300792760000018</v>
      </c>
      <c r="P1696" s="608">
        <f t="shared" si="94"/>
        <v>8.1300792760000018</v>
      </c>
      <c r="Q1696" s="608">
        <f t="shared" ref="Q1696:AA1696" si="95">R1696</f>
        <v>8.1300792760000018</v>
      </c>
      <c r="R1696" s="608">
        <f t="shared" si="95"/>
        <v>8.1300792760000018</v>
      </c>
      <c r="S1696" s="608">
        <f t="shared" si="95"/>
        <v>8.1300792760000018</v>
      </c>
      <c r="T1696" s="608">
        <f t="shared" si="95"/>
        <v>8.1300792760000018</v>
      </c>
      <c r="U1696" s="608">
        <f t="shared" si="95"/>
        <v>8.1300792760000018</v>
      </c>
      <c r="V1696" s="608">
        <f t="shared" si="95"/>
        <v>8.1300792760000018</v>
      </c>
      <c r="W1696" s="608">
        <f t="shared" si="95"/>
        <v>8.1300792760000018</v>
      </c>
      <c r="X1696" s="608">
        <f t="shared" si="95"/>
        <v>8.1300792760000018</v>
      </c>
      <c r="Y1696" s="608">
        <f t="shared" si="95"/>
        <v>8.1300792760000018</v>
      </c>
      <c r="Z1696" s="608">
        <f t="shared" si="95"/>
        <v>8.1300792760000018</v>
      </c>
      <c r="AA1696" s="608">
        <f t="shared" si="95"/>
        <v>8.1300792760000018</v>
      </c>
      <c r="AB1696" s="608">
        <f>AC1696</f>
        <v>8.1300792760000018</v>
      </c>
      <c r="AC1696" s="608">
        <f>AD1696</f>
        <v>8.1300792760000018</v>
      </c>
      <c r="AD1696" s="608">
        <f>AE1696</f>
        <v>8.1300792760000018</v>
      </c>
      <c r="AE1696" s="610">
        <f>AVERAGE(G1690:AE1690)</f>
        <v>8.1300792760000018</v>
      </c>
    </row>
    <row r="1697" spans="2:31" x14ac:dyDescent="0.55000000000000004">
      <c r="B1697" s="564" t="s">
        <v>3234</v>
      </c>
      <c r="C1697" s="564"/>
      <c r="E1697" s="608">
        <f t="shared" ref="E1697:P1697" si="96">F1697</f>
        <v>12.0664906</v>
      </c>
      <c r="F1697" s="608">
        <f t="shared" si="96"/>
        <v>12.0664906</v>
      </c>
      <c r="G1697" s="608">
        <f t="shared" si="96"/>
        <v>12.0664906</v>
      </c>
      <c r="H1697" s="608">
        <f t="shared" si="96"/>
        <v>12.0664906</v>
      </c>
      <c r="I1697" s="608">
        <f t="shared" si="96"/>
        <v>12.0664906</v>
      </c>
      <c r="J1697" s="608">
        <f t="shared" si="96"/>
        <v>12.0664906</v>
      </c>
      <c r="K1697" s="608">
        <f t="shared" si="96"/>
        <v>12.0664906</v>
      </c>
      <c r="L1697" s="608">
        <f t="shared" si="96"/>
        <v>12.0664906</v>
      </c>
      <c r="M1697" s="608">
        <f t="shared" si="96"/>
        <v>12.0664906</v>
      </c>
      <c r="N1697" s="608">
        <f t="shared" si="96"/>
        <v>12.0664906</v>
      </c>
      <c r="O1697" s="608">
        <f t="shared" si="96"/>
        <v>12.0664906</v>
      </c>
      <c r="P1697" s="608">
        <f t="shared" si="96"/>
        <v>12.0664906</v>
      </c>
      <c r="Q1697" s="608">
        <f t="shared" ref="Q1697:AD1697" si="97">R1697</f>
        <v>12.0664906</v>
      </c>
      <c r="R1697" s="608">
        <f t="shared" si="97"/>
        <v>12.0664906</v>
      </c>
      <c r="S1697" s="608">
        <f t="shared" si="97"/>
        <v>12.0664906</v>
      </c>
      <c r="T1697" s="608">
        <f t="shared" si="97"/>
        <v>12.0664906</v>
      </c>
      <c r="U1697" s="608">
        <f t="shared" si="97"/>
        <v>12.0664906</v>
      </c>
      <c r="V1697" s="608">
        <f t="shared" si="97"/>
        <v>12.0664906</v>
      </c>
      <c r="W1697" s="608">
        <f t="shared" si="97"/>
        <v>12.0664906</v>
      </c>
      <c r="X1697" s="608">
        <f t="shared" si="97"/>
        <v>12.0664906</v>
      </c>
      <c r="Y1697" s="608">
        <f t="shared" si="97"/>
        <v>12.0664906</v>
      </c>
      <c r="Z1697" s="608">
        <f t="shared" si="97"/>
        <v>12.0664906</v>
      </c>
      <c r="AA1697" s="608">
        <f t="shared" si="97"/>
        <v>12.0664906</v>
      </c>
      <c r="AB1697" s="608">
        <f t="shared" si="97"/>
        <v>12.0664906</v>
      </c>
      <c r="AC1697" s="608">
        <f t="shared" si="97"/>
        <v>12.0664906</v>
      </c>
      <c r="AD1697" s="608">
        <f t="shared" si="97"/>
        <v>12.0664906</v>
      </c>
      <c r="AE1697" s="610">
        <f>AVERAGE(G1691:AE1691)</f>
        <v>12.0664906</v>
      </c>
    </row>
    <row r="1698" spans="2:31" x14ac:dyDescent="0.55000000000000004">
      <c r="B1698" s="564" t="s">
        <v>3231</v>
      </c>
      <c r="C1698" s="564"/>
      <c r="E1698" s="609">
        <f t="shared" ref="E1698:P1698" si="98">E1694/E1695-1</f>
        <v>-0.3014632338627119</v>
      </c>
      <c r="F1698" s="609">
        <f t="shared" si="98"/>
        <v>-0.34083277676210599</v>
      </c>
      <c r="G1698" s="609">
        <f t="shared" si="98"/>
        <v>-0.13563705342612586</v>
      </c>
      <c r="H1698" s="609">
        <f t="shared" si="98"/>
        <v>-0.16520299567321639</v>
      </c>
      <c r="I1698" s="609">
        <f t="shared" si="98"/>
        <v>-0.18465272043773007</v>
      </c>
      <c r="J1698" s="609">
        <f t="shared" si="98"/>
        <v>-0.32395544278831845</v>
      </c>
      <c r="K1698" s="609">
        <f t="shared" si="98"/>
        <v>-0.4343727855799856</v>
      </c>
      <c r="L1698" s="609">
        <f t="shared" si="98"/>
        <v>-0.20587123601482304</v>
      </c>
      <c r="M1698" s="609">
        <f t="shared" si="98"/>
        <v>-0.32713041830009704</v>
      </c>
      <c r="N1698" s="609">
        <f t="shared" si="98"/>
        <v>-0.3525450683205622</v>
      </c>
      <c r="O1698" s="609">
        <f t="shared" si="98"/>
        <v>-0.50853074039305346</v>
      </c>
      <c r="P1698" s="609">
        <f t="shared" si="98"/>
        <v>-0.44797346133667171</v>
      </c>
      <c r="Q1698" s="609">
        <f t="shared" ref="Q1698:AE1698" si="99">Q1694/Q1695-1</f>
        <v>-0.4378496296380342</v>
      </c>
      <c r="R1698" s="609">
        <f t="shared" si="99"/>
        <v>-0.34779543194903684</v>
      </c>
      <c r="S1698" s="609">
        <f t="shared" si="99"/>
        <v>-0.40071393518186871</v>
      </c>
      <c r="T1698" s="609">
        <f t="shared" si="99"/>
        <v>-0.48230848255889625</v>
      </c>
      <c r="U1698" s="609">
        <f t="shared" si="99"/>
        <v>-0.47584313627162622</v>
      </c>
      <c r="V1698" s="609">
        <f t="shared" si="99"/>
        <v>-0.46336289090255489</v>
      </c>
      <c r="W1698" s="609">
        <f t="shared" si="99"/>
        <v>-0.42240757073628854</v>
      </c>
      <c r="X1698" s="609">
        <f t="shared" si="99"/>
        <v>-0.39892742925519042</v>
      </c>
      <c r="Y1698" s="609">
        <f t="shared" si="99"/>
        <v>-0.31756297289460378</v>
      </c>
      <c r="Z1698" s="609">
        <f t="shared" si="99"/>
        <v>-0.3885055806831309</v>
      </c>
      <c r="AA1698" s="609">
        <f t="shared" si="99"/>
        <v>-0.34436873243484845</v>
      </c>
      <c r="AB1698" s="609">
        <f t="shared" si="99"/>
        <v>-0.30017304327932637</v>
      </c>
      <c r="AC1698" s="609">
        <f t="shared" si="99"/>
        <v>-0.21604085953430707</v>
      </c>
      <c r="AD1698" s="609">
        <f t="shared" si="99"/>
        <v>-0.17831368699017314</v>
      </c>
      <c r="AE1698" s="609">
        <f t="shared" si="99"/>
        <v>-0.19239902591026536</v>
      </c>
    </row>
    <row r="1722" spans="2:15" x14ac:dyDescent="0.55000000000000004">
      <c r="B1722" t="s">
        <v>3251</v>
      </c>
    </row>
    <row r="1723" spans="2:15" x14ac:dyDescent="0.55000000000000004">
      <c r="C1723" s="8" t="str">
        <f>Quarts!AA4</f>
        <v>1Q 23</v>
      </c>
      <c r="D1723" s="8" t="str">
        <f>Quarts!AB4</f>
        <v>2Q 23</v>
      </c>
      <c r="E1723" s="8" t="str">
        <f>Quarts!AC4</f>
        <v>3Q 23</v>
      </c>
      <c r="F1723" s="8" t="str">
        <f>Quarts!AD4</f>
        <v>4Q 23</v>
      </c>
      <c r="G1723" s="8" t="e">
        <f>Quarts!#REF!</f>
        <v>#REF!</v>
      </c>
      <c r="H1723" s="8" t="str">
        <f>Quarts!AE4</f>
        <v>1Q 24E</v>
      </c>
      <c r="I1723" s="8" t="str">
        <f>Quarts!AF4</f>
        <v>2Q 24E</v>
      </c>
      <c r="J1723" s="8" t="str">
        <f>Quarts!AG4</f>
        <v>3Q 24E</v>
      </c>
      <c r="K1723" s="8" t="str">
        <f>Quarts!AH4</f>
        <v>4Q 24E</v>
      </c>
      <c r="L1723" s="8" t="str">
        <f>Quarts!AI4</f>
        <v>1Q 25E</v>
      </c>
      <c r="M1723" s="8" t="str">
        <f>Quarts!AJ4</f>
        <v>2Q 25E</v>
      </c>
      <c r="N1723" s="8" t="str">
        <f>Quarts!AK4</f>
        <v>3Q 25E</v>
      </c>
      <c r="O1723" s="8" t="str">
        <f>Quarts!AL4</f>
        <v>4Q 25E</v>
      </c>
    </row>
    <row r="1724" spans="2:15" x14ac:dyDescent="0.55000000000000004">
      <c r="B1724" t="s">
        <v>3252</v>
      </c>
      <c r="C1724" s="426">
        <f>Quarts!AA289</f>
        <v>77.034375000000011</v>
      </c>
      <c r="D1724" s="426">
        <f>Quarts!AB289</f>
        <v>74.983218750000006</v>
      </c>
      <c r="E1724" s="426">
        <f>Quarts!AC289</f>
        <v>84.116462500000011</v>
      </c>
      <c r="F1724" s="426">
        <f>Quarts!AD289</f>
        <v>92.041250000000005</v>
      </c>
      <c r="G1724" s="426" t="e">
        <f>Quarts!#REF!</f>
        <v>#REF!</v>
      </c>
      <c r="H1724" s="426">
        <f>Quarts!AE289</f>
        <v>76.54112909729416</v>
      </c>
      <c r="I1724" s="426">
        <f>Quarts!AF289</f>
        <v>60.36686798798803</v>
      </c>
      <c r="J1724" s="426">
        <f ca="1">Quarts!AG289</f>
        <v>61.100749176582902</v>
      </c>
      <c r="K1724" s="426">
        <f ca="1">Quarts!AH289</f>
        <v>82.473875124853635</v>
      </c>
      <c r="L1724" s="426">
        <f>Quarts!AI289</f>
        <v>65.450290246986455</v>
      </c>
      <c r="M1724" s="426">
        <f>Quarts!AJ289</f>
        <v>58.55992069934419</v>
      </c>
      <c r="N1724" s="426">
        <f ca="1">Quarts!AK289</f>
        <v>61.806632528435557</v>
      </c>
      <c r="O1724" s="426">
        <f ca="1">Quarts!AL289</f>
        <v>68.249778829921325</v>
      </c>
    </row>
    <row r="1725" spans="2:15" x14ac:dyDescent="0.55000000000000004">
      <c r="B1725" t="s">
        <v>3253</v>
      </c>
      <c r="C1725" s="426">
        <f>+Quarts!AA287</f>
        <v>104.7941216301175</v>
      </c>
      <c r="D1725" s="426">
        <f>+Quarts!AB287</f>
        <v>70.816781250000005</v>
      </c>
      <c r="E1725" s="426">
        <f>+Quarts!AC287</f>
        <v>71.883537499999989</v>
      </c>
      <c r="F1725" s="426">
        <f>+Quarts!AD287</f>
        <v>59.698750000000004</v>
      </c>
      <c r="G1725" s="426" t="e">
        <f>+Quarts!#REF!</f>
        <v>#REF!</v>
      </c>
      <c r="H1725" s="426">
        <f>+Quarts!AE287</f>
        <v>71</v>
      </c>
      <c r="I1725" s="426">
        <f>+Quarts!AF287</f>
        <v>78</v>
      </c>
      <c r="J1725" s="426">
        <f>+Quarts!AG287</f>
        <v>80</v>
      </c>
      <c r="K1725" s="426">
        <f>+Quarts!AH287</f>
        <v>84.915634710311167</v>
      </c>
      <c r="L1725" s="426">
        <f>+Quarts!AI287</f>
        <v>80</v>
      </c>
      <c r="M1725" s="426">
        <f>+Quarts!AJ287</f>
        <v>81</v>
      </c>
      <c r="N1725" s="426">
        <f>+Quarts!AK287</f>
        <v>82</v>
      </c>
      <c r="O1725" s="426">
        <f>+Quarts!AL287</f>
        <v>86.611416445826762</v>
      </c>
    </row>
    <row r="1726" spans="2:15" x14ac:dyDescent="0.55000000000000004">
      <c r="B1726" t="s">
        <v>3254</v>
      </c>
      <c r="C1726" s="4">
        <v>112.45804724409449</v>
      </c>
      <c r="D1726" s="4">
        <v>116.53937007874015</v>
      </c>
      <c r="E1726" s="4">
        <v>144.71149606299213</v>
      </c>
      <c r="F1726" s="4"/>
      <c r="G1726" s="4">
        <v>151.09898834188942</v>
      </c>
      <c r="H1726" s="4">
        <v>152.23097112860893</v>
      </c>
      <c r="I1726" s="4">
        <v>146.98162729658793</v>
      </c>
      <c r="J1726" s="4">
        <v>144.88188976377953</v>
      </c>
      <c r="K1726" s="4">
        <v>148.10603467583528</v>
      </c>
      <c r="L1726" s="4">
        <v>155.38057742782152</v>
      </c>
      <c r="M1726" s="4">
        <v>165.87926509186352</v>
      </c>
      <c r="N1726" s="4">
        <v>173.22834645669292</v>
      </c>
      <c r="O1726" s="4">
        <v>200.1280801207194</v>
      </c>
    </row>
    <row r="1747" spans="2:9" x14ac:dyDescent="0.55000000000000004">
      <c r="B1747" s="20"/>
      <c r="C1747" s="20">
        <v>2017</v>
      </c>
      <c r="D1747" s="20">
        <f t="shared" ref="D1747:I1747" si="100">C1747+1</f>
        <v>2018</v>
      </c>
      <c r="E1747" s="20">
        <f t="shared" si="100"/>
        <v>2019</v>
      </c>
      <c r="F1747" s="20">
        <f t="shared" si="100"/>
        <v>2020</v>
      </c>
      <c r="G1747" s="20">
        <f t="shared" si="100"/>
        <v>2021</v>
      </c>
      <c r="H1747" s="20">
        <f t="shared" si="100"/>
        <v>2022</v>
      </c>
      <c r="I1747" s="20">
        <f t="shared" si="100"/>
        <v>2023</v>
      </c>
    </row>
    <row r="1748" spans="2:9" x14ac:dyDescent="0.55000000000000004">
      <c r="B1748" t="s">
        <v>264</v>
      </c>
      <c r="C1748" s="11">
        <f>Master!E33</f>
        <v>3.6469656992084432E-2</v>
      </c>
      <c r="D1748" s="11">
        <f>Master!F33</f>
        <v>3.2170409511228536E-2</v>
      </c>
      <c r="E1748" s="11">
        <f>Master!G33</f>
        <v>3.0656303972366149E-2</v>
      </c>
      <c r="F1748" s="11">
        <f>Master!H33</f>
        <v>2.4220671103898434E-2</v>
      </c>
      <c r="G1748" s="11">
        <f>Master!I33</f>
        <v>2.3616205533596838E-2</v>
      </c>
      <c r="H1748" s="11">
        <f>Master!J33</f>
        <v>2.7103107344632768E-2</v>
      </c>
      <c r="I1748" s="11">
        <f>Master!K33</f>
        <v>2.4643943233654333E-2</v>
      </c>
    </row>
    <row r="1749" spans="2:9" x14ac:dyDescent="0.55000000000000004">
      <c r="B1749" t="s">
        <v>3255</v>
      </c>
      <c r="F1749" s="11">
        <v>2.23E-2</v>
      </c>
      <c r="G1749" s="11">
        <v>1.54E-2</v>
      </c>
      <c r="H1749" s="11">
        <v>2.1499999999999998E-2</v>
      </c>
      <c r="I1749" s="11">
        <v>2.4500000000000001E-2</v>
      </c>
    </row>
    <row r="1750" spans="2:9" x14ac:dyDescent="0.55000000000000004">
      <c r="B1750" t="s">
        <v>1814</v>
      </c>
      <c r="C1750" s="11">
        <v>1.5299999999999999E-2</v>
      </c>
      <c r="D1750" s="11">
        <v>1.83E-2</v>
      </c>
      <c r="E1750" s="11">
        <v>1.8499999999999999E-2</v>
      </c>
      <c r="F1750" s="11">
        <v>1.5100000000000001E-2</v>
      </c>
      <c r="G1750" s="11"/>
    </row>
    <row r="1752" spans="2:9" x14ac:dyDescent="0.55000000000000004">
      <c r="B1752" t="s">
        <v>3256</v>
      </c>
      <c r="C1752" s="11">
        <v>2.0136346863468646E-3</v>
      </c>
      <c r="D1752" s="11">
        <v>2.1944213836477986E-3</v>
      </c>
      <c r="E1752" s="11">
        <v>2.0729590984974963E-3</v>
      </c>
      <c r="F1752" s="11">
        <v>2.2536231884057985E-3</v>
      </c>
      <c r="G1752" s="11">
        <v>1.9424301784328934E-3</v>
      </c>
      <c r="H1752" s="11">
        <v>1.734825293350718E-3</v>
      </c>
      <c r="I1752" s="11">
        <v>1.7115384615384616E-3</v>
      </c>
    </row>
    <row r="1754" spans="2:9" x14ac:dyDescent="0.55000000000000004">
      <c r="B1754" s="1"/>
      <c r="C1754" s="20">
        <f>Master!K2</f>
        <v>2023</v>
      </c>
      <c r="D1754" s="20">
        <f>Master!L2</f>
        <v>2024</v>
      </c>
      <c r="E1754" s="20">
        <f>Master!M2</f>
        <v>2025</v>
      </c>
      <c r="F1754" s="20">
        <f>Master!N2</f>
        <v>2026</v>
      </c>
      <c r="G1754" s="20">
        <f>Master!O2</f>
        <v>2027</v>
      </c>
      <c r="H1754" s="20">
        <f>Master!P2</f>
        <v>2028</v>
      </c>
      <c r="I1754" s="20">
        <f>Master!Q2</f>
        <v>2029</v>
      </c>
    </row>
    <row r="1755" spans="2:9" x14ac:dyDescent="0.55000000000000004">
      <c r="B1755" t="s">
        <v>264</v>
      </c>
      <c r="C1755" s="11">
        <f>Master!K33</f>
        <v>2.4643943233654333E-2</v>
      </c>
      <c r="D1755" s="11">
        <f>Master!L33</f>
        <v>2.2755086078811694E-2</v>
      </c>
      <c r="E1755" s="11">
        <f>Master!M33</f>
        <v>2.1736757007815924E-2</v>
      </c>
      <c r="F1755" s="11">
        <f>Master!N33</f>
        <v>2.0620059775920699E-2</v>
      </c>
      <c r="G1755" s="11">
        <f>Master!O33</f>
        <v>1.9702314088007863E-2</v>
      </c>
      <c r="H1755" s="11">
        <f>Master!P33</f>
        <v>1.9430828377987552E-2</v>
      </c>
      <c r="I1755" s="11">
        <f>Master!Q33</f>
        <v>1.8943373852495896E-2</v>
      </c>
    </row>
    <row r="1756" spans="2:9" x14ac:dyDescent="0.55000000000000004">
      <c r="B1756" t="s">
        <v>3257</v>
      </c>
      <c r="C1756" s="11">
        <f>Master!K36</f>
        <v>2.1958462935416992E-2</v>
      </c>
      <c r="D1756" s="11">
        <f>Master!L36</f>
        <v>2.0410788701396634E-2</v>
      </c>
      <c r="E1756" s="11">
        <f>Master!M36</f>
        <v>1.8904893223575522E-2</v>
      </c>
      <c r="F1756" s="11">
        <f>Master!N36</f>
        <v>1.7621732516118319E-2</v>
      </c>
      <c r="G1756" s="11">
        <f>Master!O36</f>
        <v>1.6592364212133968E-2</v>
      </c>
      <c r="H1756" s="11">
        <f>Master!P36</f>
        <v>1.611929426467516E-2</v>
      </c>
      <c r="I1756" s="11">
        <f>Master!Q36</f>
        <v>1.5449114320566736E-2</v>
      </c>
    </row>
    <row r="1778" spans="3:7" x14ac:dyDescent="0.55000000000000004">
      <c r="C1778" s="20" t="s">
        <v>264</v>
      </c>
      <c r="D1778" s="19" t="s">
        <v>2658</v>
      </c>
      <c r="E1778" s="19" t="s">
        <v>2735</v>
      </c>
      <c r="F1778" s="19" t="s">
        <v>2939</v>
      </c>
      <c r="G1778" s="19" t="s">
        <v>3258</v>
      </c>
    </row>
    <row r="1779" spans="3:7" x14ac:dyDescent="0.55000000000000004">
      <c r="C1779" s="412" t="s">
        <v>2696</v>
      </c>
      <c r="D1779" s="412"/>
      <c r="E1779" s="655">
        <v>0.1</v>
      </c>
      <c r="F1779" s="655">
        <v>0.15</v>
      </c>
      <c r="G1779" s="655">
        <v>0.27</v>
      </c>
    </row>
    <row r="1780" spans="3:7" x14ac:dyDescent="0.55000000000000004">
      <c r="C1780" s="37" t="s">
        <v>2052</v>
      </c>
      <c r="E1780" s="366"/>
      <c r="F1780" s="366"/>
      <c r="G1780" s="366"/>
    </row>
    <row r="1781" spans="3:7" x14ac:dyDescent="0.55000000000000004">
      <c r="C1781" s="412" t="s">
        <v>1924</v>
      </c>
      <c r="D1781" s="412"/>
      <c r="E1781" s="412"/>
      <c r="F1781" s="414">
        <v>0.18</v>
      </c>
      <c r="G1781" s="414">
        <v>0.31</v>
      </c>
    </row>
    <row r="1782" spans="3:7" x14ac:dyDescent="0.55000000000000004">
      <c r="C1782" t="s">
        <v>2889</v>
      </c>
      <c r="F1782" s="2">
        <v>0.09</v>
      </c>
      <c r="G1782" s="2">
        <v>0.14000000000000001</v>
      </c>
    </row>
    <row r="1783" spans="3:7" x14ac:dyDescent="0.55000000000000004">
      <c r="C1783" s="412"/>
      <c r="D1783" s="412"/>
      <c r="E1783" s="412"/>
      <c r="F1783" s="414"/>
      <c r="G1783" s="414"/>
    </row>
    <row r="1784" spans="3:7" x14ac:dyDescent="0.55000000000000004">
      <c r="C1784" s="1" t="s">
        <v>2651</v>
      </c>
      <c r="D1784" s="1"/>
      <c r="E1784" s="1"/>
      <c r="F1784" s="30">
        <v>0.03</v>
      </c>
      <c r="G1784" s="30">
        <v>0.11</v>
      </c>
    </row>
    <row r="1785" spans="3:7" x14ac:dyDescent="0.55000000000000004">
      <c r="C1785" s="580" t="s">
        <v>1458</v>
      </c>
      <c r="D1785" s="656">
        <f>Quarts!BC159</f>
        <v>9.9875156054931358E-2</v>
      </c>
      <c r="E1785" s="656">
        <f>Quarts!BD159</f>
        <v>3.9237668161435035E-2</v>
      </c>
      <c r="F1785" s="656">
        <f>Quarts!BE159</f>
        <v>0.10560354374307868</v>
      </c>
      <c r="G1785" s="656">
        <f>Quarts!BF159</f>
        <v>0.20890774125132561</v>
      </c>
    </row>
    <row r="1786" spans="3:7" x14ac:dyDescent="0.55000000000000004">
      <c r="C1786" s="18"/>
      <c r="D1786" s="18"/>
      <c r="E1786" s="41"/>
      <c r="F1786" s="41"/>
      <c r="G1786" s="41"/>
    </row>
    <row r="1787" spans="3:7" x14ac:dyDescent="0.55000000000000004">
      <c r="C1787" s="20" t="s">
        <v>1814</v>
      </c>
      <c r="D1787" s="19" t="s">
        <v>2735</v>
      </c>
      <c r="E1787" s="19" t="s">
        <v>2735</v>
      </c>
      <c r="F1787" s="19" t="s">
        <v>2939</v>
      </c>
      <c r="G1787" s="19" t="s">
        <v>3280</v>
      </c>
    </row>
    <row r="1788" spans="3:7" x14ac:dyDescent="0.55000000000000004">
      <c r="C1788" s="412" t="s">
        <v>2696</v>
      </c>
      <c r="D1788" s="414">
        <v>0.24</v>
      </c>
      <c r="E1788" s="655">
        <v>0.19</v>
      </c>
      <c r="F1788" s="655">
        <v>0.2</v>
      </c>
      <c r="G1788" s="414">
        <v>0.25</v>
      </c>
    </row>
    <row r="1789" spans="3:7" x14ac:dyDescent="0.55000000000000004">
      <c r="E1789" s="366"/>
      <c r="F1789" s="366"/>
    </row>
    <row r="1790" spans="3:7" x14ac:dyDescent="0.55000000000000004">
      <c r="C1790" s="415" t="s">
        <v>1458</v>
      </c>
      <c r="D1790" s="657">
        <v>0.12</v>
      </c>
      <c r="E1790" s="657">
        <v>7.0000000000000007E-2</v>
      </c>
      <c r="F1790" s="657">
        <v>0.11</v>
      </c>
      <c r="G1790" s="657">
        <v>0.16</v>
      </c>
    </row>
    <row r="1791" spans="3:7" x14ac:dyDescent="0.55000000000000004">
      <c r="C1791" s="18"/>
      <c r="D1791" s="18"/>
      <c r="E1791" s="41"/>
      <c r="F1791" s="41"/>
      <c r="G1791" s="41"/>
    </row>
    <row r="1792" spans="3:7" x14ac:dyDescent="0.55000000000000004">
      <c r="C1792" s="18"/>
      <c r="D1792" s="18"/>
      <c r="E1792" s="41"/>
      <c r="F1792" s="41"/>
      <c r="G1792" s="41"/>
    </row>
    <row r="1793" spans="2:9" x14ac:dyDescent="0.55000000000000004">
      <c r="C1793" s="18"/>
      <c r="D1793" s="18"/>
      <c r="E1793" s="41"/>
      <c r="F1793" s="41"/>
      <c r="G1793" s="41"/>
    </row>
    <row r="1794" spans="2:9" x14ac:dyDescent="0.55000000000000004">
      <c r="C1794" s="18"/>
      <c r="D1794" s="18"/>
      <c r="E1794" s="41"/>
      <c r="F1794" s="41"/>
      <c r="G1794" s="41"/>
    </row>
    <row r="1795" spans="2:9" x14ac:dyDescent="0.55000000000000004">
      <c r="C1795" s="18"/>
      <c r="D1795" s="18"/>
      <c r="E1795" s="41"/>
      <c r="F1795" s="41"/>
      <c r="G1795" s="41"/>
    </row>
    <row r="1796" spans="2:9" ht="14.7" thickBot="1" x14ac:dyDescent="0.6">
      <c r="B1796" s="18" t="s">
        <v>3279</v>
      </c>
    </row>
    <row r="1797" spans="2:9" x14ac:dyDescent="0.55000000000000004">
      <c r="B1797" s="564"/>
      <c r="C1797" s="564"/>
      <c r="D1797" s="564"/>
      <c r="E1797" s="564"/>
      <c r="F1797" s="664" t="s">
        <v>3278</v>
      </c>
    </row>
    <row r="1798" spans="2:9" x14ac:dyDescent="0.55000000000000004">
      <c r="B1798" s="561"/>
      <c r="C1798" s="665" t="s">
        <v>3274</v>
      </c>
      <c r="D1798" s="665" t="s">
        <v>463</v>
      </c>
      <c r="E1798" s="665" t="s">
        <v>1090</v>
      </c>
      <c r="F1798" s="666" t="s">
        <v>1090</v>
      </c>
    </row>
    <row r="1799" spans="2:9" x14ac:dyDescent="0.55000000000000004">
      <c r="B1799" s="562" t="s">
        <v>683</v>
      </c>
      <c r="C1799" s="667" t="s">
        <v>3275</v>
      </c>
      <c r="D1799" s="563">
        <f>Acquirer!M7</f>
        <v>457.82619834710738</v>
      </c>
      <c r="E1799" s="562">
        <f>'Vs consensus'!D11</f>
        <v>447</v>
      </c>
      <c r="F1799" s="668">
        <f>449/E1799-1</f>
        <v>4.4742729306488371E-3</v>
      </c>
    </row>
    <row r="1800" spans="2:9" x14ac:dyDescent="0.55000000000000004">
      <c r="B1800" s="564" t="s">
        <v>3273</v>
      </c>
      <c r="C1800" s="669" t="s">
        <v>3357</v>
      </c>
      <c r="D1800" s="570">
        <f>Master!L39</f>
        <v>0.40548374837603612</v>
      </c>
      <c r="E1800" s="564"/>
      <c r="F1800" s="670"/>
    </row>
    <row r="1801" spans="2:9" ht="14.7" thickBot="1" x14ac:dyDescent="0.6">
      <c r="B1801" s="562" t="s">
        <v>3277</v>
      </c>
      <c r="C1801" s="667" t="s">
        <v>3276</v>
      </c>
      <c r="D1801" s="671">
        <f>Master!L103/1000</f>
        <v>2.1674068836829048</v>
      </c>
      <c r="E1801" s="672">
        <f>'Vs consensus'!D14/1000</f>
        <v>2.1</v>
      </c>
      <c r="F1801" s="673">
        <f>2.1/E1801-1</f>
        <v>0</v>
      </c>
    </row>
    <row r="1806" spans="2:9" x14ac:dyDescent="0.55000000000000004">
      <c r="B1806" s="564"/>
      <c r="C1806" s="564"/>
      <c r="D1806" s="564"/>
      <c r="E1806" s="564"/>
    </row>
    <row r="1807" spans="2:9" x14ac:dyDescent="0.55000000000000004">
      <c r="B1807" s="561" t="s">
        <v>3356</v>
      </c>
      <c r="C1807" s="561">
        <v>2024</v>
      </c>
      <c r="D1807" s="561">
        <f>C1807+1</f>
        <v>2025</v>
      </c>
      <c r="E1807" s="561">
        <f>D1807+1</f>
        <v>2026</v>
      </c>
      <c r="F1807" s="1"/>
      <c r="G1807" s="561">
        <v>2024</v>
      </c>
      <c r="H1807" s="561">
        <f>G1807+1</f>
        <v>2025</v>
      </c>
      <c r="I1807" s="561">
        <f>H1807+1</f>
        <v>2026</v>
      </c>
    </row>
    <row r="1808" spans="2:9" x14ac:dyDescent="0.55000000000000004">
      <c r="B1808" s="562" t="s">
        <v>462</v>
      </c>
      <c r="C1808" s="566">
        <f>Acquirer!M7</f>
        <v>457.82619834710738</v>
      </c>
      <c r="D1808" s="566">
        <f>Acquirer!N7</f>
        <v>522.17537685950413</v>
      </c>
      <c r="E1808" s="566">
        <f>Acquirer!O7</f>
        <v>586.17561545454555</v>
      </c>
      <c r="F1808" s="413"/>
      <c r="G1808" s="566">
        <v>433.95640110505485</v>
      </c>
      <c r="H1808" s="566">
        <v>482.8673946389905</v>
      </c>
      <c r="I1808" s="566">
        <v>536.01210016127823</v>
      </c>
    </row>
    <row r="1809" spans="2:9" x14ac:dyDescent="0.55000000000000004">
      <c r="B1809" s="564" t="s">
        <v>294</v>
      </c>
      <c r="C1809" s="565">
        <f>Master!L12</f>
        <v>17433.882583367609</v>
      </c>
      <c r="D1809" s="565">
        <f>Master!M12</f>
        <v>19159.259496036688</v>
      </c>
      <c r="E1809" s="565">
        <f>Master!N12</f>
        <v>20618.750366735352</v>
      </c>
      <c r="F1809" s="7"/>
      <c r="G1809" s="565">
        <v>17034.274858496763</v>
      </c>
      <c r="H1809" s="565">
        <v>18169.389395832477</v>
      </c>
      <c r="I1809" s="565">
        <v>19222.010812418575</v>
      </c>
    </row>
    <row r="1810" spans="2:9" x14ac:dyDescent="0.55000000000000004">
      <c r="B1810" s="562" t="s">
        <v>256</v>
      </c>
      <c r="C1810" s="660">
        <f>Master!L33</f>
        <v>2.2755086078811694E-2</v>
      </c>
      <c r="D1810" s="660">
        <f>Master!M33</f>
        <v>2.1736757007815924E-2</v>
      </c>
      <c r="E1810" s="660">
        <f>Master!N33</f>
        <v>2.0620059775920699E-2</v>
      </c>
      <c r="F1810" s="412"/>
      <c r="G1810" s="660">
        <v>2.3774497588201823E-2</v>
      </c>
      <c r="H1810" s="660">
        <v>2.2494790621224971E-2</v>
      </c>
      <c r="I1810" s="660">
        <v>2.12493792954861E-2</v>
      </c>
    </row>
    <row r="1811" spans="2:9" x14ac:dyDescent="0.55000000000000004">
      <c r="B1811" s="564" t="s">
        <v>1774</v>
      </c>
      <c r="C1811" s="565">
        <f>Master!L38</f>
        <v>7069.1560586515907</v>
      </c>
      <c r="D1811" s="565">
        <f>Master!M38</f>
        <v>8054.1019201249774</v>
      </c>
      <c r="E1811" s="565">
        <f>Master!N38</f>
        <v>8541.1662492869873</v>
      </c>
      <c r="F1811" s="7"/>
      <c r="G1811" s="565">
        <v>6807.611724713679</v>
      </c>
      <c r="H1811" s="565">
        <v>7483.2554882805644</v>
      </c>
      <c r="I1811" s="565">
        <v>7847.9688031761716</v>
      </c>
    </row>
    <row r="1812" spans="2:9" x14ac:dyDescent="0.55000000000000004">
      <c r="B1812" s="562" t="s">
        <v>477</v>
      </c>
      <c r="C1812" s="569">
        <f>C1811/C1809</f>
        <v>0.40548374837603612</v>
      </c>
      <c r="D1812" s="569">
        <f>D1811/D1809</f>
        <v>0.42037647236789399</v>
      </c>
      <c r="E1812" s="569">
        <f>E1811/E1809</f>
        <v>0.41424267219737154</v>
      </c>
      <c r="F1812" s="412"/>
      <c r="G1812" s="569">
        <f>G1811/G1809</f>
        <v>0.3996420030358977</v>
      </c>
      <c r="H1812" s="569">
        <f>H1811/H1809</f>
        <v>0.41186059284947696</v>
      </c>
      <c r="I1812" s="569">
        <f>I1811/I1809</f>
        <v>0.40828032403903924</v>
      </c>
    </row>
    <row r="1813" spans="2:9" x14ac:dyDescent="0.55000000000000004">
      <c r="B1813" s="564"/>
      <c r="C1813" s="570"/>
      <c r="D1813" s="570"/>
      <c r="E1813" s="570"/>
      <c r="G1813" s="570"/>
      <c r="H1813" s="570"/>
      <c r="I1813" s="570"/>
    </row>
    <row r="1814" spans="2:9" x14ac:dyDescent="0.55000000000000004">
      <c r="B1814" s="562" t="s">
        <v>3353</v>
      </c>
      <c r="C1814" s="566">
        <f>C1817-C1815-C1816</f>
        <v>10071.285962409844</v>
      </c>
      <c r="D1814" s="566">
        <f t="shared" ref="D1814:E1814" si="101">D1817-D1815-D1816</f>
        <v>11229.109373123702</v>
      </c>
      <c r="E1814" s="566">
        <f t="shared" si="101"/>
        <v>12256.885485937204</v>
      </c>
      <c r="F1814" s="413"/>
      <c r="G1814" s="566">
        <f t="shared" ref="G1814" si="102">G1817-G1815-G1816</f>
        <v>9871.5401857379293</v>
      </c>
      <c r="H1814" s="566">
        <f t="shared" ref="H1814" si="103">H1817-H1815-H1816</f>
        <v>10594.453457483531</v>
      </c>
      <c r="I1814" s="566">
        <f t="shared" ref="I1814" si="104">I1817-I1815-I1816</f>
        <v>11261.383891693957</v>
      </c>
    </row>
    <row r="1815" spans="2:9" x14ac:dyDescent="0.55000000000000004">
      <c r="B1815" s="564" t="s">
        <v>2169</v>
      </c>
      <c r="C1815" s="565">
        <f>Master!L62</f>
        <v>2814.6109517699424</v>
      </c>
      <c r="D1815" s="565">
        <f>Master!M62</f>
        <v>2682.7958329098233</v>
      </c>
      <c r="E1815" s="565">
        <f>Master!N62</f>
        <v>2870.2753146387149</v>
      </c>
      <c r="F1815" s="7"/>
      <c r="G1815" s="565">
        <v>2921.3117734235893</v>
      </c>
      <c r="H1815" s="565">
        <v>2724.489366286994</v>
      </c>
      <c r="I1815" s="565">
        <v>2859.6879100354249</v>
      </c>
    </row>
    <row r="1816" spans="2:9" x14ac:dyDescent="0.55000000000000004">
      <c r="B1816" s="650" t="s">
        <v>3354</v>
      </c>
      <c r="C1816" s="651">
        <f>Master!L72+Master!L81</f>
        <v>1973.5470645841904</v>
      </c>
      <c r="D1816" s="651">
        <f>Master!M72+Master!M81</f>
        <v>1991.6814874009174</v>
      </c>
      <c r="E1816" s="651">
        <f>Master!N72+Master!N81</f>
        <v>2059.438759168384</v>
      </c>
      <c r="F1816" s="418"/>
      <c r="G1816" s="651">
        <f>1779.09687146242+Master!L81</f>
        <v>1979.09687146242</v>
      </c>
      <c r="H1816" s="651">
        <f>1962.79873489581+Master!M81</f>
        <v>2112.79873489581</v>
      </c>
      <c r="I1816" s="651">
        <f>2041.01926039046+Master!N81</f>
        <v>2191.0192603904597</v>
      </c>
    </row>
    <row r="1817" spans="2:9" x14ac:dyDescent="0.55000000000000004">
      <c r="B1817" s="564" t="s">
        <v>3355</v>
      </c>
      <c r="C1817" s="565">
        <f>Master!L86</f>
        <v>14859.443978763977</v>
      </c>
      <c r="D1817" s="565">
        <f>Master!M86</f>
        <v>15903.586693434443</v>
      </c>
      <c r="E1817" s="565">
        <f>Master!N86</f>
        <v>17186.599559744303</v>
      </c>
      <c r="F1817" s="7"/>
      <c r="G1817" s="565">
        <v>14771.948830623938</v>
      </c>
      <c r="H1817" s="565">
        <v>15431.741558666336</v>
      </c>
      <c r="I1817" s="565">
        <v>16312.091062119842</v>
      </c>
    </row>
    <row r="1818" spans="2:9" x14ac:dyDescent="0.55000000000000004">
      <c r="B1818" s="562"/>
      <c r="C1818" s="563"/>
      <c r="D1818" s="563"/>
      <c r="E1818" s="563"/>
      <c r="F1818" s="412"/>
      <c r="G1818" s="412"/>
      <c r="H1818" s="412"/>
      <c r="I1818" s="412"/>
    </row>
    <row r="1819" spans="2:9" x14ac:dyDescent="0.55000000000000004">
      <c r="B1819" s="564" t="s">
        <v>476</v>
      </c>
      <c r="C1819" s="565">
        <f>Master!L89</f>
        <v>2574.4386046036307</v>
      </c>
      <c r="D1819" s="565">
        <f>Master!M89</f>
        <v>3255.6728026022447</v>
      </c>
      <c r="E1819" s="565">
        <f>Master!N89</f>
        <v>3432.1508069910487</v>
      </c>
      <c r="F1819" s="7"/>
      <c r="G1819" s="565">
        <f>G1809-G1817</f>
        <v>2262.3260278728249</v>
      </c>
      <c r="H1819" s="565">
        <f>H1809-H1817</f>
        <v>2737.6478371661415</v>
      </c>
      <c r="I1819" s="565">
        <f>I1809-I1817</f>
        <v>2909.9197502987336</v>
      </c>
    </row>
    <row r="1820" spans="2:9" x14ac:dyDescent="0.55000000000000004">
      <c r="B1820" s="562" t="s">
        <v>1091</v>
      </c>
      <c r="C1820" s="566">
        <f>Master!L94</f>
        <v>2059.5508836829044</v>
      </c>
      <c r="D1820" s="566">
        <f>Master!M94</f>
        <v>2604.5382420817959</v>
      </c>
      <c r="E1820" s="566">
        <f>Master!N94</f>
        <v>2745.720645592839</v>
      </c>
      <c r="F1820" s="413"/>
      <c r="G1820" s="566">
        <v>1855.1073428557165</v>
      </c>
      <c r="H1820" s="566">
        <v>2162.7417913612517</v>
      </c>
      <c r="I1820" s="566">
        <v>2298.8366027359998</v>
      </c>
    </row>
    <row r="1821" spans="2:9" x14ac:dyDescent="0.55000000000000004">
      <c r="B1821" s="564" t="s">
        <v>1092</v>
      </c>
      <c r="C1821" s="565">
        <f>Master!L103</f>
        <v>2167.4068836829047</v>
      </c>
      <c r="D1821" s="565">
        <f>Master!M103</f>
        <v>2717.7870420817958</v>
      </c>
      <c r="E1821" s="565">
        <f>Master!N103</f>
        <v>2864.6318855928389</v>
      </c>
      <c r="F1821" s="7"/>
      <c r="G1821" s="565">
        <v>1962.9633428557165</v>
      </c>
      <c r="H1821" s="565">
        <v>2275.9905913612515</v>
      </c>
      <c r="I1821" s="565">
        <v>2417.7478427359997</v>
      </c>
    </row>
    <row r="1822" spans="2:9" x14ac:dyDescent="0.55000000000000004">
      <c r="B1822" s="562"/>
      <c r="C1822" s="562"/>
      <c r="D1822" s="562"/>
      <c r="E1822" s="562"/>
      <c r="F1822" s="412"/>
      <c r="G1822" s="412"/>
      <c r="H1822" s="412"/>
      <c r="I1822" s="412"/>
    </row>
    <row r="1823" spans="2:9" x14ac:dyDescent="0.55000000000000004">
      <c r="B1823" s="663" t="s">
        <v>7</v>
      </c>
      <c r="C1823" s="564"/>
      <c r="D1823" s="564"/>
      <c r="E1823" s="564"/>
    </row>
    <row r="1824" spans="2:9" x14ac:dyDescent="0.55000000000000004">
      <c r="B1824" s="562" t="s">
        <v>462</v>
      </c>
      <c r="C1824" s="661">
        <f t="shared" ref="C1824:E1825" si="105">C1808/G1808-1</f>
        <v>5.5005058529540962E-2</v>
      </c>
      <c r="D1824" s="661">
        <f t="shared" si="105"/>
        <v>8.1405335412845004E-2</v>
      </c>
      <c r="E1824" s="661">
        <f t="shared" si="105"/>
        <v>9.3586535225928413E-2</v>
      </c>
      <c r="F1824" s="412"/>
      <c r="G1824" s="412"/>
      <c r="H1824" s="412"/>
      <c r="I1824" s="412"/>
    </row>
    <row r="1825" spans="2:9" x14ac:dyDescent="0.55000000000000004">
      <c r="B1825" s="564" t="s">
        <v>294</v>
      </c>
      <c r="C1825" s="609">
        <f t="shared" si="105"/>
        <v>2.3459039389136072E-2</v>
      </c>
      <c r="D1825" s="609">
        <f t="shared" si="105"/>
        <v>5.4480097191997867E-2</v>
      </c>
      <c r="E1825" s="609">
        <f t="shared" si="105"/>
        <v>7.2663550548748956E-2</v>
      </c>
    </row>
    <row r="1826" spans="2:9" x14ac:dyDescent="0.55000000000000004">
      <c r="B1826" s="562" t="s">
        <v>1774</v>
      </c>
      <c r="C1826" s="661">
        <f>C1811/G1811-1</f>
        <v>3.8419396480622758E-2</v>
      </c>
      <c r="D1826" s="661">
        <f>D1811/H1811-1</f>
        <v>7.6283167498210958E-2</v>
      </c>
      <c r="E1826" s="661">
        <f>E1811/I1811-1</f>
        <v>8.8328262190628282E-2</v>
      </c>
      <c r="F1826" s="412"/>
      <c r="G1826" s="412"/>
      <c r="H1826" s="412"/>
      <c r="I1826" s="412"/>
    </row>
    <row r="1827" spans="2:9" x14ac:dyDescent="0.55000000000000004">
      <c r="B1827" s="564"/>
      <c r="C1827" s="609"/>
      <c r="D1827" s="609"/>
      <c r="E1827" s="609"/>
    </row>
    <row r="1828" spans="2:9" x14ac:dyDescent="0.55000000000000004">
      <c r="B1828" s="562" t="s">
        <v>3353</v>
      </c>
      <c r="C1828" s="661">
        <f>C1814/G1814-1</f>
        <v>2.0234509804305967E-2</v>
      </c>
      <c r="D1828" s="661">
        <f t="shared" ref="D1828:D1831" si="106">D1814/H1814-1</f>
        <v>5.9904545164797929E-2</v>
      </c>
      <c r="E1828" s="661">
        <f t="shared" ref="E1828:E1831" si="107">E1814/I1814-1</f>
        <v>8.8399578934299283E-2</v>
      </c>
      <c r="F1828" s="412"/>
      <c r="G1828" s="412"/>
      <c r="H1828" s="412"/>
      <c r="I1828" s="412"/>
    </row>
    <row r="1829" spans="2:9" x14ac:dyDescent="0.55000000000000004">
      <c r="B1829" s="564" t="s">
        <v>2169</v>
      </c>
      <c r="C1829" s="609">
        <f>C1815/G1815-1</f>
        <v>-3.6524968893888565E-2</v>
      </c>
      <c r="D1829" s="609">
        <f t="shared" si="106"/>
        <v>-1.5303246873740517E-2</v>
      </c>
      <c r="E1829" s="609">
        <f t="shared" si="107"/>
        <v>3.7022937244781673E-3</v>
      </c>
    </row>
    <row r="1830" spans="2:9" x14ac:dyDescent="0.55000000000000004">
      <c r="B1830" s="650" t="s">
        <v>3354</v>
      </c>
      <c r="C1830" s="662">
        <f>C1816/G1816-1</f>
        <v>-2.8042118393774018E-3</v>
      </c>
      <c r="D1830" s="662">
        <f t="shared" si="106"/>
        <v>-5.7325501712242044E-2</v>
      </c>
      <c r="E1830" s="662">
        <f t="shared" si="107"/>
        <v>-6.0054470355786371E-2</v>
      </c>
      <c r="F1830" s="412"/>
      <c r="G1830" s="412"/>
      <c r="H1830" s="412"/>
      <c r="I1830" s="412"/>
    </row>
    <row r="1831" spans="2:9" x14ac:dyDescent="0.55000000000000004">
      <c r="B1831" s="564" t="s">
        <v>3355</v>
      </c>
      <c r="C1831" s="609">
        <f>C1817/G1817-1</f>
        <v>5.9230606024474053E-3</v>
      </c>
      <c r="D1831" s="609">
        <f t="shared" si="106"/>
        <v>3.057627248190431E-2</v>
      </c>
      <c r="E1831" s="609">
        <f t="shared" si="107"/>
        <v>5.3611060304540326E-2</v>
      </c>
    </row>
    <row r="1832" spans="2:9" x14ac:dyDescent="0.55000000000000004">
      <c r="B1832" s="412"/>
      <c r="C1832" s="412"/>
      <c r="D1832" s="412"/>
      <c r="E1832" s="412"/>
    </row>
    <row r="1833" spans="2:9" x14ac:dyDescent="0.55000000000000004">
      <c r="B1833" s="564" t="s">
        <v>476</v>
      </c>
      <c r="C1833" s="609">
        <f>C1819/G1819-1</f>
        <v>0.13796091849072378</v>
      </c>
      <c r="D1833" s="609">
        <f>D1819/H1819-1</f>
        <v>0.18922264522245258</v>
      </c>
      <c r="E1833" s="609">
        <f>E1819/I1819-1</f>
        <v>0.1794657933912791</v>
      </c>
    </row>
    <row r="1834" spans="2:9" x14ac:dyDescent="0.55000000000000004">
      <c r="B1834" s="562" t="s">
        <v>1091</v>
      </c>
      <c r="C1834" s="661">
        <f>C1820/G1820-1</f>
        <v>0.11020577413729149</v>
      </c>
      <c r="D1834" s="661">
        <f t="shared" ref="D1834" si="108">D1820/H1820-1</f>
        <v>0.20427609642780009</v>
      </c>
      <c r="E1834" s="661">
        <f t="shared" ref="E1834" si="109">E1820/I1820-1</f>
        <v>0.19439574014306737</v>
      </c>
    </row>
    <row r="1835" spans="2:9" x14ac:dyDescent="0.55000000000000004">
      <c r="B1835" s="614" t="s">
        <v>1092</v>
      </c>
      <c r="C1835" s="658">
        <f>C1821/G1821-1</f>
        <v>0.10415046290663987</v>
      </c>
      <c r="D1835" s="658">
        <f t="shared" ref="D1835" si="110">D1821/H1821-1</f>
        <v>0.19411172102267327</v>
      </c>
      <c r="E1835" s="658">
        <f t="shared" ref="E1835" si="111">E1821/I1821-1</f>
        <v>0.18483484297151986</v>
      </c>
    </row>
  </sheetData>
  <mergeCells count="2">
    <mergeCell ref="C376:D376"/>
    <mergeCell ref="F376:G376"/>
  </mergeCells>
  <hyperlinks>
    <hyperlink ref="B143" r:id="rId1" xr:uid="{42D32B86-6973-411E-AB02-67709D9D52B6}"/>
  </hyperlinks>
  <pageMargins left="0.7" right="0.7" top="0.75" bottom="0.75" header="0.3" footer="0.3"/>
  <pageSetup paperSize="9" orientation="portrait" horizontalDpi="300" verticalDpi="3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4A70-1717-462F-B0EC-8B8461ED55AA}">
  <dimension ref="B2:Q22"/>
  <sheetViews>
    <sheetView showGridLines="0" zoomScale="66" workbookViewId="0">
      <selection activeCell="B4" sqref="B4:F20"/>
    </sheetView>
  </sheetViews>
  <sheetFormatPr defaultRowHeight="14.4" x14ac:dyDescent="0.55000000000000004"/>
  <cols>
    <col min="2" max="2" width="32.7890625" customWidth="1"/>
  </cols>
  <sheetData>
    <row r="2" spans="2:17" x14ac:dyDescent="0.55000000000000004">
      <c r="B2" s="659">
        <v>45352</v>
      </c>
    </row>
    <row r="4" spans="2:17" x14ac:dyDescent="0.55000000000000004">
      <c r="B4" s="561" t="s">
        <v>2732</v>
      </c>
      <c r="C4" s="561"/>
      <c r="D4" s="561">
        <v>2024</v>
      </c>
      <c r="E4" s="561">
        <f>D4+1</f>
        <v>2025</v>
      </c>
      <c r="F4" s="561">
        <f>E4+1</f>
        <v>2026</v>
      </c>
      <c r="G4" s="561">
        <f>F4+1</f>
        <v>2027</v>
      </c>
    </row>
    <row r="5" spans="2:17" x14ac:dyDescent="0.55000000000000004">
      <c r="B5" s="562" t="s">
        <v>2733</v>
      </c>
      <c r="C5" s="562"/>
      <c r="D5" s="563">
        <f>Acquirer!M7</f>
        <v>457.82619834710738</v>
      </c>
      <c r="E5" s="563">
        <f>Acquirer!N7</f>
        <v>522.17537685950413</v>
      </c>
      <c r="F5" s="563">
        <f>Acquirer!O7</f>
        <v>586.17561545454555</v>
      </c>
      <c r="G5" s="563">
        <f>Acquirer!P7</f>
        <v>647.7415691727274</v>
      </c>
    </row>
    <row r="6" spans="2:17" x14ac:dyDescent="0.55000000000000004">
      <c r="B6" s="564" t="s">
        <v>294</v>
      </c>
      <c r="C6" s="564"/>
      <c r="D6" s="565">
        <f>Master!L12</f>
        <v>17433.882583367609</v>
      </c>
      <c r="E6" s="565">
        <f>Master!M12</f>
        <v>19159.259496036688</v>
      </c>
      <c r="F6" s="565">
        <f>Master!N12</f>
        <v>20618.750366735352</v>
      </c>
      <c r="G6" s="565">
        <f>Master!O12</f>
        <v>22003.062052455065</v>
      </c>
    </row>
    <row r="7" spans="2:17" x14ac:dyDescent="0.55000000000000004">
      <c r="B7" s="562" t="s">
        <v>1091</v>
      </c>
      <c r="C7" s="562"/>
      <c r="D7" s="566">
        <f>Master!L94</f>
        <v>2059.5508836829044</v>
      </c>
      <c r="E7" s="566">
        <f>Master!M94</f>
        <v>2604.5382420817959</v>
      </c>
      <c r="F7" s="566">
        <f>Master!N94</f>
        <v>2745.720645592839</v>
      </c>
      <c r="G7" s="566">
        <f>Master!O94</f>
        <v>2885.737521541746</v>
      </c>
    </row>
    <row r="8" spans="2:17" x14ac:dyDescent="0.55000000000000004">
      <c r="B8" s="564" t="s">
        <v>1876</v>
      </c>
      <c r="D8" s="565">
        <f>Master!L103</f>
        <v>2167.4068836829047</v>
      </c>
      <c r="E8" s="565">
        <f>Master!M103</f>
        <v>2717.7870420817958</v>
      </c>
      <c r="F8" s="565">
        <f>Master!N103</f>
        <v>2864.6318855928389</v>
      </c>
      <c r="G8" s="565">
        <f>Master!O103</f>
        <v>3010.5943235417462</v>
      </c>
      <c r="Q8" s="554"/>
    </row>
    <row r="9" spans="2:17" x14ac:dyDescent="0.55000000000000004">
      <c r="B9" s="562"/>
      <c r="C9" s="562"/>
      <c r="D9" s="566"/>
      <c r="E9" s="566"/>
      <c r="F9" s="566"/>
      <c r="G9" s="566"/>
      <c r="Q9" s="555"/>
    </row>
    <row r="10" spans="2:17" x14ac:dyDescent="0.55000000000000004">
      <c r="B10" s="568" t="s">
        <v>2734</v>
      </c>
      <c r="C10" s="564"/>
      <c r="D10" s="564"/>
      <c r="E10" s="564"/>
      <c r="F10" s="564"/>
      <c r="G10" s="564"/>
      <c r="Q10" s="554"/>
    </row>
    <row r="11" spans="2:17" x14ac:dyDescent="0.55000000000000004">
      <c r="B11" s="562" t="str">
        <f>B5</f>
        <v>TPV (BRL bn)</v>
      </c>
      <c r="C11" s="562"/>
      <c r="D11" s="562">
        <v>447</v>
      </c>
      <c r="E11" s="562">
        <v>497</v>
      </c>
      <c r="F11" s="562">
        <v>564</v>
      </c>
      <c r="G11" s="562">
        <v>647</v>
      </c>
      <c r="Q11" s="555"/>
    </row>
    <row r="12" spans="2:17" x14ac:dyDescent="0.55000000000000004">
      <c r="B12" s="564" t="str">
        <f>B6</f>
        <v>Revenue</v>
      </c>
      <c r="C12" s="564"/>
      <c r="D12" s="564">
        <v>17211</v>
      </c>
      <c r="E12" s="564">
        <v>18533</v>
      </c>
      <c r="F12" s="564">
        <v>20401</v>
      </c>
      <c r="G12" s="564">
        <v>22560</v>
      </c>
      <c r="Q12" s="555"/>
    </row>
    <row r="13" spans="2:17" x14ac:dyDescent="0.55000000000000004">
      <c r="B13" s="562" t="str">
        <f>B7</f>
        <v>Net income GAAP</v>
      </c>
      <c r="C13" s="562"/>
      <c r="D13" s="566">
        <v>2017</v>
      </c>
      <c r="E13" s="566">
        <v>2277</v>
      </c>
      <c r="F13" s="566">
        <v>2521</v>
      </c>
      <c r="G13" s="566">
        <v>2924</v>
      </c>
      <c r="Q13" s="555"/>
    </row>
    <row r="14" spans="2:17" x14ac:dyDescent="0.55000000000000004">
      <c r="B14" s="564" t="str">
        <f>B8</f>
        <v>Net income non-GAAP</v>
      </c>
      <c r="C14" s="564"/>
      <c r="D14" s="565">
        <v>2100</v>
      </c>
      <c r="E14" s="565">
        <v>2445</v>
      </c>
      <c r="F14" s="565">
        <v>2687</v>
      </c>
      <c r="G14" s="565">
        <v>3069</v>
      </c>
      <c r="Q14" s="554"/>
    </row>
    <row r="15" spans="2:17" x14ac:dyDescent="0.55000000000000004">
      <c r="B15" s="562"/>
      <c r="C15" s="562"/>
      <c r="D15" s="562"/>
      <c r="E15" s="562"/>
      <c r="F15" s="562"/>
      <c r="G15" s="562"/>
    </row>
    <row r="16" spans="2:17" x14ac:dyDescent="0.55000000000000004">
      <c r="B16" s="568" t="s">
        <v>1712</v>
      </c>
      <c r="C16" s="564"/>
      <c r="D16" s="564"/>
      <c r="E16" s="564"/>
      <c r="F16" s="564"/>
      <c r="G16" s="564"/>
      <c r="Q16" s="554"/>
    </row>
    <row r="17" spans="2:17" x14ac:dyDescent="0.55000000000000004">
      <c r="B17" s="562" t="str">
        <f>B11</f>
        <v>TPV (BRL bn)</v>
      </c>
      <c r="C17" s="562"/>
      <c r="D17" s="569">
        <f t="shared" ref="D17:G20" si="0">D5/D11-1</f>
        <v>2.4219683103148482E-2</v>
      </c>
      <c r="E17" s="569">
        <f t="shared" si="0"/>
        <v>5.065468180986743E-2</v>
      </c>
      <c r="F17" s="569">
        <f t="shared" si="0"/>
        <v>3.9318467117988476E-2</v>
      </c>
      <c r="G17" s="569">
        <f t="shared" si="0"/>
        <v>1.1461656456372982E-3</v>
      </c>
      <c r="Q17" s="555"/>
    </row>
    <row r="18" spans="2:17" x14ac:dyDescent="0.55000000000000004">
      <c r="B18" s="564" t="str">
        <f>B12</f>
        <v>Revenue</v>
      </c>
      <c r="C18" s="564"/>
      <c r="D18" s="570">
        <f t="shared" si="0"/>
        <v>1.2950007748975034E-2</v>
      </c>
      <c r="E18" s="570">
        <f t="shared" si="0"/>
        <v>3.3791587764349318E-2</v>
      </c>
      <c r="F18" s="570">
        <f t="shared" si="0"/>
        <v>1.0673514373577442E-2</v>
      </c>
      <c r="G18" s="570">
        <f t="shared" si="0"/>
        <v>-2.4686965759970536E-2</v>
      </c>
      <c r="Q18" s="554"/>
    </row>
    <row r="19" spans="2:17" x14ac:dyDescent="0.55000000000000004">
      <c r="B19" s="562" t="str">
        <f>B13</f>
        <v>Net income GAAP</v>
      </c>
      <c r="C19" s="562"/>
      <c r="D19" s="569">
        <f t="shared" si="0"/>
        <v>2.109612478081524E-2</v>
      </c>
      <c r="E19" s="569">
        <f t="shared" si="0"/>
        <v>0.14384639529283971</v>
      </c>
      <c r="F19" s="569">
        <f t="shared" si="0"/>
        <v>8.9139486550114722E-2</v>
      </c>
      <c r="G19" s="569">
        <f t="shared" si="0"/>
        <v>-1.3085662947419308E-2</v>
      </c>
      <c r="Q19" s="555"/>
    </row>
    <row r="20" spans="2:17" x14ac:dyDescent="0.55000000000000004">
      <c r="B20" s="614" t="str">
        <f>B14</f>
        <v>Net income non-GAAP</v>
      </c>
      <c r="C20" s="614"/>
      <c r="D20" s="615">
        <f t="shared" si="0"/>
        <v>3.2098516039478442E-2</v>
      </c>
      <c r="E20" s="615">
        <f t="shared" si="0"/>
        <v>0.11156934236474259</v>
      </c>
      <c r="F20" s="615">
        <f t="shared" si="0"/>
        <v>6.6107884478168621E-2</v>
      </c>
      <c r="G20" s="615">
        <f t="shared" si="0"/>
        <v>-1.9030849285843532E-2</v>
      </c>
      <c r="Q20" s="555"/>
    </row>
    <row r="21" spans="2:17" x14ac:dyDescent="0.55000000000000004">
      <c r="Q21" s="555"/>
    </row>
    <row r="22" spans="2:17" x14ac:dyDescent="0.55000000000000004">
      <c r="Q22" s="55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67894-A315-462D-968C-376414D8AF3D}">
  <dimension ref="B1:T171"/>
  <sheetViews>
    <sheetView topLeftCell="A79" zoomScale="68" zoomScaleNormal="76" workbookViewId="0">
      <selection activeCell="K81" sqref="K81"/>
    </sheetView>
  </sheetViews>
  <sheetFormatPr defaultRowHeight="14.4" outlineLevelRow="1" x14ac:dyDescent="0.55000000000000004"/>
  <cols>
    <col min="2" max="2" width="22.1015625" bestFit="1" customWidth="1"/>
    <col min="4" max="4" width="9.41796875" bestFit="1" customWidth="1"/>
    <col min="9" max="9" width="9" customWidth="1"/>
  </cols>
  <sheetData>
    <row r="1" spans="2:20" x14ac:dyDescent="0.55000000000000004">
      <c r="I1" s="4"/>
      <c r="K1" s="4"/>
    </row>
    <row r="2" spans="2:20" x14ac:dyDescent="0.55000000000000004">
      <c r="B2" s="20" t="s">
        <v>683</v>
      </c>
      <c r="C2" s="20"/>
      <c r="D2" s="20">
        <f>E2-1</f>
        <v>2015</v>
      </c>
      <c r="E2" s="20">
        <f>F2-1</f>
        <v>2016</v>
      </c>
      <c r="F2" s="20">
        <f>G2-1</f>
        <v>2017</v>
      </c>
      <c r="G2" s="20">
        <f>H2-1</f>
        <v>2018</v>
      </c>
      <c r="H2" s="20">
        <v>2019</v>
      </c>
      <c r="I2" s="20">
        <f>H2+1</f>
        <v>2020</v>
      </c>
      <c r="J2" s="20">
        <f t="shared" ref="J2:S2" si="0">I2+1</f>
        <v>2021</v>
      </c>
      <c r="K2" s="20">
        <f t="shared" si="0"/>
        <v>2022</v>
      </c>
      <c r="L2" s="20">
        <f t="shared" si="0"/>
        <v>2023</v>
      </c>
      <c r="M2" s="20">
        <f t="shared" si="0"/>
        <v>2024</v>
      </c>
      <c r="N2" s="20">
        <f t="shared" si="0"/>
        <v>2025</v>
      </c>
      <c r="O2" s="20">
        <f t="shared" si="0"/>
        <v>2026</v>
      </c>
      <c r="P2" s="20">
        <f t="shared" si="0"/>
        <v>2027</v>
      </c>
      <c r="Q2" s="20">
        <f t="shared" si="0"/>
        <v>2028</v>
      </c>
      <c r="R2" s="20">
        <f t="shared" si="0"/>
        <v>2029</v>
      </c>
      <c r="S2" s="20">
        <f t="shared" si="0"/>
        <v>2030</v>
      </c>
      <c r="T2" s="20" t="s">
        <v>1743</v>
      </c>
    </row>
    <row r="3" spans="2:20" x14ac:dyDescent="0.55000000000000004">
      <c r="B3" t="s">
        <v>0</v>
      </c>
      <c r="D3" s="44">
        <v>548.20000000000005</v>
      </c>
      <c r="E3" s="44">
        <v>584.9</v>
      </c>
      <c r="F3" s="44">
        <v>625.6</v>
      </c>
      <c r="G3" s="44">
        <v>626.5</v>
      </c>
      <c r="H3" s="44">
        <v>683</v>
      </c>
      <c r="I3" s="44">
        <v>643.95461593726998</v>
      </c>
      <c r="J3" s="44">
        <v>713</v>
      </c>
      <c r="K3" s="44">
        <v>871</v>
      </c>
      <c r="L3" s="44">
        <v>815</v>
      </c>
      <c r="M3" s="4">
        <f t="shared" ref="M3:S3" si="1">M27*M$9</f>
        <v>902.3420000000001</v>
      </c>
      <c r="N3" s="4">
        <f t="shared" si="1"/>
        <v>998.91008000000022</v>
      </c>
      <c r="O3" s="4">
        <f t="shared" si="1"/>
        <v>1105.6607744000003</v>
      </c>
      <c r="P3" s="4">
        <f t="shared" si="1"/>
        <v>1201.7964851200004</v>
      </c>
      <c r="Q3" s="4">
        <f t="shared" si="1"/>
        <v>1294.2290690560005</v>
      </c>
      <c r="R3" s="4">
        <f t="shared" si="1"/>
        <v>1380.7799668776966</v>
      </c>
      <c r="S3" s="4">
        <f t="shared" si="1"/>
        <v>1472.8959423089057</v>
      </c>
      <c r="T3" s="12">
        <f t="shared" ref="T3:T9" si="2">(S3/L3)^(1/7)-1</f>
        <v>8.8219117022513061E-2</v>
      </c>
    </row>
    <row r="4" spans="2:20" x14ac:dyDescent="0.55000000000000004">
      <c r="B4" t="s">
        <v>1</v>
      </c>
      <c r="D4" s="44">
        <v>383</v>
      </c>
      <c r="E4" s="44">
        <v>387.3</v>
      </c>
      <c r="F4" s="44">
        <v>391.7</v>
      </c>
      <c r="G4" s="44">
        <v>437.1</v>
      </c>
      <c r="H4" s="44">
        <v>487.8</v>
      </c>
      <c r="I4" s="44">
        <v>509.81299999999999</v>
      </c>
      <c r="J4" s="44">
        <v>621</v>
      </c>
      <c r="K4" s="44">
        <v>731</v>
      </c>
      <c r="L4" s="44">
        <v>857</v>
      </c>
      <c r="M4" s="4">
        <f t="shared" ref="M4:S5" si="3">M28*M$9</f>
        <v>949.38200000000006</v>
      </c>
      <c r="N4" s="4">
        <f t="shared" si="3"/>
        <v>1051.5948800000001</v>
      </c>
      <c r="O4" s="4">
        <f t="shared" si="3"/>
        <v>1164.6677504000002</v>
      </c>
      <c r="P4" s="4">
        <f t="shared" si="3"/>
        <v>1266.7041587200004</v>
      </c>
      <c r="Q4" s="4">
        <f t="shared" si="3"/>
        <v>1364.9784332800004</v>
      </c>
      <c r="R4" s="4">
        <f t="shared" si="3"/>
        <v>1457.1892802396167</v>
      </c>
      <c r="S4" s="4">
        <f t="shared" si="3"/>
        <v>1555.4180007397795</v>
      </c>
      <c r="T4" s="12">
        <f t="shared" si="2"/>
        <v>8.8882203485584954E-2</v>
      </c>
    </row>
    <row r="5" spans="2:20" x14ac:dyDescent="0.55000000000000004">
      <c r="B5" t="s">
        <v>2</v>
      </c>
      <c r="D5" s="44"/>
      <c r="E5" s="44">
        <v>108.2</v>
      </c>
      <c r="F5" s="44">
        <v>142.1</v>
      </c>
      <c r="G5" s="44">
        <v>187.4</v>
      </c>
      <c r="H5" s="44">
        <v>207.5</v>
      </c>
      <c r="I5" s="44">
        <v>273.70000000000005</v>
      </c>
      <c r="J5" s="246">
        <v>410</v>
      </c>
      <c r="K5" s="246">
        <v>480</v>
      </c>
      <c r="L5" s="246">
        <v>558</v>
      </c>
      <c r="M5" s="4">
        <f t="shared" si="3"/>
        <v>624.96000000000015</v>
      </c>
      <c r="N5" s="4">
        <f t="shared" si="3"/>
        <v>699.95520000000022</v>
      </c>
      <c r="O5" s="4">
        <f t="shared" si="3"/>
        <v>783.94982400000026</v>
      </c>
      <c r="P5" s="4">
        <f t="shared" si="3"/>
        <v>862.34480640000038</v>
      </c>
      <c r="Q5" s="4">
        <f t="shared" si="3"/>
        <v>939.95583897600045</v>
      </c>
      <c r="R5" s="4">
        <f t="shared" si="3"/>
        <v>1015.1523060940806</v>
      </c>
      <c r="S5" s="4">
        <f t="shared" si="3"/>
        <v>1096.3644905816072</v>
      </c>
      <c r="T5" s="12">
        <f t="shared" si="2"/>
        <v>0.10129322119169704</v>
      </c>
    </row>
    <row r="6" spans="2:20" x14ac:dyDescent="0.55000000000000004">
      <c r="B6" t="s">
        <v>3</v>
      </c>
      <c r="D6" s="44"/>
      <c r="E6" s="44">
        <v>28.2</v>
      </c>
      <c r="F6" s="44">
        <v>48.6</v>
      </c>
      <c r="G6" s="44">
        <v>83.4</v>
      </c>
      <c r="H6" s="44">
        <v>129.1</v>
      </c>
      <c r="I6" s="44">
        <v>209.8</v>
      </c>
      <c r="J6" s="44">
        <v>275</v>
      </c>
      <c r="K6" s="44">
        <v>354</v>
      </c>
      <c r="L6" s="44">
        <v>410.44163227895899</v>
      </c>
      <c r="M6" s="44">
        <v>469.66568351858189</v>
      </c>
      <c r="N6" s="44">
        <v>532.33026628976233</v>
      </c>
      <c r="O6" s="44">
        <v>597.70630144323445</v>
      </c>
      <c r="P6" s="44">
        <v>662.09681663860874</v>
      </c>
      <c r="Q6" s="44">
        <v>723.17579442765611</v>
      </c>
      <c r="R6" s="44">
        <v>784.93634419871614</v>
      </c>
      <c r="S6" s="44">
        <v>846.84878493530596</v>
      </c>
      <c r="T6" s="12">
        <f t="shared" si="2"/>
        <v>0.10901227163879534</v>
      </c>
    </row>
    <row r="7" spans="2:20" x14ac:dyDescent="0.55000000000000004">
      <c r="B7" t="s">
        <v>4</v>
      </c>
      <c r="D7" s="44">
        <v>7.4</v>
      </c>
      <c r="E7" s="44">
        <v>14.1</v>
      </c>
      <c r="F7" s="44">
        <v>37.9</v>
      </c>
      <c r="G7" s="44">
        <v>75.7</v>
      </c>
      <c r="H7" s="44">
        <v>115.8</v>
      </c>
      <c r="I7" s="44">
        <v>161.54383102003447</v>
      </c>
      <c r="J7" s="44">
        <v>253</v>
      </c>
      <c r="K7" s="44">
        <v>354</v>
      </c>
      <c r="L7" s="44">
        <v>394.6</v>
      </c>
      <c r="M7" s="4">
        <f t="shared" ref="M7:S7" si="4">M83</f>
        <v>457.82619834710738</v>
      </c>
      <c r="N7" s="4">
        <f t="shared" si="4"/>
        <v>522.17537685950413</v>
      </c>
      <c r="O7" s="4">
        <f t="shared" si="4"/>
        <v>586.17561545454555</v>
      </c>
      <c r="P7" s="4">
        <f t="shared" si="4"/>
        <v>647.7415691727274</v>
      </c>
      <c r="Q7" s="4">
        <f t="shared" si="4"/>
        <v>715.48830822190939</v>
      </c>
      <c r="R7" s="4">
        <f t="shared" si="4"/>
        <v>783.67357120013207</v>
      </c>
      <c r="S7" s="4">
        <f t="shared" si="4"/>
        <v>843.96657569733736</v>
      </c>
      <c r="T7" s="12">
        <f t="shared" si="2"/>
        <v>0.11472279187884982</v>
      </c>
    </row>
    <row r="8" spans="2:20" x14ac:dyDescent="0.55000000000000004">
      <c r="B8" s="1" t="s">
        <v>5</v>
      </c>
      <c r="C8" s="1"/>
      <c r="D8" s="45"/>
      <c r="E8" s="45">
        <f>E9-SUM(E3:E7)</f>
        <v>79.200000000000045</v>
      </c>
      <c r="F8" s="45">
        <f>F9-SUM(F3:F7)</f>
        <v>103.70000000000005</v>
      </c>
      <c r="G8" s="45">
        <f>G9-SUM(G3:G7)</f>
        <v>139.29999999999995</v>
      </c>
      <c r="H8" s="45">
        <f>H9-SUM(H3:H7)</f>
        <v>223.80000000000018</v>
      </c>
      <c r="I8" s="45">
        <v>285.11468495448548</v>
      </c>
      <c r="J8" s="6">
        <f>J9-J3-J4-J5-J6-J7</f>
        <v>390</v>
      </c>
      <c r="K8" s="6">
        <f>K9-K3-K4-K5-K6-K7</f>
        <v>604</v>
      </c>
      <c r="L8" s="6">
        <f t="shared" ref="L8:S8" si="5">L32*L$9</f>
        <v>699.95836772104099</v>
      </c>
      <c r="M8" s="6">
        <f t="shared" si="5"/>
        <v>779.02411813431115</v>
      </c>
      <c r="N8" s="6">
        <f t="shared" si="5"/>
        <v>880.21819685073433</v>
      </c>
      <c r="O8" s="6">
        <f t="shared" si="5"/>
        <v>1009.2458143022208</v>
      </c>
      <c r="P8" s="6">
        <f t="shared" si="5"/>
        <v>1131.4628519486648</v>
      </c>
      <c r="Q8" s="6">
        <f t="shared" si="5"/>
        <v>1253.8124459584358</v>
      </c>
      <c r="R8" s="6">
        <f t="shared" si="5"/>
        <v>1373.2396125033613</v>
      </c>
      <c r="S8" s="6">
        <f t="shared" si="5"/>
        <v>1523.0749733397574</v>
      </c>
      <c r="T8" s="43">
        <f t="shared" si="2"/>
        <v>0.11746925128669083</v>
      </c>
    </row>
    <row r="9" spans="2:20" x14ac:dyDescent="0.55000000000000004">
      <c r="B9" t="s">
        <v>6</v>
      </c>
      <c r="D9" s="4">
        <f>SUM(D3:D8)</f>
        <v>938.6</v>
      </c>
      <c r="E9" s="4">
        <v>1201.9000000000001</v>
      </c>
      <c r="F9" s="4">
        <v>1349.6</v>
      </c>
      <c r="G9" s="4">
        <v>1549.4</v>
      </c>
      <c r="H9">
        <v>1847</v>
      </c>
      <c r="I9" s="4">
        <f>SUM(I3:I8)</f>
        <v>2083.92613191179</v>
      </c>
      <c r="J9" s="44">
        <v>2662</v>
      </c>
      <c r="K9" s="44">
        <v>3394</v>
      </c>
      <c r="L9" s="44">
        <v>3735</v>
      </c>
      <c r="M9" s="4">
        <f t="shared" ref="M9:S9" si="6">(1+M10)*L9</f>
        <v>4183.2000000000007</v>
      </c>
      <c r="N9" s="4">
        <f t="shared" si="6"/>
        <v>4685.1840000000011</v>
      </c>
      <c r="O9" s="4">
        <f t="shared" si="6"/>
        <v>5247.4060800000016</v>
      </c>
      <c r="P9" s="4">
        <f t="shared" si="6"/>
        <v>5772.1466880000025</v>
      </c>
      <c r="Q9" s="4">
        <f t="shared" si="6"/>
        <v>6291.639889920003</v>
      </c>
      <c r="R9" s="4">
        <f t="shared" si="6"/>
        <v>6794.9710811136038</v>
      </c>
      <c r="S9" s="4">
        <f t="shared" si="6"/>
        <v>7338.5687676026928</v>
      </c>
      <c r="T9" s="12">
        <f t="shared" si="2"/>
        <v>0.10129322119169704</v>
      </c>
    </row>
    <row r="10" spans="2:20" x14ac:dyDescent="0.55000000000000004">
      <c r="B10" t="s">
        <v>7</v>
      </c>
      <c r="E10" s="2">
        <f t="shared" ref="E10:L10" si="7">E9/D9-1</f>
        <v>0.28052418495631803</v>
      </c>
      <c r="F10" s="2">
        <f t="shared" si="7"/>
        <v>0.12288875946418165</v>
      </c>
      <c r="G10" s="2">
        <f t="shared" si="7"/>
        <v>0.14804386484884424</v>
      </c>
      <c r="H10" s="2">
        <f t="shared" si="7"/>
        <v>0.1920743513618175</v>
      </c>
      <c r="I10" s="2">
        <f t="shared" si="7"/>
        <v>0.12827619486290742</v>
      </c>
      <c r="J10" s="2">
        <f t="shared" si="7"/>
        <v>0.27739652535470927</v>
      </c>
      <c r="K10" s="2">
        <f t="shared" si="7"/>
        <v>0.27498121712997747</v>
      </c>
      <c r="L10" s="2">
        <f t="shared" si="7"/>
        <v>0.10047142015321153</v>
      </c>
      <c r="M10" s="5">
        <v>0.12</v>
      </c>
      <c r="N10" s="5">
        <v>0.12</v>
      </c>
      <c r="O10" s="5">
        <v>0.12</v>
      </c>
      <c r="P10" s="5">
        <v>0.1</v>
      </c>
      <c r="Q10" s="5">
        <v>0.09</v>
      </c>
      <c r="R10" s="5">
        <v>0.08</v>
      </c>
      <c r="S10" s="5">
        <v>0.08</v>
      </c>
    </row>
    <row r="11" spans="2:20" x14ac:dyDescent="0.55000000000000004"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2:20" x14ac:dyDescent="0.55000000000000004">
      <c r="B12" t="s">
        <v>2885</v>
      </c>
      <c r="H12" s="46">
        <v>3.73E-2</v>
      </c>
      <c r="I12" s="46">
        <v>3.2099999999999997E-2</v>
      </c>
      <c r="J12" s="46">
        <v>8.3000000000000004E-2</v>
      </c>
      <c r="K12" s="46">
        <v>9.2799999999999994E-2</v>
      </c>
      <c r="L12" s="42">
        <v>4.6199999999999998E-2</v>
      </c>
      <c r="M12" s="42">
        <v>3.8899999999999997E-2</v>
      </c>
      <c r="N12" s="42">
        <v>3.5000000000000003E-2</v>
      </c>
      <c r="O12" s="42">
        <v>3.5000000000000003E-2</v>
      </c>
      <c r="P12" s="42">
        <v>3.5000000000000003E-2</v>
      </c>
      <c r="Q12" s="42">
        <v>3.5000000000000003E-2</v>
      </c>
      <c r="R12" s="42">
        <v>3.5000000000000003E-2</v>
      </c>
      <c r="S12" s="42">
        <v>3.5000000000000003E-2</v>
      </c>
    </row>
    <row r="13" spans="2:20" hidden="1" outlineLevel="1" x14ac:dyDescent="0.55000000000000004">
      <c r="B13" s="23" t="s">
        <v>240</v>
      </c>
    </row>
    <row r="14" spans="2:20" hidden="1" outlineLevel="1" x14ac:dyDescent="0.55000000000000004">
      <c r="B14" t="s">
        <v>0</v>
      </c>
      <c r="I14" s="44">
        <v>645.02329751008438</v>
      </c>
      <c r="J14" s="44">
        <v>735.16561031772608</v>
      </c>
      <c r="K14" s="44">
        <v>815.4912214362281</v>
      </c>
      <c r="L14" s="44">
        <v>880.28997604478764</v>
      </c>
      <c r="M14" s="44">
        <v>957.78812467386103</v>
      </c>
      <c r="N14" s="44">
        <v>1030.8686609918161</v>
      </c>
    </row>
    <row r="15" spans="2:20" hidden="1" outlineLevel="1" x14ac:dyDescent="0.55000000000000004">
      <c r="B15" t="s">
        <v>682</v>
      </c>
      <c r="I15" s="2">
        <f t="shared" ref="I15:N15" si="8">I3/I14-1</f>
        <v>-1.6568108112369195E-3</v>
      </c>
      <c r="J15" s="2">
        <f t="shared" si="8"/>
        <v>-3.0150499433925448E-2</v>
      </c>
      <c r="K15" s="2">
        <f t="shared" si="8"/>
        <v>6.8067904478494423E-2</v>
      </c>
      <c r="L15" s="2">
        <f t="shared" si="8"/>
        <v>-7.4168714652574685E-2</v>
      </c>
      <c r="M15" s="2">
        <f t="shared" si="8"/>
        <v>-5.7889760005889634E-2</v>
      </c>
      <c r="N15" s="2">
        <f t="shared" si="8"/>
        <v>-3.1001603018048884E-2</v>
      </c>
    </row>
    <row r="16" spans="2:20" hidden="1" outlineLevel="1" x14ac:dyDescent="0.55000000000000004">
      <c r="B16" t="s">
        <v>3</v>
      </c>
      <c r="I16" s="44">
        <v>205.31384590298853</v>
      </c>
      <c r="J16" s="44">
        <v>278.78724310456749</v>
      </c>
      <c r="K16" s="44">
        <v>374.16807636695393</v>
      </c>
      <c r="L16" s="44">
        <v>463.29798830974607</v>
      </c>
      <c r="M16" s="44">
        <v>543.03281423251656</v>
      </c>
      <c r="N16" s="44">
        <v>677.93837136654668</v>
      </c>
    </row>
    <row r="17" spans="2:19" hidden="1" outlineLevel="1" x14ac:dyDescent="0.55000000000000004">
      <c r="B17" t="s">
        <v>682</v>
      </c>
      <c r="I17" s="2">
        <f t="shared" ref="I17:N17" si="9">I6/I16-1</f>
        <v>2.1850226794403405E-2</v>
      </c>
      <c r="J17" s="2">
        <f t="shared" si="9"/>
        <v>-1.358470732876027E-2</v>
      </c>
      <c r="K17" s="2">
        <f t="shared" si="9"/>
        <v>-5.3901114608117195E-2</v>
      </c>
      <c r="L17" s="2">
        <f t="shared" si="9"/>
        <v>-0.11408716930462692</v>
      </c>
      <c r="M17" s="2">
        <f t="shared" si="9"/>
        <v>-0.13510625654846753</v>
      </c>
      <c r="N17" s="2">
        <f t="shared" si="9"/>
        <v>-0.21478074000041691</v>
      </c>
    </row>
    <row r="18" spans="2:19" hidden="1" outlineLevel="1" x14ac:dyDescent="0.55000000000000004">
      <c r="B18" t="s">
        <v>4</v>
      </c>
      <c r="I18" s="44">
        <v>155.67913443070978</v>
      </c>
      <c r="J18" s="44">
        <v>206.9969152618105</v>
      </c>
      <c r="K18" s="44">
        <v>258.88271849831165</v>
      </c>
      <c r="L18" s="44">
        <v>313.619624146614</v>
      </c>
      <c r="M18" s="44">
        <v>368.93527889714443</v>
      </c>
      <c r="N18" s="44">
        <v>424.40984037484628</v>
      </c>
    </row>
    <row r="19" spans="2:19" hidden="1" outlineLevel="1" x14ac:dyDescent="0.55000000000000004">
      <c r="B19" t="s">
        <v>682</v>
      </c>
      <c r="I19" s="2">
        <f t="shared" ref="I19:N19" si="10">I7/I18-1</f>
        <v>3.7671693196206446E-2</v>
      </c>
      <c r="J19" s="2">
        <f t="shared" si="10"/>
        <v>0.22224043619203027</v>
      </c>
      <c r="K19" s="2">
        <f t="shared" si="10"/>
        <v>0.36741456538092043</v>
      </c>
      <c r="L19" s="2">
        <f t="shared" si="10"/>
        <v>0.25821208119147698</v>
      </c>
      <c r="M19" s="2">
        <f t="shared" si="10"/>
        <v>0.24093906041103996</v>
      </c>
      <c r="N19" s="2">
        <f t="shared" si="10"/>
        <v>0.23035643188270472</v>
      </c>
    </row>
    <row r="20" spans="2:19" hidden="1" outlineLevel="1" x14ac:dyDescent="0.55000000000000004"/>
    <row r="21" spans="2:19" outlineLevel="1" x14ac:dyDescent="0.55000000000000004"/>
    <row r="22" spans="2:19" x14ac:dyDescent="0.55000000000000004">
      <c r="B22" t="s">
        <v>229</v>
      </c>
      <c r="E22" s="44">
        <v>4028</v>
      </c>
      <c r="F22" s="44">
        <v>4247.3</v>
      </c>
      <c r="G22" s="44">
        <v>4525.8</v>
      </c>
      <c r="H22" s="44">
        <v>4791</v>
      </c>
      <c r="I22" s="4">
        <f>(1+I23)*H22</f>
        <v>4632.8969999999999</v>
      </c>
      <c r="J22" s="4">
        <f>(1+J23)*I22</f>
        <v>4771.8839100000005</v>
      </c>
      <c r="K22" s="4">
        <f t="shared" ref="K22:S22" si="11">(1+K23)*J22</f>
        <v>5034.3375250500003</v>
      </c>
      <c r="L22" s="4">
        <f t="shared" si="11"/>
        <v>5311.2260889277504</v>
      </c>
      <c r="M22" s="4">
        <f t="shared" si="11"/>
        <v>5603.3435238187767</v>
      </c>
      <c r="N22" s="4">
        <f t="shared" si="11"/>
        <v>5911.5274176288094</v>
      </c>
      <c r="O22" s="4">
        <f t="shared" si="11"/>
        <v>6236.6614255983932</v>
      </c>
      <c r="P22" s="4">
        <f t="shared" si="11"/>
        <v>6579.6778040063045</v>
      </c>
      <c r="Q22" s="4">
        <f t="shared" si="11"/>
        <v>6941.5600832266509</v>
      </c>
      <c r="R22" s="4">
        <f t="shared" si="11"/>
        <v>7323.3458878041165</v>
      </c>
      <c r="S22" s="4">
        <f t="shared" si="11"/>
        <v>7726.1299116333421</v>
      </c>
    </row>
    <row r="23" spans="2:19" x14ac:dyDescent="0.55000000000000004">
      <c r="B23" t="s">
        <v>239</v>
      </c>
      <c r="F23" s="12">
        <f>F22/E22-1</f>
        <v>5.4443892750744904E-2</v>
      </c>
      <c r="G23" s="12">
        <f>G22/F22-1</f>
        <v>6.5571068678925482E-2</v>
      </c>
      <c r="H23" s="12">
        <f>H22/G22-1</f>
        <v>5.859737504971485E-2</v>
      </c>
      <c r="I23" s="46">
        <v>-3.3000000000000002E-2</v>
      </c>
      <c r="J23" s="46">
        <v>0.03</v>
      </c>
      <c r="K23" s="46">
        <v>5.5E-2</v>
      </c>
      <c r="L23" s="46">
        <v>5.5E-2</v>
      </c>
      <c r="M23" s="46">
        <v>5.5E-2</v>
      </c>
      <c r="N23" s="46">
        <v>5.5E-2</v>
      </c>
      <c r="O23" s="46">
        <v>5.5E-2</v>
      </c>
      <c r="P23" s="46">
        <v>5.5E-2</v>
      </c>
      <c r="Q23" s="46">
        <v>5.5E-2</v>
      </c>
      <c r="R23" s="46">
        <v>5.5E-2</v>
      </c>
      <c r="S23" s="46">
        <v>5.5E-2</v>
      </c>
    </row>
    <row r="24" spans="2:19" x14ac:dyDescent="0.55000000000000004">
      <c r="B24" t="s">
        <v>228</v>
      </c>
      <c r="E24" s="12">
        <f t="shared" ref="E24:S24" si="12">E9/E22</f>
        <v>0.29838629592850052</v>
      </c>
      <c r="F24" s="12">
        <f t="shared" si="12"/>
        <v>0.31775480893744257</v>
      </c>
      <c r="G24" s="12">
        <f t="shared" si="12"/>
        <v>0.34234831411021255</v>
      </c>
      <c r="H24" s="12">
        <f t="shared" si="12"/>
        <v>0.38551450636610313</v>
      </c>
      <c r="I24" s="12">
        <f t="shared" si="12"/>
        <v>0.44981058976959559</v>
      </c>
      <c r="J24" s="12">
        <f t="shared" si="12"/>
        <v>0.55785095576644061</v>
      </c>
      <c r="K24" s="12">
        <f t="shared" si="12"/>
        <v>0.6741701332324338</v>
      </c>
      <c r="L24" s="12">
        <f t="shared" si="12"/>
        <v>0.70322745397457465</v>
      </c>
      <c r="M24" s="12">
        <f>M9/M22</f>
        <v>0.74655426393509361</v>
      </c>
      <c r="N24" s="12">
        <f t="shared" si="12"/>
        <v>0.79255049820597623</v>
      </c>
      <c r="O24" s="12">
        <f t="shared" si="12"/>
        <v>0.84138062368786115</v>
      </c>
      <c r="P24" s="12">
        <f t="shared" si="12"/>
        <v>0.87726889673615871</v>
      </c>
      <c r="Q24" s="12">
        <f t="shared" si="12"/>
        <v>0.90637260421081811</v>
      </c>
      <c r="R24" s="12">
        <f t="shared" si="12"/>
        <v>0.92785062800728313</v>
      </c>
      <c r="S24" s="12">
        <f t="shared" si="12"/>
        <v>0.94983760971361708</v>
      </c>
    </row>
    <row r="26" spans="2:19" x14ac:dyDescent="0.55000000000000004">
      <c r="B26" s="23" t="s">
        <v>8</v>
      </c>
    </row>
    <row r="27" spans="2:19" x14ac:dyDescent="0.55000000000000004">
      <c r="B27" t="str">
        <f t="shared" ref="B27:B33" si="13">B3</f>
        <v>Cielo</v>
      </c>
      <c r="D27" s="12">
        <f t="shared" ref="D27:K27" si="14">D3/D$9</f>
        <v>0.58406136799488606</v>
      </c>
      <c r="E27" s="12">
        <f t="shared" si="14"/>
        <v>0.4866461436059572</v>
      </c>
      <c r="F27" s="12">
        <f t="shared" si="14"/>
        <v>0.46354475400118561</v>
      </c>
      <c r="G27" s="12">
        <f t="shared" si="14"/>
        <v>0.40435007099522391</v>
      </c>
      <c r="H27" s="12">
        <f t="shared" si="14"/>
        <v>0.36978884677855983</v>
      </c>
      <c r="I27" s="12">
        <f t="shared" si="14"/>
        <v>0.30901028883711307</v>
      </c>
      <c r="J27" s="12">
        <f t="shared" si="14"/>
        <v>0.26784372652141247</v>
      </c>
      <c r="K27" s="12">
        <f t="shared" si="14"/>
        <v>0.2566293459045374</v>
      </c>
      <c r="L27" s="12">
        <f>L3/L$9</f>
        <v>0.2182061579651941</v>
      </c>
      <c r="M27" s="42">
        <f>L27-0.25%</f>
        <v>0.2157061579651941</v>
      </c>
      <c r="N27" s="42">
        <f t="shared" ref="N27:S28" si="15">M27-0.25%</f>
        <v>0.2132061579651941</v>
      </c>
      <c r="O27" s="42">
        <f t="shared" si="15"/>
        <v>0.2107061579651941</v>
      </c>
      <c r="P27" s="42">
        <f t="shared" si="15"/>
        <v>0.20820615796519409</v>
      </c>
      <c r="Q27" s="42">
        <f t="shared" si="15"/>
        <v>0.20570615796519409</v>
      </c>
      <c r="R27" s="42">
        <f t="shared" si="15"/>
        <v>0.20320615796519409</v>
      </c>
      <c r="S27" s="42">
        <f t="shared" si="15"/>
        <v>0.20070615796519409</v>
      </c>
    </row>
    <row r="28" spans="2:19" x14ac:dyDescent="0.55000000000000004">
      <c r="B28" t="str">
        <f t="shared" si="13"/>
        <v>Rede</v>
      </c>
      <c r="D28" s="12">
        <f t="shared" ref="D28:K33" si="16">D4/D$9</f>
        <v>0.40805454932878754</v>
      </c>
      <c r="E28" s="12">
        <f t="shared" si="16"/>
        <v>0.32223978700391048</v>
      </c>
      <c r="F28" s="12">
        <f t="shared" si="16"/>
        <v>0.29023414344991111</v>
      </c>
      <c r="G28" s="12">
        <f t="shared" si="16"/>
        <v>0.28210920356266944</v>
      </c>
      <c r="H28" s="12">
        <f t="shared" si="16"/>
        <v>0.26410395235517053</v>
      </c>
      <c r="I28" s="12">
        <f t="shared" si="16"/>
        <v>0.24464062914374921</v>
      </c>
      <c r="J28" s="12">
        <f t="shared" si="16"/>
        <v>0.23328324567993988</v>
      </c>
      <c r="K28" s="12">
        <f t="shared" si="16"/>
        <v>0.2153800824985268</v>
      </c>
      <c r="L28" s="12">
        <f>L4/L$9</f>
        <v>0.22945113788487281</v>
      </c>
      <c r="M28" s="42">
        <f>L28-0.25%</f>
        <v>0.22695113788487281</v>
      </c>
      <c r="N28" s="42">
        <f t="shared" si="15"/>
        <v>0.22445113788487281</v>
      </c>
      <c r="O28" s="42">
        <f t="shared" si="15"/>
        <v>0.22195113788487281</v>
      </c>
      <c r="P28" s="42">
        <f t="shared" si="15"/>
        <v>0.2194511378848728</v>
      </c>
      <c r="Q28" s="42">
        <f t="shared" si="15"/>
        <v>0.2169511378848728</v>
      </c>
      <c r="R28" s="42">
        <f t="shared" si="15"/>
        <v>0.2144511378848728</v>
      </c>
      <c r="S28" s="42">
        <f t="shared" si="15"/>
        <v>0.2119511378848728</v>
      </c>
    </row>
    <row r="29" spans="2:19" x14ac:dyDescent="0.55000000000000004">
      <c r="B29" t="str">
        <f t="shared" si="13"/>
        <v>Getnet</v>
      </c>
      <c r="D29" s="12">
        <f t="shared" si="16"/>
        <v>0</v>
      </c>
      <c r="E29" s="12">
        <f t="shared" si="16"/>
        <v>9.002412846326649E-2</v>
      </c>
      <c r="F29" s="12">
        <f t="shared" si="16"/>
        <v>0.10529045643153527</v>
      </c>
      <c r="G29" s="12">
        <f t="shared" si="16"/>
        <v>0.12095004517877887</v>
      </c>
      <c r="H29" s="12">
        <f t="shared" si="16"/>
        <v>0.11234434217650244</v>
      </c>
      <c r="I29" s="12">
        <f t="shared" si="16"/>
        <v>0.1313386284709181</v>
      </c>
      <c r="J29" s="12">
        <f t="shared" ref="J29:K31" si="17">J5/J$9</f>
        <v>0.15401953418482345</v>
      </c>
      <c r="K29" s="12">
        <f t="shared" si="17"/>
        <v>0.14142604596346495</v>
      </c>
      <c r="L29" s="12">
        <f>L5/L$9</f>
        <v>0.14939759036144579</v>
      </c>
      <c r="M29" s="42">
        <f t="shared" ref="M29:S29" si="18">L29</f>
        <v>0.14939759036144579</v>
      </c>
      <c r="N29" s="42">
        <f t="shared" si="18"/>
        <v>0.14939759036144579</v>
      </c>
      <c r="O29" s="42">
        <f t="shared" si="18"/>
        <v>0.14939759036144579</v>
      </c>
      <c r="P29" s="42">
        <f t="shared" si="18"/>
        <v>0.14939759036144579</v>
      </c>
      <c r="Q29" s="42">
        <f t="shared" si="18"/>
        <v>0.14939759036144579</v>
      </c>
      <c r="R29" s="42">
        <f t="shared" si="18"/>
        <v>0.14939759036144579</v>
      </c>
      <c r="S29" s="42">
        <f t="shared" si="18"/>
        <v>0.14939759036144579</v>
      </c>
    </row>
    <row r="30" spans="2:19" x14ac:dyDescent="0.55000000000000004">
      <c r="B30" t="str">
        <f t="shared" si="13"/>
        <v>STNE</v>
      </c>
      <c r="D30" s="12">
        <f t="shared" si="16"/>
        <v>0</v>
      </c>
      <c r="E30" s="12">
        <f t="shared" si="16"/>
        <v>2.3462850486729341E-2</v>
      </c>
      <c r="F30" s="12">
        <f t="shared" si="16"/>
        <v>3.6010669828097218E-2</v>
      </c>
      <c r="G30" s="12">
        <f t="shared" si="16"/>
        <v>5.3827287982444814E-2</v>
      </c>
      <c r="H30" s="12">
        <f t="shared" si="16"/>
        <v>6.9897130481862482E-2</v>
      </c>
      <c r="I30" s="12">
        <f t="shared" si="16"/>
        <v>0.10067535350090835</v>
      </c>
      <c r="J30" s="12">
        <f t="shared" si="17"/>
        <v>0.10330578512396695</v>
      </c>
      <c r="K30" s="12">
        <f t="shared" si="17"/>
        <v>0.10430170889805539</v>
      </c>
      <c r="L30" s="12">
        <f t="shared" ref="L30:S31" si="19">L6/L$9</f>
        <v>0.10989066459945354</v>
      </c>
      <c r="M30" s="12">
        <f t="shared" si="19"/>
        <v>0.11227425978164605</v>
      </c>
      <c r="N30" s="12">
        <f t="shared" si="19"/>
        <v>0.11361992747558307</v>
      </c>
      <c r="O30" s="12">
        <f t="shared" si="19"/>
        <v>0.11390509755311987</v>
      </c>
      <c r="P30" s="12">
        <f t="shared" si="19"/>
        <v>0.11470547309808916</v>
      </c>
      <c r="Q30" s="12">
        <f t="shared" si="19"/>
        <v>0.11494233730482167</v>
      </c>
      <c r="R30" s="12">
        <f t="shared" si="19"/>
        <v>0.11551724574375609</v>
      </c>
      <c r="S30" s="12">
        <f t="shared" si="19"/>
        <v>0.11539699521163553</v>
      </c>
    </row>
    <row r="31" spans="2:19" x14ac:dyDescent="0.55000000000000004">
      <c r="B31" t="str">
        <f t="shared" si="13"/>
        <v>PAGS</v>
      </c>
      <c r="D31" s="12">
        <f t="shared" si="16"/>
        <v>7.8840826763264434E-3</v>
      </c>
      <c r="E31" s="12">
        <f t="shared" si="16"/>
        <v>1.1731425243364671E-2</v>
      </c>
      <c r="F31" s="12">
        <f t="shared" si="16"/>
        <v>2.8082394783639598E-2</v>
      </c>
      <c r="G31" s="12">
        <f t="shared" si="16"/>
        <v>4.8857622305408542E-2</v>
      </c>
      <c r="H31" s="12">
        <f t="shared" si="16"/>
        <v>6.2696264212236064E-2</v>
      </c>
      <c r="I31" s="12">
        <f t="shared" si="16"/>
        <v>7.7518981381472701E-2</v>
      </c>
      <c r="J31" s="12">
        <f t="shared" si="17"/>
        <v>9.5041322314049589E-2</v>
      </c>
      <c r="K31" s="12">
        <f t="shared" si="17"/>
        <v>0.10430170889805539</v>
      </c>
      <c r="L31" s="12">
        <f t="shared" si="19"/>
        <v>0.10564926372155288</v>
      </c>
      <c r="M31" s="12">
        <f t="shared" si="19"/>
        <v>0.1094440137567191</v>
      </c>
      <c r="N31" s="12">
        <f t="shared" si="19"/>
        <v>0.11145248017143063</v>
      </c>
      <c r="O31" s="12">
        <f t="shared" si="19"/>
        <v>0.11170769071764794</v>
      </c>
      <c r="P31" s="12">
        <f t="shared" si="19"/>
        <v>0.11221848719114311</v>
      </c>
      <c r="Q31" s="12">
        <f t="shared" si="19"/>
        <v>0.11372047999253923</v>
      </c>
      <c r="R31" s="12">
        <f t="shared" si="19"/>
        <v>0.11533140639528647</v>
      </c>
      <c r="S31" s="12">
        <f t="shared" si="19"/>
        <v>0.11500424707105904</v>
      </c>
    </row>
    <row r="32" spans="2:19" x14ac:dyDescent="0.55000000000000004">
      <c r="B32" s="1" t="str">
        <f t="shared" si="13"/>
        <v>Other</v>
      </c>
      <c r="C32" s="1"/>
      <c r="D32" s="43">
        <f t="shared" si="16"/>
        <v>0</v>
      </c>
      <c r="E32" s="43">
        <f t="shared" si="16"/>
        <v>6.5895665196771813E-2</v>
      </c>
      <c r="F32" s="43">
        <f t="shared" si="16"/>
        <v>7.683758150563133E-2</v>
      </c>
      <c r="G32" s="43">
        <f t="shared" si="16"/>
        <v>8.9905769975474337E-2</v>
      </c>
      <c r="H32" s="43">
        <f t="shared" si="16"/>
        <v>0.12116946399566875</v>
      </c>
      <c r="I32" s="43">
        <f t="shared" si="16"/>
        <v>0.13681611866583859</v>
      </c>
      <c r="J32" s="43">
        <f t="shared" ref="J32:S32" si="20">J33-SUM(J27:J31)</f>
        <v>0.14650638617580758</v>
      </c>
      <c r="K32" s="43">
        <f t="shared" si="20"/>
        <v>0.17796110783736019</v>
      </c>
      <c r="L32" s="43">
        <f t="shared" si="20"/>
        <v>0.18740518546748086</v>
      </c>
      <c r="M32" s="43">
        <f t="shared" si="20"/>
        <v>0.18622684025012215</v>
      </c>
      <c r="N32" s="43">
        <f t="shared" si="20"/>
        <v>0.18787270614147367</v>
      </c>
      <c r="O32" s="43">
        <f t="shared" si="20"/>
        <v>0.1923323255177195</v>
      </c>
      <c r="P32" s="43">
        <f t="shared" si="20"/>
        <v>0.19602115349925497</v>
      </c>
      <c r="Q32" s="43">
        <f t="shared" si="20"/>
        <v>0.19928229649112639</v>
      </c>
      <c r="R32" s="43">
        <f t="shared" si="20"/>
        <v>0.20209646164944473</v>
      </c>
      <c r="S32" s="43">
        <f t="shared" si="20"/>
        <v>0.20754387150579279</v>
      </c>
    </row>
    <row r="33" spans="2:19" x14ac:dyDescent="0.55000000000000004">
      <c r="B33" t="str">
        <f t="shared" si="13"/>
        <v>Market TPV</v>
      </c>
      <c r="D33" s="12">
        <f t="shared" si="16"/>
        <v>1</v>
      </c>
      <c r="E33" s="12">
        <f t="shared" si="16"/>
        <v>1</v>
      </c>
      <c r="F33" s="12">
        <f t="shared" si="16"/>
        <v>1</v>
      </c>
      <c r="G33" s="12">
        <f t="shared" si="16"/>
        <v>1</v>
      </c>
      <c r="H33" s="12">
        <f t="shared" si="16"/>
        <v>1</v>
      </c>
      <c r="I33" s="12">
        <f t="shared" si="16"/>
        <v>1</v>
      </c>
      <c r="J33" s="12">
        <v>1</v>
      </c>
      <c r="K33" s="12">
        <v>1</v>
      </c>
      <c r="L33" s="12">
        <v>1</v>
      </c>
      <c r="M33" s="12">
        <v>1</v>
      </c>
      <c r="N33" s="12">
        <v>1</v>
      </c>
      <c r="O33" s="12">
        <v>1</v>
      </c>
      <c r="P33" s="12">
        <v>1</v>
      </c>
      <c r="Q33" s="12">
        <v>1</v>
      </c>
      <c r="R33" s="12">
        <v>1</v>
      </c>
      <c r="S33" s="12">
        <v>1</v>
      </c>
    </row>
    <row r="35" spans="2:19" x14ac:dyDescent="0.55000000000000004">
      <c r="B35" s="18" t="s">
        <v>224</v>
      </c>
    </row>
    <row r="36" spans="2:19" x14ac:dyDescent="0.55000000000000004">
      <c r="B36" t="str">
        <f t="shared" ref="B36:B41" si="21">B3</f>
        <v>Cielo</v>
      </c>
      <c r="D36" s="44">
        <v>320.5</v>
      </c>
      <c r="E36" s="44">
        <v>329.3</v>
      </c>
      <c r="F36" s="44">
        <v>344.1</v>
      </c>
      <c r="G36" s="44">
        <v>364.4</v>
      </c>
      <c r="H36" s="44">
        <v>411.6</v>
      </c>
      <c r="I36" s="4">
        <f t="shared" ref="I36:S36" si="22">I46*I$42</f>
        <v>351.46526197337926</v>
      </c>
      <c r="J36" s="4">
        <f t="shared" si="22"/>
        <v>398.09548934356491</v>
      </c>
      <c r="K36" s="4">
        <f t="shared" si="22"/>
        <v>486.23538956840747</v>
      </c>
      <c r="L36" s="4">
        <f t="shared" si="22"/>
        <v>447.5466794454926</v>
      </c>
      <c r="M36" s="4">
        <f t="shared" si="22"/>
        <v>494.8729009789518</v>
      </c>
      <c r="N36" s="4">
        <f t="shared" si="22"/>
        <v>547.11274349642599</v>
      </c>
      <c r="O36" s="4">
        <f t="shared" si="22"/>
        <v>604.76397844399719</v>
      </c>
      <c r="P36" s="4">
        <f t="shared" si="22"/>
        <v>656.43785258919695</v>
      </c>
      <c r="Q36" s="4">
        <f t="shared" si="22"/>
        <v>705.92250849009667</v>
      </c>
      <c r="R36" s="4">
        <f t="shared" si="22"/>
        <v>752.03397827060633</v>
      </c>
      <c r="S36" s="4">
        <f t="shared" si="22"/>
        <v>801.0053791616607</v>
      </c>
    </row>
    <row r="37" spans="2:19" x14ac:dyDescent="0.55000000000000004">
      <c r="B37" t="str">
        <f t="shared" si="21"/>
        <v>Rede</v>
      </c>
      <c r="D37" s="44">
        <v>249.7</v>
      </c>
      <c r="E37" s="44">
        <v>251.9</v>
      </c>
      <c r="F37" s="44">
        <v>255.9</v>
      </c>
      <c r="G37" s="44">
        <v>280.8</v>
      </c>
      <c r="H37" s="44">
        <v>314.10000000000002</v>
      </c>
      <c r="I37" s="4">
        <f t="shared" ref="I37:S37" si="23">I47*I$42</f>
        <v>301.14684902145575</v>
      </c>
      <c r="J37" s="4">
        <f t="shared" si="23"/>
        <v>379.79157941841396</v>
      </c>
      <c r="K37" s="4">
        <f t="shared" si="23"/>
        <v>448.96335421868127</v>
      </c>
      <c r="L37" s="4">
        <f t="shared" si="23"/>
        <v>526.13012905326286</v>
      </c>
      <c r="M37" s="4">
        <f t="shared" si="23"/>
        <v>582.88636453965455</v>
      </c>
      <c r="N37" s="4">
        <f t="shared" si="23"/>
        <v>645.68782268441316</v>
      </c>
      <c r="O37" s="4">
        <f t="shared" si="23"/>
        <v>715.16806713454275</v>
      </c>
      <c r="P37" s="4">
        <f t="shared" si="23"/>
        <v>777.88235014879706</v>
      </c>
      <c r="Q37" s="4">
        <f t="shared" si="23"/>
        <v>838.29701083006091</v>
      </c>
      <c r="R37" s="4">
        <f t="shared" si="23"/>
        <v>894.99844079776767</v>
      </c>
      <c r="S37" s="4">
        <f t="shared" si="23"/>
        <v>955.40699869099501</v>
      </c>
    </row>
    <row r="38" spans="2:19" x14ac:dyDescent="0.55000000000000004">
      <c r="B38" t="str">
        <f t="shared" si="21"/>
        <v>Getnet</v>
      </c>
      <c r="D38" s="44"/>
      <c r="E38" s="44">
        <v>69.2</v>
      </c>
      <c r="F38" s="44">
        <v>90.9</v>
      </c>
      <c r="G38" s="44">
        <v>114.1</v>
      </c>
      <c r="H38" s="44">
        <v>126.6</v>
      </c>
      <c r="I38" s="4">
        <f t="shared" ref="I38:S38" si="24">I48*I$42</f>
        <v>154.21947584436967</v>
      </c>
      <c r="J38" s="4">
        <f t="shared" si="24"/>
        <v>240.59662465871031</v>
      </c>
      <c r="K38" s="4">
        <f t="shared" si="24"/>
        <v>281.82484619012712</v>
      </c>
      <c r="L38" s="4">
        <f t="shared" si="24"/>
        <v>328.30215690044923</v>
      </c>
      <c r="M38" s="4">
        <f t="shared" si="24"/>
        <v>367.69841572850322</v>
      </c>
      <c r="N38" s="4">
        <f t="shared" si="24"/>
        <v>411.82222561592363</v>
      </c>
      <c r="O38" s="4">
        <f t="shared" si="24"/>
        <v>461.24089268983448</v>
      </c>
      <c r="P38" s="4">
        <f t="shared" si="24"/>
        <v>507.36498195881796</v>
      </c>
      <c r="Q38" s="4">
        <f t="shared" si="24"/>
        <v>553.02783033511162</v>
      </c>
      <c r="R38" s="4">
        <f t="shared" si="24"/>
        <v>597.27005676192061</v>
      </c>
      <c r="S38" s="4">
        <f t="shared" si="24"/>
        <v>645.05166130287432</v>
      </c>
    </row>
    <row r="39" spans="2:19" x14ac:dyDescent="0.55000000000000004">
      <c r="B39" t="str">
        <f t="shared" si="21"/>
        <v>STNE</v>
      </c>
      <c r="D39" s="44"/>
      <c r="E39" s="44">
        <v>17.5</v>
      </c>
      <c r="F39" s="44">
        <v>30.3</v>
      </c>
      <c r="G39" s="44">
        <v>52.4</v>
      </c>
      <c r="H39" s="44">
        <v>82.7</v>
      </c>
      <c r="I39" s="4">
        <f t="shared" ref="I39:S39" si="25">I49*I$42</f>
        <v>123.22015589799257</v>
      </c>
      <c r="J39" s="4">
        <f t="shared" si="25"/>
        <v>167.17277953360275</v>
      </c>
      <c r="K39" s="4">
        <f t="shared" si="25"/>
        <v>215.99717859848184</v>
      </c>
      <c r="L39" s="4">
        <f t="shared" si="25"/>
        <v>250.43231910363863</v>
      </c>
      <c r="M39" s="4">
        <f t="shared" si="25"/>
        <v>286.56654116942548</v>
      </c>
      <c r="N39" s="4">
        <f t="shared" si="25"/>
        <v>324.80039356661638</v>
      </c>
      <c r="O39" s="4">
        <f t="shared" si="25"/>
        <v>364.6892467458178</v>
      </c>
      <c r="P39" s="4">
        <f t="shared" si="25"/>
        <v>403.97630130154056</v>
      </c>
      <c r="Q39" s="4">
        <f t="shared" si="25"/>
        <v>441.24322963653844</v>
      </c>
      <c r="R39" s="4">
        <f t="shared" si="25"/>
        <v>478.92564459973863</v>
      </c>
      <c r="S39" s="4">
        <f t="shared" si="25"/>
        <v>516.70139142014011</v>
      </c>
    </row>
    <row r="40" spans="2:19" x14ac:dyDescent="0.55000000000000004">
      <c r="B40" t="str">
        <f t="shared" si="21"/>
        <v>PAGS</v>
      </c>
      <c r="D40" s="44">
        <v>4.9000000000000004</v>
      </c>
      <c r="E40" s="44">
        <v>9.3000000000000007</v>
      </c>
      <c r="F40" s="44">
        <v>24.8</v>
      </c>
      <c r="G40" s="44">
        <v>43.4</v>
      </c>
      <c r="H40" s="44">
        <v>66</v>
      </c>
      <c r="I40" s="4">
        <f t="shared" ref="I40:S40" si="26">I50*I$42</f>
        <v>86.419481395564659</v>
      </c>
      <c r="J40" s="4">
        <f t="shared" si="26"/>
        <v>142.60837951389755</v>
      </c>
      <c r="K40" s="4">
        <f t="shared" si="26"/>
        <v>201.67173612762113</v>
      </c>
      <c r="L40" s="4">
        <f t="shared" si="26"/>
        <v>225.00418339324244</v>
      </c>
      <c r="M40" s="4">
        <f t="shared" si="26"/>
        <v>261.68794639216708</v>
      </c>
      <c r="N40" s="4">
        <f t="shared" si="26"/>
        <v>298.83062113278083</v>
      </c>
      <c r="O40" s="4">
        <f t="shared" si="26"/>
        <v>335.50720362557411</v>
      </c>
      <c r="P40" s="4">
        <f t="shared" si="26"/>
        <v>370.85644321349514</v>
      </c>
      <c r="Q40" s="4">
        <f t="shared" si="26"/>
        <v>409.998021775128</v>
      </c>
      <c r="R40" s="4">
        <f t="shared" si="26"/>
        <v>449.47504449262493</v>
      </c>
      <c r="S40" s="4">
        <f t="shared" si="26"/>
        <v>483.96851052076363</v>
      </c>
    </row>
    <row r="41" spans="2:19" x14ac:dyDescent="0.55000000000000004">
      <c r="B41" s="1" t="str">
        <f t="shared" si="21"/>
        <v>Other</v>
      </c>
      <c r="C41" s="1"/>
      <c r="D41" s="45"/>
      <c r="E41" s="45">
        <v>73.400000000000006</v>
      </c>
      <c r="F41" s="45">
        <v>95.6</v>
      </c>
      <c r="G41" s="45">
        <v>119.3</v>
      </c>
      <c r="H41" s="45">
        <v>181.7</v>
      </c>
      <c r="I41" s="6">
        <f t="shared" ref="I41:S41" si="27">I51*I$42</f>
        <v>207.12877586723789</v>
      </c>
      <c r="J41" s="6">
        <f t="shared" si="27"/>
        <v>289.53514753181014</v>
      </c>
      <c r="K41" s="6">
        <f t="shared" si="27"/>
        <v>435.64749529668137</v>
      </c>
      <c r="L41" s="6">
        <f t="shared" si="27"/>
        <v>500.93453210391385</v>
      </c>
      <c r="M41" s="6">
        <f t="shared" si="27"/>
        <v>558.03983119129805</v>
      </c>
      <c r="N41" s="6">
        <f t="shared" si="27"/>
        <v>629.70843350384052</v>
      </c>
      <c r="O41" s="6">
        <f t="shared" si="27"/>
        <v>719.54832016023431</v>
      </c>
      <c r="P41" s="6">
        <f t="shared" si="27"/>
        <v>804.49155046815304</v>
      </c>
      <c r="Q41" s="6">
        <f t="shared" si="27"/>
        <v>889.4117317842655</v>
      </c>
      <c r="R41" s="6">
        <f t="shared" si="27"/>
        <v>972.22919455663987</v>
      </c>
      <c r="S41" s="6">
        <f t="shared" si="27"/>
        <v>1074.3930071412085</v>
      </c>
    </row>
    <row r="42" spans="2:19" x14ac:dyDescent="0.55000000000000004">
      <c r="B42" t="s">
        <v>226</v>
      </c>
      <c r="D42" s="4">
        <f>SUM(D36:D41)</f>
        <v>575.1</v>
      </c>
      <c r="E42" s="4">
        <f>SUM(E36:E41)</f>
        <v>750.6</v>
      </c>
      <c r="F42" s="4">
        <f>SUM(F36:F41)</f>
        <v>841.59999999999991</v>
      </c>
      <c r="G42" s="4">
        <f>SUM(G36:G41)</f>
        <v>974.4</v>
      </c>
      <c r="H42" s="4">
        <f>SUM(H36:H41)</f>
        <v>1182.7</v>
      </c>
      <c r="I42" s="44">
        <v>1223.5999999999999</v>
      </c>
      <c r="J42" s="44">
        <v>1617.8</v>
      </c>
      <c r="K42" s="4">
        <f t="shared" ref="K42:S42" si="28">K43*K9</f>
        <v>2070.34</v>
      </c>
      <c r="L42" s="4">
        <f t="shared" si="28"/>
        <v>2278.35</v>
      </c>
      <c r="M42" s="4">
        <f t="shared" si="28"/>
        <v>2551.7520000000004</v>
      </c>
      <c r="N42" s="4">
        <f t="shared" si="28"/>
        <v>2857.9622400000007</v>
      </c>
      <c r="O42" s="4">
        <f t="shared" si="28"/>
        <v>3200.917708800001</v>
      </c>
      <c r="P42" s="4">
        <f t="shared" si="28"/>
        <v>3521.0094796800013</v>
      </c>
      <c r="Q42" s="4">
        <f t="shared" si="28"/>
        <v>3837.9003328512017</v>
      </c>
      <c r="R42" s="4">
        <f t="shared" si="28"/>
        <v>4144.9323594792986</v>
      </c>
      <c r="S42" s="4">
        <f t="shared" si="28"/>
        <v>4476.5269482376425</v>
      </c>
    </row>
    <row r="43" spans="2:19" x14ac:dyDescent="0.55000000000000004">
      <c r="B43" t="s">
        <v>227</v>
      </c>
      <c r="D43" s="2">
        <f t="shared" ref="D43:J43" si="29">D42/D9</f>
        <v>0.61272107393991049</v>
      </c>
      <c r="E43" s="2">
        <f t="shared" si="29"/>
        <v>0.62451119061485982</v>
      </c>
      <c r="F43" s="2">
        <f t="shared" si="29"/>
        <v>0.62359217545939538</v>
      </c>
      <c r="G43" s="2">
        <f t="shared" si="29"/>
        <v>0.62888860203949914</v>
      </c>
      <c r="H43" s="2">
        <f t="shared" si="29"/>
        <v>0.64033567948023828</v>
      </c>
      <c r="I43" s="2">
        <f t="shared" si="29"/>
        <v>0.5871609272817514</v>
      </c>
      <c r="J43" s="2">
        <f t="shared" si="29"/>
        <v>0.60773854244928627</v>
      </c>
      <c r="K43" s="5">
        <v>0.61</v>
      </c>
      <c r="L43" s="5">
        <v>0.61</v>
      </c>
      <c r="M43" s="5">
        <v>0.61</v>
      </c>
      <c r="N43" s="5">
        <v>0.61</v>
      </c>
      <c r="O43" s="5">
        <v>0.61</v>
      </c>
      <c r="P43" s="5">
        <v>0.61</v>
      </c>
      <c r="Q43" s="5">
        <v>0.61</v>
      </c>
      <c r="R43" s="5">
        <v>0.61</v>
      </c>
      <c r="S43" s="5">
        <v>0.61</v>
      </c>
    </row>
    <row r="45" spans="2:19" x14ac:dyDescent="0.55000000000000004">
      <c r="B45" s="23" t="s">
        <v>225</v>
      </c>
    </row>
    <row r="46" spans="2:19" x14ac:dyDescent="0.55000000000000004">
      <c r="B46" t="str">
        <f t="shared" ref="B46:B52" si="30">B36</f>
        <v>Cielo</v>
      </c>
      <c r="D46" s="12">
        <f t="shared" ref="D46:H52" si="31">D36/D$42</f>
        <v>0.55729438358546335</v>
      </c>
      <c r="E46" s="12">
        <f t="shared" si="31"/>
        <v>0.43871569411137756</v>
      </c>
      <c r="F46" s="12">
        <f t="shared" si="31"/>
        <v>0.40886406844106471</v>
      </c>
      <c r="G46" s="12">
        <f t="shared" si="31"/>
        <v>0.37397372742200324</v>
      </c>
      <c r="H46" s="12">
        <f t="shared" si="31"/>
        <v>0.34801724866830136</v>
      </c>
      <c r="I46" s="12">
        <f t="shared" ref="I46:S46" si="32">I27+(H46-H27)</f>
        <v>0.2872386907268546</v>
      </c>
      <c r="J46" s="12">
        <f t="shared" si="32"/>
        <v>0.246072128411154</v>
      </c>
      <c r="K46" s="12">
        <f t="shared" si="32"/>
        <v>0.23485774779427893</v>
      </c>
      <c r="L46" s="12">
        <f t="shared" si="32"/>
        <v>0.19643455985493563</v>
      </c>
      <c r="M46" s="12">
        <f t="shared" si="32"/>
        <v>0.19393455985493563</v>
      </c>
      <c r="N46" s="12">
        <f t="shared" si="32"/>
        <v>0.19143455985493563</v>
      </c>
      <c r="O46" s="12">
        <f t="shared" si="32"/>
        <v>0.18893455985493562</v>
      </c>
      <c r="P46" s="12">
        <f t="shared" si="32"/>
        <v>0.18643455985493562</v>
      </c>
      <c r="Q46" s="12">
        <f t="shared" si="32"/>
        <v>0.18393455985493562</v>
      </c>
      <c r="R46" s="12">
        <f t="shared" si="32"/>
        <v>0.18143455985493562</v>
      </c>
      <c r="S46" s="12">
        <f t="shared" si="32"/>
        <v>0.17893455985493562</v>
      </c>
    </row>
    <row r="47" spans="2:19" x14ac:dyDescent="0.55000000000000004">
      <c r="B47" t="str">
        <f t="shared" si="30"/>
        <v>Rede</v>
      </c>
      <c r="D47" s="12">
        <f t="shared" si="31"/>
        <v>0.43418535906798816</v>
      </c>
      <c r="E47" s="12">
        <f t="shared" si="31"/>
        <v>0.3355981881161737</v>
      </c>
      <c r="F47" s="12">
        <f t="shared" si="31"/>
        <v>0.30406368821292779</v>
      </c>
      <c r="G47" s="12">
        <f t="shared" si="31"/>
        <v>0.28817733990147787</v>
      </c>
      <c r="H47" s="12">
        <f t="shared" si="31"/>
        <v>0.26557876046334661</v>
      </c>
      <c r="I47" s="12">
        <f t="shared" ref="I47:S47" si="33">I28+(H47-H28)</f>
        <v>0.24611543725192528</v>
      </c>
      <c r="J47" s="12">
        <f t="shared" si="33"/>
        <v>0.23475805378811596</v>
      </c>
      <c r="K47" s="12">
        <f t="shared" si="33"/>
        <v>0.21685489060670288</v>
      </c>
      <c r="L47" s="12">
        <f t="shared" si="33"/>
        <v>0.23092594599304889</v>
      </c>
      <c r="M47" s="12">
        <f t="shared" si="33"/>
        <v>0.22842594599304888</v>
      </c>
      <c r="N47" s="12">
        <f t="shared" si="33"/>
        <v>0.22592594599304888</v>
      </c>
      <c r="O47" s="12">
        <f t="shared" si="33"/>
        <v>0.22342594599304888</v>
      </c>
      <c r="P47" s="12">
        <f t="shared" si="33"/>
        <v>0.22092594599304888</v>
      </c>
      <c r="Q47" s="12">
        <f t="shared" si="33"/>
        <v>0.21842594599304888</v>
      </c>
      <c r="R47" s="12">
        <f t="shared" si="33"/>
        <v>0.21592594599304887</v>
      </c>
      <c r="S47" s="12">
        <f t="shared" si="33"/>
        <v>0.21342594599304887</v>
      </c>
    </row>
    <row r="48" spans="2:19" x14ac:dyDescent="0.55000000000000004">
      <c r="B48" t="str">
        <f t="shared" si="30"/>
        <v>Getnet</v>
      </c>
      <c r="D48" s="12">
        <f t="shared" si="31"/>
        <v>0</v>
      </c>
      <c r="E48" s="12">
        <f t="shared" si="31"/>
        <v>9.2192912336797231E-2</v>
      </c>
      <c r="F48" s="12">
        <f t="shared" si="31"/>
        <v>0.10800855513307987</v>
      </c>
      <c r="G48" s="12">
        <f t="shared" si="31"/>
        <v>0.11709770114942529</v>
      </c>
      <c r="H48" s="12">
        <f t="shared" si="31"/>
        <v>0.10704320622304894</v>
      </c>
      <c r="I48" s="12">
        <f t="shared" ref="I48:S48" si="34">I29+(H48-H29)</f>
        <v>0.1260374925174646</v>
      </c>
      <c r="J48" s="12">
        <f t="shared" si="34"/>
        <v>0.14871839823136995</v>
      </c>
      <c r="K48" s="12">
        <f t="shared" si="34"/>
        <v>0.13612491001001145</v>
      </c>
      <c r="L48" s="12">
        <f t="shared" si="34"/>
        <v>0.14409645440799229</v>
      </c>
      <c r="M48" s="12">
        <f t="shared" si="34"/>
        <v>0.14409645440799229</v>
      </c>
      <c r="N48" s="12">
        <f t="shared" si="34"/>
        <v>0.14409645440799229</v>
      </c>
      <c r="O48" s="12">
        <f t="shared" si="34"/>
        <v>0.14409645440799229</v>
      </c>
      <c r="P48" s="12">
        <f t="shared" si="34"/>
        <v>0.14409645440799229</v>
      </c>
      <c r="Q48" s="12">
        <f t="shared" si="34"/>
        <v>0.14409645440799229</v>
      </c>
      <c r="R48" s="12">
        <f t="shared" si="34"/>
        <v>0.14409645440799229</v>
      </c>
      <c r="S48" s="12">
        <f t="shared" si="34"/>
        <v>0.14409645440799229</v>
      </c>
    </row>
    <row r="49" spans="2:19" x14ac:dyDescent="0.55000000000000004">
      <c r="B49" t="str">
        <f t="shared" si="30"/>
        <v>STNE</v>
      </c>
      <c r="D49" s="12">
        <f t="shared" si="31"/>
        <v>0</v>
      </c>
      <c r="E49" s="12">
        <f t="shared" si="31"/>
        <v>2.3314681588062883E-2</v>
      </c>
      <c r="F49" s="12">
        <f t="shared" si="31"/>
        <v>3.6002851711026622E-2</v>
      </c>
      <c r="G49" s="12">
        <f t="shared" si="31"/>
        <v>5.3776683087027911E-2</v>
      </c>
      <c r="H49" s="12">
        <f t="shared" si="31"/>
        <v>6.9924748456920607E-2</v>
      </c>
      <c r="I49" s="12">
        <f t="shared" ref="I49:S49" si="35">I30+(H49-H30)</f>
        <v>0.10070297147596648</v>
      </c>
      <c r="J49" s="12">
        <f t="shared" si="35"/>
        <v>0.10333340309902507</v>
      </c>
      <c r="K49" s="12">
        <f t="shared" si="35"/>
        <v>0.10432932687311351</v>
      </c>
      <c r="L49" s="12">
        <f t="shared" si="35"/>
        <v>0.10991828257451167</v>
      </c>
      <c r="M49" s="12">
        <f t="shared" si="35"/>
        <v>0.11230187775670418</v>
      </c>
      <c r="N49" s="12">
        <f t="shared" si="35"/>
        <v>0.11364754545064119</v>
      </c>
      <c r="O49" s="12">
        <f t="shared" si="35"/>
        <v>0.11393271552817799</v>
      </c>
      <c r="P49" s="12">
        <f t="shared" si="35"/>
        <v>0.11473309107314729</v>
      </c>
      <c r="Q49" s="12">
        <f t="shared" si="35"/>
        <v>0.1149699552798798</v>
      </c>
      <c r="R49" s="12">
        <f t="shared" si="35"/>
        <v>0.11554486371881421</v>
      </c>
      <c r="S49" s="12">
        <f t="shared" si="35"/>
        <v>0.11542461318669366</v>
      </c>
    </row>
    <row r="50" spans="2:19" x14ac:dyDescent="0.55000000000000004">
      <c r="B50" t="str">
        <f t="shared" si="30"/>
        <v>PAGS</v>
      </c>
      <c r="D50" s="12">
        <f t="shared" si="31"/>
        <v>8.5202573465484269E-3</v>
      </c>
      <c r="E50" s="12">
        <f t="shared" si="31"/>
        <v>1.2390087929656275E-2</v>
      </c>
      <c r="F50" s="12">
        <f t="shared" si="31"/>
        <v>2.9467680608365025E-2</v>
      </c>
      <c r="G50" s="12">
        <f t="shared" si="31"/>
        <v>4.4540229885057472E-2</v>
      </c>
      <c r="H50" s="12">
        <f t="shared" si="31"/>
        <v>5.5804515092584758E-2</v>
      </c>
      <c r="I50" s="12">
        <f t="shared" ref="I50:S50" si="36">I31+(H50-H31)</f>
        <v>7.0627232261821396E-2</v>
      </c>
      <c r="J50" s="12">
        <f t="shared" si="36"/>
        <v>8.8149573194398284E-2</v>
      </c>
      <c r="K50" s="12">
        <f t="shared" si="36"/>
        <v>9.7409959778404082E-2</v>
      </c>
      <c r="L50" s="12">
        <f t="shared" si="36"/>
        <v>9.8757514601901575E-2</v>
      </c>
      <c r="M50" s="12">
        <f t="shared" si="36"/>
        <v>0.10255226463706779</v>
      </c>
      <c r="N50" s="12">
        <f t="shared" si="36"/>
        <v>0.10456073105177932</v>
      </c>
      <c r="O50" s="12">
        <f t="shared" si="36"/>
        <v>0.10481594159799663</v>
      </c>
      <c r="P50" s="12">
        <f t="shared" si="36"/>
        <v>0.1053267380714918</v>
      </c>
      <c r="Q50" s="12">
        <f t="shared" si="36"/>
        <v>0.10682873087288793</v>
      </c>
      <c r="R50" s="12">
        <f t="shared" si="36"/>
        <v>0.10843965727563516</v>
      </c>
      <c r="S50" s="12">
        <f t="shared" si="36"/>
        <v>0.10811249795140773</v>
      </c>
    </row>
    <row r="51" spans="2:19" x14ac:dyDescent="0.55000000000000004">
      <c r="B51" s="1" t="str">
        <f t="shared" si="30"/>
        <v>Other</v>
      </c>
      <c r="C51" s="1"/>
      <c r="D51" s="43">
        <f t="shared" si="31"/>
        <v>0</v>
      </c>
      <c r="E51" s="43">
        <f t="shared" si="31"/>
        <v>9.778843591793232E-2</v>
      </c>
      <c r="F51" s="43">
        <f t="shared" si="31"/>
        <v>0.11359315589353612</v>
      </c>
      <c r="G51" s="43">
        <f t="shared" si="31"/>
        <v>0.12243431855500821</v>
      </c>
      <c r="H51" s="43">
        <f t="shared" si="31"/>
        <v>0.15363152109579772</v>
      </c>
      <c r="I51" s="43">
        <f t="shared" ref="I51:S51" si="37">I32+(H51-H32)</f>
        <v>0.16927817576596757</v>
      </c>
      <c r="J51" s="43">
        <f t="shared" si="37"/>
        <v>0.17896844327593656</v>
      </c>
      <c r="K51" s="43">
        <f t="shared" si="37"/>
        <v>0.21042316493748917</v>
      </c>
      <c r="L51" s="43">
        <f t="shared" si="37"/>
        <v>0.21986724256760984</v>
      </c>
      <c r="M51" s="43">
        <f t="shared" si="37"/>
        <v>0.21868889735025113</v>
      </c>
      <c r="N51" s="43">
        <f t="shared" si="37"/>
        <v>0.22033476324160264</v>
      </c>
      <c r="O51" s="43">
        <f t="shared" si="37"/>
        <v>0.22479438261784848</v>
      </c>
      <c r="P51" s="43">
        <f t="shared" si="37"/>
        <v>0.22848321059938395</v>
      </c>
      <c r="Q51" s="43">
        <f t="shared" si="37"/>
        <v>0.23174435359125536</v>
      </c>
      <c r="R51" s="43">
        <f t="shared" si="37"/>
        <v>0.2345585187495737</v>
      </c>
      <c r="S51" s="43">
        <f t="shared" si="37"/>
        <v>0.24000592860592176</v>
      </c>
    </row>
    <row r="52" spans="2:19" x14ac:dyDescent="0.55000000000000004">
      <c r="B52" t="str">
        <f t="shared" si="30"/>
        <v>Credit TPV</v>
      </c>
      <c r="D52" s="12">
        <f t="shared" si="31"/>
        <v>1</v>
      </c>
      <c r="E52" s="12">
        <f t="shared" si="31"/>
        <v>1</v>
      </c>
      <c r="F52" s="12">
        <f t="shared" si="31"/>
        <v>1</v>
      </c>
      <c r="G52" s="12">
        <f t="shared" si="31"/>
        <v>1</v>
      </c>
      <c r="H52" s="12">
        <f t="shared" si="31"/>
        <v>1</v>
      </c>
      <c r="I52" s="12">
        <f>SUM(I46:I51)</f>
        <v>1</v>
      </c>
      <c r="J52" s="12">
        <f t="shared" ref="J52:S52" si="38">SUM(J46:J51)</f>
        <v>0.99999999999999989</v>
      </c>
      <c r="K52" s="12">
        <f t="shared" si="38"/>
        <v>0.99999999999999989</v>
      </c>
      <c r="L52" s="12">
        <f t="shared" si="38"/>
        <v>0.99999999999999978</v>
      </c>
      <c r="M52" s="12">
        <f t="shared" si="38"/>
        <v>0.99999999999999989</v>
      </c>
      <c r="N52" s="12">
        <f t="shared" si="38"/>
        <v>0.99999999999999989</v>
      </c>
      <c r="O52" s="12">
        <f t="shared" si="38"/>
        <v>0.99999999999999989</v>
      </c>
      <c r="P52" s="12">
        <f t="shared" si="38"/>
        <v>0.99999999999999989</v>
      </c>
      <c r="Q52" s="12">
        <f t="shared" si="38"/>
        <v>0.99999999999999978</v>
      </c>
      <c r="R52" s="12">
        <f t="shared" si="38"/>
        <v>0.99999999999999989</v>
      </c>
      <c r="S52" s="12">
        <f t="shared" si="38"/>
        <v>0.99999999999999989</v>
      </c>
    </row>
    <row r="54" spans="2:19" x14ac:dyDescent="0.55000000000000004">
      <c r="B54" s="18" t="s">
        <v>1533</v>
      </c>
    </row>
    <row r="55" spans="2:19" x14ac:dyDescent="0.55000000000000004">
      <c r="B55" t="str">
        <f>B3</f>
        <v>Cielo</v>
      </c>
      <c r="F55" s="31"/>
      <c r="G55" s="31">
        <v>6442</v>
      </c>
      <c r="H55" s="31">
        <v>5441</v>
      </c>
      <c r="I55" s="31">
        <v>4775</v>
      </c>
      <c r="J55" s="44">
        <f>J75*J$60</f>
        <v>4513.2290773783725</v>
      </c>
      <c r="K55" s="44">
        <f>K75*K$60</f>
        <v>4643.7887195101148</v>
      </c>
      <c r="L55" s="44">
        <f t="shared" ref="L55:S55" si="39">L75*L$60</f>
        <v>4290.6658003292223</v>
      </c>
      <c r="M55" s="44">
        <f t="shared" si="39"/>
        <v>3920.9574136406077</v>
      </c>
      <c r="N55" s="44">
        <f t="shared" si="39"/>
        <v>3653.1033297858589</v>
      </c>
      <c r="O55" s="44">
        <f t="shared" si="39"/>
        <v>3531.4145523530842</v>
      </c>
      <c r="P55" s="44">
        <f t="shared" si="39"/>
        <v>3291.5772996326077</v>
      </c>
      <c r="Q55" s="44">
        <f t="shared" si="39"/>
        <v>2966.639024487416</v>
      </c>
      <c r="R55" s="44">
        <f t="shared" si="39"/>
        <v>2560.2753800897667</v>
      </c>
      <c r="S55" s="44">
        <f t="shared" si="39"/>
        <v>2099.2613379021855</v>
      </c>
    </row>
    <row r="56" spans="2:19" x14ac:dyDescent="0.55000000000000004">
      <c r="B56" t="str">
        <f>B5</f>
        <v>Getnet</v>
      </c>
      <c r="F56" s="31"/>
      <c r="G56" s="44">
        <v>2231.6060000000002</v>
      </c>
      <c r="H56" s="44">
        <v>2662.893</v>
      </c>
      <c r="I56" s="44">
        <v>2320.4949999999999</v>
      </c>
      <c r="J56" s="44">
        <v>2613.3586014000007</v>
      </c>
      <c r="K56" s="44">
        <v>2808.8523290640005</v>
      </c>
      <c r="L56" s="44">
        <v>3020.1424703001007</v>
      </c>
      <c r="M56" s="44">
        <v>3248.5595862918308</v>
      </c>
      <c r="N56" s="44">
        <v>3337.0987942310671</v>
      </c>
      <c r="O56" s="44">
        <v>3327.5263217548777</v>
      </c>
      <c r="P56" s="44">
        <v>3593.7284274952681</v>
      </c>
      <c r="Q56" s="44">
        <v>3881.2267016948904</v>
      </c>
      <c r="R56" s="44">
        <v>4191.7248378304821</v>
      </c>
      <c r="S56" s="44">
        <v>4527.0628248569201</v>
      </c>
    </row>
    <row r="57" spans="2:19" x14ac:dyDescent="0.55000000000000004">
      <c r="B57" t="str">
        <f>B6</f>
        <v>STNE</v>
      </c>
      <c r="F57" s="44"/>
      <c r="G57" s="44">
        <v>1529.6000000000001</v>
      </c>
      <c r="H57" s="44">
        <v>2389.6999999999998</v>
      </c>
      <c r="I57" s="44">
        <v>2821.25</v>
      </c>
      <c r="J57" s="44">
        <v>3554.9648957662275</v>
      </c>
      <c r="K57" s="44">
        <v>5584.8823901839896</v>
      </c>
      <c r="L57" s="44">
        <v>6646.9580407917783</v>
      </c>
      <c r="M57" s="44">
        <v>7669.780560117304</v>
      </c>
      <c r="N57" s="44">
        <v>8500.1220041752749</v>
      </c>
      <c r="O57" s="44">
        <v>9325.5935528741429</v>
      </c>
      <c r="P57" s="44">
        <v>10723.509140742652</v>
      </c>
      <c r="Q57" s="44">
        <v>12494.821136094009</v>
      </c>
      <c r="R57" s="44">
        <v>14516.204048073687</v>
      </c>
      <c r="S57" s="44">
        <v>16831.221046567538</v>
      </c>
    </row>
    <row r="58" spans="2:19" x14ac:dyDescent="0.55000000000000004">
      <c r="B58" t="str">
        <f>B7</f>
        <v>PAGS</v>
      </c>
      <c r="D58" s="4"/>
      <c r="E58" s="4"/>
      <c r="F58" s="4">
        <f>Master!E26-Master!E5</f>
        <v>1936.9</v>
      </c>
      <c r="G58" s="4">
        <f>Master!F26-Master!F5</f>
        <v>3171.6000000000004</v>
      </c>
      <c r="H58" s="4">
        <f>Master!G26-Master!G5</f>
        <v>4024.2</v>
      </c>
      <c r="I58" s="4">
        <f>Master!H26-Master!H5</f>
        <v>4132.7000000000007</v>
      </c>
      <c r="J58" s="4">
        <f>Master!I26-Master!I5</f>
        <v>5832.1</v>
      </c>
      <c r="K58" s="4">
        <f>Master!J26-Master!J5</f>
        <v>8535.7999999999993</v>
      </c>
      <c r="L58" s="4">
        <f>Master!K26-Master!K5</f>
        <v>9115.3094743155452</v>
      </c>
      <c r="M58" s="4">
        <f>Master!L26-Master!L5</f>
        <v>9762.3437964265122</v>
      </c>
      <c r="N58" s="4">
        <f>Master!M26-Master!M5</f>
        <v>10272.379743509233</v>
      </c>
      <c r="O58" s="4">
        <f>Master!N26-Master!N5</f>
        <v>10712.568795868177</v>
      </c>
      <c r="P58" s="4">
        <f>Master!O26-Master!O5</f>
        <v>11131.956811410206</v>
      </c>
      <c r="Q58" s="4">
        <f>Master!P26-Master!P5</f>
        <v>11920.577354145698</v>
      </c>
      <c r="R58" s="4">
        <f>Master!Q26-Master!Q5</f>
        <v>12499.349930803524</v>
      </c>
      <c r="S58" s="4">
        <f>Master!R26-Master!R5</f>
        <v>12882.684335700673</v>
      </c>
    </row>
    <row r="59" spans="2:19" x14ac:dyDescent="0.55000000000000004">
      <c r="B59" s="1" t="str">
        <f>B8</f>
        <v>Other</v>
      </c>
      <c r="C59" s="1"/>
      <c r="D59" s="1"/>
      <c r="E59" s="1"/>
      <c r="F59" s="6">
        <f>F60-F58-F57-F56-F55</f>
        <v>11792.722927541987</v>
      </c>
      <c r="G59" s="6">
        <f>G60-G58-G57-G56-G55</f>
        <v>2387.4033686526054</v>
      </c>
      <c r="H59" s="6">
        <f>H60-H58-H57-H56-H55</f>
        <v>4271.9325091657156</v>
      </c>
      <c r="I59" s="6">
        <f>I60-I58-I57-I56-I55</f>
        <v>7150.5550000000003</v>
      </c>
      <c r="J59" s="6">
        <f>J60-J58-J57-J56-J55</f>
        <v>10034.75376297523</v>
      </c>
      <c r="K59" s="6">
        <f t="shared" ref="K59:S59" si="40">K60-K58-K57-K56-K55</f>
        <v>11596.59598631414</v>
      </c>
      <c r="L59" s="6">
        <f t="shared" si="40"/>
        <v>12682.472550340204</v>
      </c>
      <c r="M59" s="6">
        <f t="shared" si="40"/>
        <v>14607.932779929823</v>
      </c>
      <c r="N59" s="6">
        <f t="shared" si="40"/>
        <v>17214.982361073373</v>
      </c>
      <c r="O59" s="6">
        <f t="shared" si="40"/>
        <v>20188.424141857497</v>
      </c>
      <c r="P59" s="6">
        <f t="shared" si="40"/>
        <v>21898.879084297831</v>
      </c>
      <c r="Q59" s="6">
        <f t="shared" si="40"/>
        <v>22675.627137894622</v>
      </c>
      <c r="R59" s="6">
        <f t="shared" si="40"/>
        <v>23127.454249641789</v>
      </c>
      <c r="S59" s="6">
        <f t="shared" si="40"/>
        <v>23638.665823606534</v>
      </c>
    </row>
    <row r="60" spans="2:19" x14ac:dyDescent="0.55000000000000004">
      <c r="B60" t="s">
        <v>243</v>
      </c>
      <c r="F60" s="4">
        <f>G60/(1+G10)</f>
        <v>13729.622927541986</v>
      </c>
      <c r="G60" s="4">
        <f>H60/(1+H10)</f>
        <v>15762.209368652606</v>
      </c>
      <c r="H60" s="4">
        <f>I60/(1+I10)</f>
        <v>18789.725509165717</v>
      </c>
      <c r="I60" s="361">
        <v>21200</v>
      </c>
      <c r="J60" s="4">
        <f>J69*J9*1000</f>
        <v>26548.406337519835</v>
      </c>
      <c r="K60" s="4">
        <f t="shared" ref="K60:S60" si="41">K69*K9*1000</f>
        <v>33169.919425072243</v>
      </c>
      <c r="L60" s="4">
        <f t="shared" si="41"/>
        <v>35755.548336076848</v>
      </c>
      <c r="M60" s="4">
        <f t="shared" si="41"/>
        <v>39209.574136406074</v>
      </c>
      <c r="N60" s="4">
        <f t="shared" si="41"/>
        <v>42977.686232774809</v>
      </c>
      <c r="O60" s="4">
        <f t="shared" si="41"/>
        <v>47085.527364707785</v>
      </c>
      <c r="P60" s="4">
        <f t="shared" si="41"/>
        <v>50639.650763578567</v>
      </c>
      <c r="Q60" s="4">
        <f t="shared" si="41"/>
        <v>53938.891354316642</v>
      </c>
      <c r="R60" s="4">
        <f t="shared" si="41"/>
        <v>56895.008446439249</v>
      </c>
      <c r="S60" s="4">
        <f t="shared" si="41"/>
        <v>59978.89536863385</v>
      </c>
    </row>
    <row r="61" spans="2:19" x14ac:dyDescent="0.55000000000000004">
      <c r="B61" t="s">
        <v>7</v>
      </c>
      <c r="F61" s="4"/>
      <c r="G61" s="2">
        <f>G60/F60-1</f>
        <v>0.14804386484884424</v>
      </c>
      <c r="H61" s="2">
        <f t="shared" ref="H61:S61" si="42">H60/G60-1</f>
        <v>0.1920743513618175</v>
      </c>
      <c r="I61" s="2">
        <f t="shared" si="42"/>
        <v>0.12827619486290742</v>
      </c>
      <c r="J61" s="2">
        <f t="shared" si="42"/>
        <v>0.25228331780753943</v>
      </c>
      <c r="K61" s="2">
        <f t="shared" si="42"/>
        <v>0.24941282739802273</v>
      </c>
      <c r="L61" s="2">
        <f t="shared" si="42"/>
        <v>7.7951015734159412E-2</v>
      </c>
      <c r="M61" s="2">
        <f t="shared" si="42"/>
        <v>9.6601113982753839E-2</v>
      </c>
      <c r="N61" s="2">
        <f t="shared" si="42"/>
        <v>9.6101836843722532E-2</v>
      </c>
      <c r="O61" s="2">
        <f t="shared" si="42"/>
        <v>9.5580788358037072E-2</v>
      </c>
      <c r="P61" s="2">
        <f t="shared" si="42"/>
        <v>7.5482289310297102E-2</v>
      </c>
      <c r="Q61" s="2">
        <f t="shared" si="42"/>
        <v>6.5151329856938389E-2</v>
      </c>
      <c r="R61" s="2">
        <f t="shared" si="42"/>
        <v>5.4804928649799356E-2</v>
      </c>
      <c r="S61" s="2">
        <f t="shared" si="42"/>
        <v>5.42031191558352E-2</v>
      </c>
    </row>
    <row r="62" spans="2:19" x14ac:dyDescent="0.55000000000000004">
      <c r="F62" s="4"/>
      <c r="G62" s="4"/>
      <c r="H62" s="4"/>
      <c r="I62" s="292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2:19" x14ac:dyDescent="0.55000000000000004">
      <c r="B63" s="18" t="s">
        <v>256</v>
      </c>
      <c r="F63" s="4"/>
      <c r="G63" s="4"/>
      <c r="H63" s="4"/>
      <c r="I63" s="292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2:19" x14ac:dyDescent="0.55000000000000004">
      <c r="B64" t="str">
        <f>B55</f>
        <v>Cielo</v>
      </c>
      <c r="F64" s="363">
        <f>F55/(F3*1000)</f>
        <v>0</v>
      </c>
      <c r="G64" s="363">
        <f t="shared" ref="G64:S64" si="43">G55/(G3*1000)</f>
        <v>1.0282521947326416E-2</v>
      </c>
      <c r="H64" s="363">
        <f t="shared" si="43"/>
        <v>7.9663250366032202E-3</v>
      </c>
      <c r="I64" s="363">
        <f t="shared" si="43"/>
        <v>7.4151188326370358E-3</v>
      </c>
      <c r="J64" s="363">
        <f>J55/(J3*1000)</f>
        <v>6.3299145545278714E-3</v>
      </c>
      <c r="K64" s="363">
        <f t="shared" si="43"/>
        <v>5.3315599535133347E-3</v>
      </c>
      <c r="L64" s="363">
        <f t="shared" si="43"/>
        <v>5.2646206139008861E-3</v>
      </c>
      <c r="M64" s="363">
        <f t="shared" si="43"/>
        <v>4.3453118813494302E-3</v>
      </c>
      <c r="N64" s="363">
        <f t="shared" si="43"/>
        <v>3.6570892645170407E-3</v>
      </c>
      <c r="O64" s="363">
        <f t="shared" si="43"/>
        <v>3.1939403423888739E-3</v>
      </c>
      <c r="P64" s="363">
        <f t="shared" si="43"/>
        <v>2.7388807842152587E-3</v>
      </c>
      <c r="Q64" s="363">
        <f t="shared" si="43"/>
        <v>2.2922055263766071E-3</v>
      </c>
      <c r="R64" s="363">
        <f t="shared" si="43"/>
        <v>1.8542240193991349E-3</v>
      </c>
      <c r="S64" s="363">
        <f t="shared" si="43"/>
        <v>1.4252611318973367E-3</v>
      </c>
    </row>
    <row r="65" spans="2:19" x14ac:dyDescent="0.55000000000000004">
      <c r="B65" t="str">
        <f>B56</f>
        <v>Getnet</v>
      </c>
      <c r="F65" s="363">
        <f>F56/(F5*1000)</f>
        <v>0</v>
      </c>
      <c r="G65" s="363">
        <f t="shared" ref="G65:S65" si="44">G56/(G5*1000)</f>
        <v>1.1908249733191037E-2</v>
      </c>
      <c r="H65" s="363">
        <f t="shared" si="44"/>
        <v>1.2833219277108433E-2</v>
      </c>
      <c r="I65" s="363">
        <f t="shared" si="44"/>
        <v>8.4782426013883787E-3</v>
      </c>
      <c r="J65" s="363">
        <f>J56/(J5*1000)</f>
        <v>6.374045369268294E-3</v>
      </c>
      <c r="K65" s="363">
        <f t="shared" si="44"/>
        <v>5.8517756855500013E-3</v>
      </c>
      <c r="L65" s="363">
        <f t="shared" si="44"/>
        <v>5.4124417030467758E-3</v>
      </c>
      <c r="M65" s="363">
        <f t="shared" si="44"/>
        <v>5.1980280118596872E-3</v>
      </c>
      <c r="N65" s="363">
        <f t="shared" si="44"/>
        <v>4.7675891174621832E-3</v>
      </c>
      <c r="O65" s="363">
        <f t="shared" si="44"/>
        <v>4.2445654299360829E-3</v>
      </c>
      <c r="P65" s="363">
        <f t="shared" si="44"/>
        <v>4.1673915130281541E-3</v>
      </c>
      <c r="Q65" s="363">
        <f t="shared" si="44"/>
        <v>4.1291585633673458E-3</v>
      </c>
      <c r="R65" s="363">
        <f t="shared" si="44"/>
        <v>4.1291585633673458E-3</v>
      </c>
      <c r="S65" s="363">
        <f t="shared" si="44"/>
        <v>4.1291585633673449E-3</v>
      </c>
    </row>
    <row r="66" spans="2:19" x14ac:dyDescent="0.55000000000000004">
      <c r="B66" t="str">
        <f>B57</f>
        <v>STNE</v>
      </c>
      <c r="F66" s="363">
        <f>F57/(F6*1000)</f>
        <v>0</v>
      </c>
      <c r="G66" s="363">
        <f t="shared" ref="G66:S66" si="45">G57/(G6*1000)</f>
        <v>1.8340527577937651E-2</v>
      </c>
      <c r="H66" s="363">
        <f t="shared" si="45"/>
        <v>1.8510457010069713E-2</v>
      </c>
      <c r="I66" s="363">
        <f t="shared" si="45"/>
        <v>1.3447330791229742E-2</v>
      </c>
      <c r="J66" s="363">
        <f>J57/(J6*1000)</f>
        <v>1.2927145075513555E-2</v>
      </c>
      <c r="K66" s="363">
        <f t="shared" si="45"/>
        <v>1.5776503927073415E-2</v>
      </c>
      <c r="L66" s="363">
        <f t="shared" si="45"/>
        <v>1.6194648685818831E-2</v>
      </c>
      <c r="M66" s="363">
        <f t="shared" si="45"/>
        <v>1.6330297974205425E-2</v>
      </c>
      <c r="N66" s="363">
        <f t="shared" si="45"/>
        <v>1.596776013398498E-2</v>
      </c>
      <c r="O66" s="363">
        <f t="shared" si="45"/>
        <v>1.5602300879807298E-2</v>
      </c>
      <c r="P66" s="363">
        <f t="shared" si="45"/>
        <v>1.6196285605456776E-2</v>
      </c>
      <c r="Q66" s="363">
        <f t="shared" si="45"/>
        <v>1.727770928226767E-2</v>
      </c>
      <c r="R66" s="363">
        <f t="shared" si="45"/>
        <v>1.8493479318876762E-2</v>
      </c>
      <c r="S66" s="363">
        <f t="shared" si="45"/>
        <v>1.9875119792317278E-2</v>
      </c>
    </row>
    <row r="67" spans="2:19" x14ac:dyDescent="0.55000000000000004">
      <c r="B67" t="str">
        <f>B58</f>
        <v>PAGS</v>
      </c>
      <c r="F67" s="363">
        <f>F58/(F7*1000)</f>
        <v>5.110554089709763E-2</v>
      </c>
      <c r="G67" s="363">
        <f t="shared" ref="G67:S67" si="46">G58/(G7*1000)</f>
        <v>4.1896961690885075E-2</v>
      </c>
      <c r="H67" s="363">
        <f t="shared" si="46"/>
        <v>3.4751295336787565E-2</v>
      </c>
      <c r="I67" s="363">
        <f t="shared" si="46"/>
        <v>2.5582530598073215E-2</v>
      </c>
      <c r="J67" s="363">
        <f>J58/(J7*1000)</f>
        <v>2.3051778656126485E-2</v>
      </c>
      <c r="K67" s="363">
        <f t="shared" si="46"/>
        <v>2.4112429378531072E-2</v>
      </c>
      <c r="L67" s="363">
        <f t="shared" si="46"/>
        <v>2.3100125378397226E-2</v>
      </c>
      <c r="M67" s="363">
        <f t="shared" si="46"/>
        <v>2.1323252866855498E-2</v>
      </c>
      <c r="N67" s="363">
        <f t="shared" si="46"/>
        <v>1.9672279082345749E-2</v>
      </c>
      <c r="O67" s="363">
        <f t="shared" si="46"/>
        <v>1.8275357270809013E-2</v>
      </c>
      <c r="P67" s="363">
        <f t="shared" si="46"/>
        <v>1.7185799617010139E-2</v>
      </c>
      <c r="Q67" s="363">
        <f t="shared" si="46"/>
        <v>1.6660757719116383E-2</v>
      </c>
      <c r="R67" s="363">
        <f t="shared" si="46"/>
        <v>1.5949689245819267E-2</v>
      </c>
      <c r="S67" s="363">
        <f t="shared" si="46"/>
        <v>1.5264448506217443E-2</v>
      </c>
    </row>
    <row r="68" spans="2:19" x14ac:dyDescent="0.55000000000000004">
      <c r="B68" s="1" t="str">
        <f>B59</f>
        <v>Other</v>
      </c>
      <c r="C68" s="1"/>
      <c r="D68" s="1"/>
      <c r="E68" s="1"/>
      <c r="F68" s="364">
        <f>F59/((F8+F4)*1000)</f>
        <v>2.380444676532496E-2</v>
      </c>
      <c r="G68" s="364">
        <f t="shared" ref="G68:S68" si="47">G59/((G8+G4)*1000)</f>
        <v>4.1419211808685031E-3</v>
      </c>
      <c r="H68" s="364">
        <f t="shared" si="47"/>
        <v>6.0032778375010048E-3</v>
      </c>
      <c r="I68" s="364">
        <f t="shared" si="47"/>
        <v>8.9952270317637927E-3</v>
      </c>
      <c r="J68" s="364">
        <f>J59/((J8+J4)*1000)</f>
        <v>9.9255724658508706E-3</v>
      </c>
      <c r="K68" s="364">
        <f t="shared" si="47"/>
        <v>8.6865887537933631E-3</v>
      </c>
      <c r="L68" s="364">
        <f t="shared" si="47"/>
        <v>8.1456722371477785E-3</v>
      </c>
      <c r="M68" s="364">
        <f t="shared" si="47"/>
        <v>8.4516784722435626E-3</v>
      </c>
      <c r="N68" s="364">
        <f t="shared" si="47"/>
        <v>8.9113085356775038E-3</v>
      </c>
      <c r="O68" s="364">
        <f t="shared" si="47"/>
        <v>9.2866728786536994E-3</v>
      </c>
      <c r="P68" s="364">
        <f t="shared" si="47"/>
        <v>9.1315070997461147E-3</v>
      </c>
      <c r="Q68" s="364">
        <f t="shared" si="47"/>
        <v>8.6588155311159726E-3</v>
      </c>
      <c r="R68" s="364">
        <f t="shared" si="47"/>
        <v>8.1710069837610012E-3</v>
      </c>
      <c r="S68" s="364">
        <f t="shared" si="47"/>
        <v>7.6786486188666547E-3</v>
      </c>
    </row>
    <row r="69" spans="2:19" x14ac:dyDescent="0.55000000000000004">
      <c r="B69" t="s">
        <v>243</v>
      </c>
      <c r="F69" s="363">
        <f>F60/(F9*1000)</f>
        <v>1.0173105310863949E-2</v>
      </c>
      <c r="G69" s="363">
        <f>G60/(G9*1000)</f>
        <v>1.0173105310863951E-2</v>
      </c>
      <c r="H69" s="363">
        <f>H60/(H9*1000)</f>
        <v>1.0173105310863951E-2</v>
      </c>
      <c r="I69" s="363">
        <f>I60/(I9*1000)</f>
        <v>1.0173105310863951E-2</v>
      </c>
      <c r="J69" s="362">
        <f t="shared" ref="J69:S69" si="48">I69-0.02%</f>
        <v>9.9731053108639504E-3</v>
      </c>
      <c r="K69" s="362">
        <f t="shared" si="48"/>
        <v>9.7731053108639498E-3</v>
      </c>
      <c r="L69" s="362">
        <f t="shared" si="48"/>
        <v>9.5731053108639493E-3</v>
      </c>
      <c r="M69" s="362">
        <f t="shared" si="48"/>
        <v>9.3731053108639488E-3</v>
      </c>
      <c r="N69" s="362">
        <f t="shared" si="48"/>
        <v>9.1731053108639483E-3</v>
      </c>
      <c r="O69" s="362">
        <f t="shared" si="48"/>
        <v>8.9731053108639477E-3</v>
      </c>
      <c r="P69" s="362">
        <f t="shared" si="48"/>
        <v>8.7731053108639472E-3</v>
      </c>
      <c r="Q69" s="362">
        <f t="shared" si="48"/>
        <v>8.5731053108639467E-3</v>
      </c>
      <c r="R69" s="362">
        <f t="shared" si="48"/>
        <v>8.3731053108639462E-3</v>
      </c>
      <c r="S69" s="362">
        <f t="shared" si="48"/>
        <v>8.1731053108639456E-3</v>
      </c>
    </row>
    <row r="70" spans="2:19" x14ac:dyDescent="0.55000000000000004">
      <c r="I70" s="362"/>
      <c r="J70" s="362"/>
      <c r="K70" s="362"/>
      <c r="L70" s="362"/>
      <c r="M70" s="362"/>
      <c r="N70" s="362"/>
      <c r="O70" s="362"/>
      <c r="P70" s="362"/>
      <c r="Q70" s="362"/>
      <c r="R70" s="362"/>
      <c r="S70" s="362"/>
    </row>
    <row r="71" spans="2:19" x14ac:dyDescent="0.55000000000000004">
      <c r="B71" t="s">
        <v>2206</v>
      </c>
      <c r="F71" s="11">
        <f>(Master!E26-Master!E11)/(F83*1000)</f>
        <v>5.0868073878627969E-2</v>
      </c>
      <c r="G71" s="11">
        <f>(Master!F26-Master!F11)/(G83*1000)</f>
        <v>3.8224570673712023E-2</v>
      </c>
      <c r="H71" s="11">
        <f>(Master!G26-Master!G11)/(H83*1000)</f>
        <v>3.366321243523316E-2</v>
      </c>
      <c r="I71" s="11">
        <f>(Master!H26-Master!H11)/(I83*1000)</f>
        <v>2.8279012396539273E-2</v>
      </c>
      <c r="J71" s="11">
        <f>(Master!I26-Master!I11)/(J83*1000)</f>
        <v>2.608300395256917E-2</v>
      </c>
      <c r="K71" s="11">
        <f>(Master!J26-Master!J11)/(K83*1000)</f>
        <v>2.7610169491525425E-2</v>
      </c>
      <c r="L71" s="11">
        <f>(Master!K26-Master!K11)/(L83*1000)</f>
        <v>2.510390268626457E-2</v>
      </c>
      <c r="M71" s="11">
        <f>(Master!L26-Master!L11)/(M83*1000)</f>
        <v>2.313874695412671E-2</v>
      </c>
      <c r="N71" s="11">
        <f>(Master!M26-Master!M11)/(N83*1000)</f>
        <v>2.2063687398572229E-2</v>
      </c>
      <c r="O71" s="11">
        <f>(Master!N26-Master!N11)/(O83*1000)</f>
        <v>2.0900937448952987E-2</v>
      </c>
      <c r="P71" s="11">
        <f>(Master!O26-Master!O11)/(P83*1000)</f>
        <v>1.9975296865819971E-2</v>
      </c>
      <c r="Q71" s="11">
        <f>(Master!P26-Master!P11)/(Q83*1000)</f>
        <v>1.9696687100864328E-2</v>
      </c>
      <c r="R71" s="11">
        <f>(Master!Q26-Master!Q11)/(R83*1000)</f>
        <v>1.9204904905588918E-2</v>
      </c>
      <c r="S71" s="11">
        <f>(Master!R26-Master!R11)/(S83*1000)</f>
        <v>1.875445277461988E-2</v>
      </c>
    </row>
    <row r="72" spans="2:19" x14ac:dyDescent="0.55000000000000004">
      <c r="B72" t="s">
        <v>2207</v>
      </c>
      <c r="F72" s="11">
        <f>(Master!E26-Master!E11-Master!E5)/(F83*1000)</f>
        <v>5.0868073878627969E-2</v>
      </c>
      <c r="G72" s="11">
        <f>(Master!F26-Master!F11-Master!F5)/(G83*1000)</f>
        <v>3.8224570673712023E-2</v>
      </c>
      <c r="H72" s="11">
        <f>(Master!G26-Master!G11-Master!G5)/(H83*1000)</f>
        <v>3.366321243523316E-2</v>
      </c>
      <c r="I72" s="11">
        <f>(Master!H26-Master!H11-Master!H5)/(I83*1000)</f>
        <v>2.4786461821023772E-2</v>
      </c>
      <c r="J72" s="11">
        <f>(Master!I26-Master!I11-Master!I5)/(J83*1000)</f>
        <v>2.2458893280632414E-2</v>
      </c>
      <c r="K72" s="11">
        <f>(Master!J26-Master!J11-Master!J5)/(K83*1000)</f>
        <v>2.3615819209039549E-2</v>
      </c>
      <c r="L72" s="11">
        <f>(Master!K26-Master!K11-Master!K5)/(L83*1000)</f>
        <v>2.2418422388027232E-2</v>
      </c>
      <c r="M72" s="11">
        <f>(Master!L26-Master!L11-Master!L5)/(M83*1000)</f>
        <v>2.079444957671165E-2</v>
      </c>
      <c r="N72" s="11">
        <f>(Master!M26-Master!M11-Master!M5)/(N83*1000)</f>
        <v>1.9231823614331827E-2</v>
      </c>
      <c r="O72" s="11">
        <f>(Master!N26-Master!N11-Master!N5)/(O83*1000)</f>
        <v>1.7902610189150611E-2</v>
      </c>
      <c r="P72" s="11">
        <f>(Master!O26-Master!O11-Master!O5)/(P83*1000)</f>
        <v>1.6865346989946076E-2</v>
      </c>
      <c r="Q72" s="11">
        <f>(Master!P26-Master!P11-Master!P5)/(Q83*1000)</f>
        <v>1.6385152987551936E-2</v>
      </c>
      <c r="R72" s="11">
        <f>(Master!Q26-Master!Q11-Master!Q5)/(R83*1000)</f>
        <v>1.5710645373659758E-2</v>
      </c>
      <c r="S72" s="11">
        <f>(Master!R26-Master!R11-Master!R5)/(S83*1000)</f>
        <v>1.5053580265880717E-2</v>
      </c>
    </row>
    <row r="73" spans="2:19" x14ac:dyDescent="0.55000000000000004">
      <c r="I73" s="362"/>
      <c r="J73" s="362"/>
      <c r="K73" s="362"/>
      <c r="L73" s="362"/>
      <c r="M73" s="362"/>
      <c r="N73" s="362"/>
      <c r="O73" s="362"/>
      <c r="P73" s="362"/>
      <c r="Q73" s="362"/>
      <c r="R73" s="362"/>
      <c r="S73" s="362"/>
    </row>
    <row r="74" spans="2:19" x14ac:dyDescent="0.55000000000000004">
      <c r="B74" s="18" t="s">
        <v>1534</v>
      </c>
      <c r="I74" s="346"/>
    </row>
    <row r="75" spans="2:19" x14ac:dyDescent="0.55000000000000004">
      <c r="B75" t="str">
        <f t="shared" ref="B75:B80" si="49">B55</f>
        <v>Cielo</v>
      </c>
      <c r="G75" s="2">
        <f t="shared" ref="G75:I80" si="50">G55/G$60</f>
        <v>0.4086990503254988</v>
      </c>
      <c r="H75" s="2">
        <f t="shared" si="50"/>
        <v>0.28957314982306975</v>
      </c>
      <c r="I75" s="2">
        <f t="shared" si="50"/>
        <v>0.22523584905660377</v>
      </c>
      <c r="J75" s="360">
        <v>0.17</v>
      </c>
      <c r="K75" s="5">
        <f>J75-3%</f>
        <v>0.14000000000000001</v>
      </c>
      <c r="L75" s="5">
        <f>K75-2%</f>
        <v>0.12000000000000001</v>
      </c>
      <c r="M75" s="5">
        <f>L75-2%</f>
        <v>0.1</v>
      </c>
      <c r="N75" s="5">
        <f>M75-1.5%</f>
        <v>8.5000000000000006E-2</v>
      </c>
      <c r="O75" s="5">
        <f>N75-1%</f>
        <v>7.5000000000000011E-2</v>
      </c>
      <c r="P75" s="5">
        <f>O75-1%</f>
        <v>6.5000000000000016E-2</v>
      </c>
      <c r="Q75" s="5">
        <f>P75-1%</f>
        <v>5.5000000000000014E-2</v>
      </c>
      <c r="R75" s="5">
        <f>Q75-1%</f>
        <v>4.5000000000000012E-2</v>
      </c>
      <c r="S75" s="5">
        <f>R75-1%</f>
        <v>3.500000000000001E-2</v>
      </c>
    </row>
    <row r="76" spans="2:19" x14ac:dyDescent="0.55000000000000004">
      <c r="B76" t="str">
        <f t="shared" si="49"/>
        <v>Getnet</v>
      </c>
      <c r="G76" s="2">
        <f t="shared" si="50"/>
        <v>0.14157951768095081</v>
      </c>
      <c r="H76" s="2">
        <f t="shared" si="50"/>
        <v>0.14172069723429584</v>
      </c>
      <c r="I76" s="2">
        <f t="shared" si="50"/>
        <v>0.10945731132075472</v>
      </c>
      <c r="J76" s="2">
        <f t="shared" ref="J76:S76" si="51">J56/J$60</f>
        <v>9.8437494446009063E-2</v>
      </c>
      <c r="K76" s="2">
        <f t="shared" si="51"/>
        <v>8.4680710045405325E-2</v>
      </c>
      <c r="L76" s="2">
        <f t="shared" si="51"/>
        <v>8.4466400624398183E-2</v>
      </c>
      <c r="M76" s="2">
        <f t="shared" si="51"/>
        <v>8.285118259612885E-2</v>
      </c>
      <c r="N76" s="2">
        <f t="shared" si="51"/>
        <v>7.7647241783951451E-2</v>
      </c>
      <c r="O76" s="2">
        <f t="shared" si="51"/>
        <v>7.0669832281606185E-2</v>
      </c>
      <c r="P76" s="2">
        <f t="shared" si="51"/>
        <v>7.0966690593371476E-2</v>
      </c>
      <c r="Q76" s="2">
        <f t="shared" si="51"/>
        <v>7.1955996948466799E-2</v>
      </c>
      <c r="R76" s="2">
        <f t="shared" si="51"/>
        <v>7.3674737947821145E-2</v>
      </c>
      <c r="S76" s="2">
        <f t="shared" si="51"/>
        <v>7.5477595861566368E-2</v>
      </c>
    </row>
    <row r="77" spans="2:19" x14ac:dyDescent="0.55000000000000004">
      <c r="B77" t="str">
        <f t="shared" si="49"/>
        <v>STNE</v>
      </c>
      <c r="G77" s="2">
        <f t="shared" si="50"/>
        <v>9.7042233371295097E-2</v>
      </c>
      <c r="H77" s="2">
        <f t="shared" si="50"/>
        <v>0.12718120862565516</v>
      </c>
      <c r="I77" s="2">
        <f t="shared" si="50"/>
        <v>0.13307783018867925</v>
      </c>
      <c r="J77" s="2">
        <f t="shared" ref="J77:S77" si="52">J57/J$60</f>
        <v>0.13390502053383646</v>
      </c>
      <c r="K77" s="2">
        <f t="shared" si="52"/>
        <v>0.16837190101711638</v>
      </c>
      <c r="L77" s="2">
        <f t="shared" si="52"/>
        <v>0.1859000448913572</v>
      </c>
      <c r="M77" s="2">
        <f t="shared" si="52"/>
        <v>0.1956098919471792</v>
      </c>
      <c r="N77" s="2">
        <f t="shared" si="52"/>
        <v>0.19777988880409009</v>
      </c>
      <c r="O77" s="2">
        <f t="shared" si="52"/>
        <v>0.19805647456470871</v>
      </c>
      <c r="P77" s="2">
        <f t="shared" si="52"/>
        <v>0.21176111957816451</v>
      </c>
      <c r="Q77" s="2">
        <f t="shared" si="52"/>
        <v>0.23164771878638304</v>
      </c>
      <c r="R77" s="2">
        <f t="shared" si="52"/>
        <v>0.2551402037621488</v>
      </c>
      <c r="S77" s="2">
        <f t="shared" si="52"/>
        <v>0.28061905680526217</v>
      </c>
    </row>
    <row r="78" spans="2:19" x14ac:dyDescent="0.55000000000000004">
      <c r="B78" t="str">
        <f t="shared" si="49"/>
        <v>PAGS</v>
      </c>
      <c r="G78" s="2">
        <f t="shared" si="50"/>
        <v>0.20121544675758338</v>
      </c>
      <c r="H78" s="2">
        <f t="shared" si="50"/>
        <v>0.21417023883808073</v>
      </c>
      <c r="I78" s="2">
        <f t="shared" si="50"/>
        <v>0.19493867924528305</v>
      </c>
      <c r="J78" s="2">
        <f t="shared" ref="J78:S78" si="53">J58/J$60</f>
        <v>0.219677969587113</v>
      </c>
      <c r="K78" s="2">
        <f t="shared" si="53"/>
        <v>0.25733556631880206</v>
      </c>
      <c r="L78" s="2">
        <f t="shared" si="53"/>
        <v>0.25493412626868667</v>
      </c>
      <c r="M78" s="2">
        <f t="shared" si="53"/>
        <v>0.24897857249008426</v>
      </c>
      <c r="N78" s="2">
        <f t="shared" si="53"/>
        <v>0.23901658381217158</v>
      </c>
      <c r="O78" s="2">
        <f t="shared" si="53"/>
        <v>0.22751298319104343</v>
      </c>
      <c r="P78" s="2">
        <f t="shared" si="53"/>
        <v>0.21982688749932328</v>
      </c>
      <c r="Q78" s="2">
        <f t="shared" si="53"/>
        <v>0.22100152700286663</v>
      </c>
      <c r="R78" s="2">
        <f t="shared" si="53"/>
        <v>0.21969150321104822</v>
      </c>
      <c r="S78" s="2">
        <f t="shared" si="53"/>
        <v>0.21478695558700991</v>
      </c>
    </row>
    <row r="79" spans="2:19" x14ac:dyDescent="0.55000000000000004">
      <c r="B79" s="1" t="str">
        <f t="shared" si="49"/>
        <v>Other</v>
      </c>
      <c r="C79" s="1"/>
      <c r="D79" s="1"/>
      <c r="E79" s="1"/>
      <c r="F79" s="1"/>
      <c r="G79" s="30">
        <f t="shared" si="50"/>
        <v>0.15146375186467192</v>
      </c>
      <c r="H79" s="30">
        <f t="shared" si="50"/>
        <v>0.22735470547889838</v>
      </c>
      <c r="I79" s="359">
        <f t="shared" si="50"/>
        <v>0.33729033018867927</v>
      </c>
      <c r="J79" s="30">
        <f t="shared" ref="J79:S79" si="54">J59/J$60</f>
        <v>0.37797951543304131</v>
      </c>
      <c r="K79" s="30">
        <f t="shared" si="54"/>
        <v>0.34961182261867624</v>
      </c>
      <c r="L79" s="30">
        <f t="shared" si="54"/>
        <v>0.354699428215558</v>
      </c>
      <c r="M79" s="30">
        <f t="shared" si="54"/>
        <v>0.37256035296660778</v>
      </c>
      <c r="N79" s="30">
        <f t="shared" si="54"/>
        <v>0.40055628559978684</v>
      </c>
      <c r="O79" s="30">
        <f t="shared" si="54"/>
        <v>0.42876070996264154</v>
      </c>
      <c r="P79" s="30">
        <f t="shared" si="54"/>
        <v>0.43244530232914064</v>
      </c>
      <c r="Q79" s="30">
        <f t="shared" si="54"/>
        <v>0.42039475726228343</v>
      </c>
      <c r="R79" s="30">
        <f t="shared" si="54"/>
        <v>0.40649355507898183</v>
      </c>
      <c r="S79" s="30">
        <f t="shared" si="54"/>
        <v>0.39411639174616159</v>
      </c>
    </row>
    <row r="80" spans="2:19" x14ac:dyDescent="0.55000000000000004">
      <c r="B80" t="str">
        <f t="shared" si="49"/>
        <v>Total</v>
      </c>
      <c r="G80" s="2">
        <f t="shared" si="50"/>
        <v>1</v>
      </c>
      <c r="H80" s="2">
        <f t="shared" si="50"/>
        <v>1</v>
      </c>
      <c r="I80" s="2">
        <f t="shared" si="50"/>
        <v>1</v>
      </c>
      <c r="J80" s="2">
        <f t="shared" ref="J80:S80" si="55">J60/J$60</f>
        <v>1</v>
      </c>
      <c r="K80" s="2">
        <f t="shared" si="55"/>
        <v>1</v>
      </c>
      <c r="L80" s="2">
        <f t="shared" si="55"/>
        <v>1</v>
      </c>
      <c r="M80" s="2">
        <f t="shared" si="55"/>
        <v>1</v>
      </c>
      <c r="N80" s="2">
        <f t="shared" si="55"/>
        <v>1</v>
      </c>
      <c r="O80" s="2">
        <f t="shared" si="55"/>
        <v>1</v>
      </c>
      <c r="P80" s="2">
        <f t="shared" si="55"/>
        <v>1</v>
      </c>
      <c r="Q80" s="2">
        <f t="shared" si="55"/>
        <v>1</v>
      </c>
      <c r="R80" s="2">
        <f t="shared" si="55"/>
        <v>1</v>
      </c>
      <c r="S80" s="2">
        <f t="shared" si="55"/>
        <v>1</v>
      </c>
    </row>
    <row r="81" spans="2:19" x14ac:dyDescent="0.55000000000000004">
      <c r="J81" s="4"/>
      <c r="K81" s="4"/>
    </row>
    <row r="82" spans="2:19" x14ac:dyDescent="0.55000000000000004">
      <c r="B82" s="20" t="s">
        <v>684</v>
      </c>
      <c r="C82" s="1"/>
      <c r="D82" s="20">
        <f t="shared" ref="D82:S82" si="56">D2</f>
        <v>2015</v>
      </c>
      <c r="E82" s="20">
        <f t="shared" si="56"/>
        <v>2016</v>
      </c>
      <c r="F82" s="20">
        <f t="shared" si="56"/>
        <v>2017</v>
      </c>
      <c r="G82" s="20">
        <f t="shared" si="56"/>
        <v>2018</v>
      </c>
      <c r="H82" s="20">
        <f t="shared" si="56"/>
        <v>2019</v>
      </c>
      <c r="I82" s="20">
        <f t="shared" si="56"/>
        <v>2020</v>
      </c>
      <c r="J82" s="20">
        <f t="shared" si="56"/>
        <v>2021</v>
      </c>
      <c r="K82" s="20">
        <f t="shared" si="56"/>
        <v>2022</v>
      </c>
      <c r="L82" s="20">
        <f t="shared" si="56"/>
        <v>2023</v>
      </c>
      <c r="M82" s="20">
        <f t="shared" si="56"/>
        <v>2024</v>
      </c>
      <c r="N82" s="20">
        <f t="shared" si="56"/>
        <v>2025</v>
      </c>
      <c r="O82" s="20">
        <f t="shared" si="56"/>
        <v>2026</v>
      </c>
      <c r="P82" s="20">
        <f t="shared" si="56"/>
        <v>2027</v>
      </c>
      <c r="Q82" s="20">
        <f t="shared" si="56"/>
        <v>2028</v>
      </c>
      <c r="R82" s="20">
        <f t="shared" si="56"/>
        <v>2029</v>
      </c>
      <c r="S82" s="20">
        <f t="shared" si="56"/>
        <v>2030</v>
      </c>
    </row>
    <row r="83" spans="2:19" x14ac:dyDescent="0.55000000000000004">
      <c r="B83" t="s">
        <v>685</v>
      </c>
      <c r="E83" s="4">
        <f t="shared" ref="E83:L83" si="57">E7</f>
        <v>14.1</v>
      </c>
      <c r="F83" s="4">
        <f t="shared" si="57"/>
        <v>37.9</v>
      </c>
      <c r="G83" s="4">
        <f t="shared" si="57"/>
        <v>75.7</v>
      </c>
      <c r="H83" s="4">
        <f t="shared" si="57"/>
        <v>115.8</v>
      </c>
      <c r="I83" s="4">
        <f t="shared" si="57"/>
        <v>161.54383102003447</v>
      </c>
      <c r="J83" s="4">
        <f t="shared" si="57"/>
        <v>253</v>
      </c>
      <c r="K83" s="4">
        <f t="shared" si="57"/>
        <v>354</v>
      </c>
      <c r="L83" s="4">
        <f t="shared" si="57"/>
        <v>394.6</v>
      </c>
      <c r="M83" s="4">
        <f>M98+M106</f>
        <v>457.82619834710738</v>
      </c>
      <c r="N83" s="4">
        <f t="shared" ref="N83:S83" si="58">N98+N106</f>
        <v>522.17537685950413</v>
      </c>
      <c r="O83" s="4">
        <f t="shared" si="58"/>
        <v>586.17561545454555</v>
      </c>
      <c r="P83" s="4">
        <f t="shared" si="58"/>
        <v>647.7415691727274</v>
      </c>
      <c r="Q83" s="4">
        <f t="shared" si="58"/>
        <v>715.48830822190939</v>
      </c>
      <c r="R83" s="4">
        <f t="shared" si="58"/>
        <v>783.67357120013207</v>
      </c>
      <c r="S83" s="4">
        <f t="shared" si="58"/>
        <v>843.96657569733736</v>
      </c>
    </row>
    <row r="84" spans="2:19" x14ac:dyDescent="0.55000000000000004">
      <c r="B84" t="s">
        <v>195</v>
      </c>
      <c r="F84" s="2">
        <f>F83/E83-1</f>
        <v>1.6879432624113475</v>
      </c>
      <c r="G84" s="2">
        <f t="shared" ref="G84:S84" si="59">G83/F83-1</f>
        <v>0.99736147757255944</v>
      </c>
      <c r="H84" s="2">
        <f t="shared" si="59"/>
        <v>0.52972258916776749</v>
      </c>
      <c r="I84" s="2">
        <f t="shared" si="59"/>
        <v>0.39502444749597987</v>
      </c>
      <c r="J84" s="2">
        <f t="shared" si="59"/>
        <v>0.56613841830099498</v>
      </c>
      <c r="K84" s="2">
        <f t="shared" si="59"/>
        <v>0.39920948616600782</v>
      </c>
      <c r="L84" s="2">
        <f t="shared" si="59"/>
        <v>0.11468926553672332</v>
      </c>
      <c r="M84" s="2">
        <f t="shared" si="59"/>
        <v>0.16022858172100185</v>
      </c>
      <c r="N84" s="2">
        <f t="shared" si="59"/>
        <v>0.14055372703597335</v>
      </c>
      <c r="O84" s="2">
        <f t="shared" si="59"/>
        <v>0.12256464289824454</v>
      </c>
      <c r="P84" s="2">
        <f t="shared" si="59"/>
        <v>0.10502987858074064</v>
      </c>
      <c r="Q84" s="2">
        <f t="shared" si="59"/>
        <v>0.10458914831682908</v>
      </c>
      <c r="R84" s="2">
        <f t="shared" si="59"/>
        <v>9.529891990502648E-2</v>
      </c>
      <c r="S84" s="2">
        <f t="shared" si="59"/>
        <v>7.693637595162417E-2</v>
      </c>
    </row>
    <row r="85" spans="2:19" x14ac:dyDescent="0.55000000000000004">
      <c r="J85" s="4"/>
      <c r="K85" s="4"/>
      <c r="L85" s="545"/>
      <c r="M85" s="545"/>
      <c r="N85" s="545"/>
    </row>
    <row r="86" spans="2:19" x14ac:dyDescent="0.55000000000000004">
      <c r="B86" s="10" t="s">
        <v>242</v>
      </c>
      <c r="E86" s="4">
        <f t="shared" ref="E86:S86" si="60">E83-E87</f>
        <v>4.7999999999999989</v>
      </c>
      <c r="F86" s="4">
        <f t="shared" si="60"/>
        <v>13.099999999999998</v>
      </c>
      <c r="G86" s="4">
        <f t="shared" si="60"/>
        <v>32.300000000000004</v>
      </c>
      <c r="H86" s="4">
        <f t="shared" si="60"/>
        <v>49.8</v>
      </c>
      <c r="I86" s="4">
        <f t="shared" si="60"/>
        <v>75.124349624469815</v>
      </c>
      <c r="J86" s="4">
        <f t="shared" si="60"/>
        <v>110.39162048610245</v>
      </c>
      <c r="K86" s="4">
        <f t="shared" si="60"/>
        <v>152.32826387237887</v>
      </c>
      <c r="L86" s="4">
        <f t="shared" si="60"/>
        <v>169.59581660675758</v>
      </c>
      <c r="M86" s="4">
        <f>M83-M87</f>
        <v>196.1382519549403</v>
      </c>
      <c r="N86" s="4">
        <f t="shared" si="60"/>
        <v>223.34475572672329</v>
      </c>
      <c r="O86" s="4">
        <f t="shared" si="60"/>
        <v>250.66841182897144</v>
      </c>
      <c r="P86" s="4">
        <f t="shared" si="60"/>
        <v>276.88512595923225</v>
      </c>
      <c r="Q86" s="4">
        <f t="shared" si="60"/>
        <v>305.4902864467814</v>
      </c>
      <c r="R86" s="4">
        <f t="shared" si="60"/>
        <v>334.19852670750714</v>
      </c>
      <c r="S86" s="4">
        <f t="shared" si="60"/>
        <v>359.99806517657373</v>
      </c>
    </row>
    <row r="87" spans="2:19" x14ac:dyDescent="0.55000000000000004">
      <c r="B87" s="10" t="s">
        <v>241</v>
      </c>
      <c r="E87" s="4">
        <f t="shared" ref="E87:S87" si="61">E40</f>
        <v>9.3000000000000007</v>
      </c>
      <c r="F87" s="4">
        <f t="shared" si="61"/>
        <v>24.8</v>
      </c>
      <c r="G87" s="4">
        <f t="shared" si="61"/>
        <v>43.4</v>
      </c>
      <c r="H87" s="4">
        <f t="shared" si="61"/>
        <v>66</v>
      </c>
      <c r="I87" s="4">
        <f t="shared" si="61"/>
        <v>86.419481395564659</v>
      </c>
      <c r="J87" s="4">
        <f t="shared" si="61"/>
        <v>142.60837951389755</v>
      </c>
      <c r="K87" s="4">
        <f t="shared" si="61"/>
        <v>201.67173612762113</v>
      </c>
      <c r="L87" s="4">
        <f t="shared" si="61"/>
        <v>225.00418339324244</v>
      </c>
      <c r="M87" s="4">
        <f>M40</f>
        <v>261.68794639216708</v>
      </c>
      <c r="N87" s="4">
        <f t="shared" si="61"/>
        <v>298.83062113278083</v>
      </c>
      <c r="O87" s="4">
        <f t="shared" si="61"/>
        <v>335.50720362557411</v>
      </c>
      <c r="P87" s="4">
        <f t="shared" si="61"/>
        <v>370.85644321349514</v>
      </c>
      <c r="Q87" s="4">
        <f t="shared" si="61"/>
        <v>409.998021775128</v>
      </c>
      <c r="R87" s="4">
        <f t="shared" si="61"/>
        <v>449.47504449262493</v>
      </c>
      <c r="S87" s="4">
        <f t="shared" si="61"/>
        <v>483.96851052076363</v>
      </c>
    </row>
    <row r="88" spans="2:19" x14ac:dyDescent="0.55000000000000004">
      <c r="B88" s="10" t="s">
        <v>688</v>
      </c>
      <c r="E88" s="2">
        <f t="shared" ref="E88:S88" si="62">E87/E83</f>
        <v>0.65957446808510645</v>
      </c>
      <c r="F88" s="2">
        <f t="shared" si="62"/>
        <v>0.65435356200527706</v>
      </c>
      <c r="G88" s="2">
        <f t="shared" si="62"/>
        <v>0.5733157199471598</v>
      </c>
      <c r="H88" s="2">
        <f t="shared" si="62"/>
        <v>0.56994818652849744</v>
      </c>
      <c r="I88" s="2">
        <f t="shared" si="62"/>
        <v>0.53495996009186519</v>
      </c>
      <c r="J88" s="2">
        <f t="shared" si="62"/>
        <v>0.56366948424465435</v>
      </c>
      <c r="K88" s="2">
        <f t="shared" si="62"/>
        <v>0.56969416985203714</v>
      </c>
      <c r="L88" s="2">
        <f t="shared" si="62"/>
        <v>0.5702082701298592</v>
      </c>
      <c r="M88" s="2">
        <f>M87/M83</f>
        <v>0.57158796796020106</v>
      </c>
      <c r="N88" s="2">
        <f t="shared" si="62"/>
        <v>0.57228018473414888</v>
      </c>
      <c r="O88" s="2">
        <f t="shared" si="62"/>
        <v>0.5723663604897784</v>
      </c>
      <c r="P88" s="2">
        <f t="shared" si="62"/>
        <v>0.57253766141200391</v>
      </c>
      <c r="Q88" s="2">
        <f t="shared" si="62"/>
        <v>0.57303245498732414</v>
      </c>
      <c r="R88" s="2">
        <f t="shared" si="62"/>
        <v>0.57354881038579697</v>
      </c>
      <c r="S88" s="2">
        <f t="shared" si="62"/>
        <v>0.57344511554960442</v>
      </c>
    </row>
    <row r="90" spans="2:19" x14ac:dyDescent="0.55000000000000004">
      <c r="B90" t="s">
        <v>845</v>
      </c>
      <c r="E90" s="31">
        <v>1411</v>
      </c>
      <c r="F90" s="31">
        <v>2791</v>
      </c>
      <c r="G90" s="31">
        <v>4135</v>
      </c>
      <c r="H90" s="31">
        <v>5269</v>
      </c>
      <c r="I90" s="44">
        <f>Quarts!R160</f>
        <v>7033.9470000000001</v>
      </c>
      <c r="J90" s="44">
        <f>Quarts!V160</f>
        <v>7693</v>
      </c>
      <c r="K90" s="44">
        <v>7100</v>
      </c>
      <c r="L90" s="44">
        <v>6500</v>
      </c>
      <c r="M90" s="4">
        <f t="shared" ref="M90:S90" si="63">L90+M91</f>
        <v>6600</v>
      </c>
      <c r="N90" s="4">
        <f t="shared" si="63"/>
        <v>6800</v>
      </c>
      <c r="O90" s="4">
        <f t="shared" si="63"/>
        <v>7000</v>
      </c>
      <c r="P90" s="4">
        <f t="shared" si="63"/>
        <v>7200</v>
      </c>
      <c r="Q90" s="4">
        <f t="shared" si="63"/>
        <v>7400</v>
      </c>
      <c r="R90" s="4">
        <f t="shared" si="63"/>
        <v>7600</v>
      </c>
      <c r="S90" s="4">
        <f t="shared" si="63"/>
        <v>7800</v>
      </c>
    </row>
    <row r="91" spans="2:19" x14ac:dyDescent="0.55000000000000004">
      <c r="B91" t="s">
        <v>687</v>
      </c>
      <c r="F91">
        <f t="shared" ref="F91:L91" si="64">F90-E90</f>
        <v>1380</v>
      </c>
      <c r="G91">
        <f t="shared" si="64"/>
        <v>1344</v>
      </c>
      <c r="H91">
        <f t="shared" si="64"/>
        <v>1134</v>
      </c>
      <c r="I91" s="4">
        <f t="shared" si="64"/>
        <v>1764.9470000000001</v>
      </c>
      <c r="J91" s="4">
        <f t="shared" si="64"/>
        <v>659.05299999999988</v>
      </c>
      <c r="K91" s="4">
        <f t="shared" si="64"/>
        <v>-593</v>
      </c>
      <c r="L91" s="4">
        <f t="shared" si="64"/>
        <v>-600</v>
      </c>
      <c r="M91" s="31">
        <v>100</v>
      </c>
      <c r="N91" s="31">
        <v>200</v>
      </c>
      <c r="O91" s="31">
        <v>200</v>
      </c>
      <c r="P91" s="31">
        <v>200</v>
      </c>
      <c r="Q91" s="31">
        <v>200</v>
      </c>
      <c r="R91" s="31">
        <v>200</v>
      </c>
      <c r="S91" s="31">
        <v>200</v>
      </c>
    </row>
    <row r="92" spans="2:19" x14ac:dyDescent="0.55000000000000004">
      <c r="B92" t="s">
        <v>851</v>
      </c>
      <c r="F92" s="4">
        <f>F83*1000000/AVERAGE(E90,F90)</f>
        <v>18039.029033793431</v>
      </c>
      <c r="G92" s="4">
        <f t="shared" ref="G92:S92" si="65">G83*1000000/AVERAGE(F90,G90)</f>
        <v>21859.65925498123</v>
      </c>
      <c r="H92" s="4">
        <f t="shared" si="65"/>
        <v>24627.817949808592</v>
      </c>
      <c r="I92" s="4">
        <f t="shared" si="65"/>
        <v>26260.997632524053</v>
      </c>
      <c r="J92" s="4">
        <f t="shared" si="65"/>
        <v>34358.784614353535</v>
      </c>
      <c r="K92" s="4">
        <f t="shared" si="65"/>
        <v>47860.474548773069</v>
      </c>
      <c r="L92" s="4">
        <f t="shared" si="65"/>
        <v>58029.411764705881</v>
      </c>
      <c r="M92" s="4">
        <f t="shared" si="65"/>
        <v>69897.129518642338</v>
      </c>
      <c r="N92" s="4">
        <f t="shared" si="65"/>
        <v>77936.623411866283</v>
      </c>
      <c r="O92" s="4">
        <f t="shared" si="65"/>
        <v>84952.987747035586</v>
      </c>
      <c r="P92" s="4">
        <f t="shared" si="65"/>
        <v>91231.206925736245</v>
      </c>
      <c r="Q92" s="4">
        <f t="shared" si="65"/>
        <v>98012.097016699918</v>
      </c>
      <c r="R92" s="4">
        <f t="shared" si="65"/>
        <v>104489.80949335096</v>
      </c>
      <c r="S92" s="4">
        <f t="shared" si="65"/>
        <v>109606.04879186201</v>
      </c>
    </row>
    <row r="94" spans="2:19" x14ac:dyDescent="0.55000000000000004">
      <c r="B94" t="s">
        <v>852</v>
      </c>
      <c r="E94" s="31">
        <v>33000</v>
      </c>
      <c r="F94" s="31">
        <v>33000</v>
      </c>
      <c r="G94" s="31">
        <v>33000</v>
      </c>
      <c r="H94" s="31">
        <v>33000</v>
      </c>
      <c r="I94" s="31">
        <v>33000</v>
      </c>
      <c r="J94" s="31">
        <v>33000</v>
      </c>
      <c r="K94" s="31">
        <v>33000</v>
      </c>
      <c r="L94" s="31">
        <v>33000</v>
      </c>
      <c r="M94" s="31">
        <v>33000</v>
      </c>
      <c r="N94" s="31">
        <v>33000</v>
      </c>
      <c r="O94" s="31">
        <v>33000</v>
      </c>
      <c r="P94" s="31">
        <v>33000</v>
      </c>
      <c r="Q94" s="31">
        <v>33000</v>
      </c>
      <c r="R94" s="31">
        <v>33000</v>
      </c>
      <c r="S94" s="31">
        <v>33000</v>
      </c>
    </row>
    <row r="95" spans="2:19" x14ac:dyDescent="0.55000000000000004">
      <c r="B95" t="s">
        <v>686</v>
      </c>
      <c r="E95" s="12">
        <f t="shared" ref="E95:S95" si="66">E90/E94</f>
        <v>4.2757575757575758E-2</v>
      </c>
      <c r="F95" s="12">
        <f t="shared" si="66"/>
        <v>8.4575757575757582E-2</v>
      </c>
      <c r="G95" s="12">
        <f t="shared" si="66"/>
        <v>0.1253030303030303</v>
      </c>
      <c r="H95" s="12">
        <f t="shared" si="66"/>
        <v>0.15966666666666668</v>
      </c>
      <c r="I95" s="12">
        <f t="shared" si="66"/>
        <v>0.21314990909090908</v>
      </c>
      <c r="J95" s="12">
        <f t="shared" si="66"/>
        <v>0.23312121212121212</v>
      </c>
      <c r="K95" s="12">
        <f t="shared" si="66"/>
        <v>0.21515151515151515</v>
      </c>
      <c r="L95" s="12">
        <f t="shared" si="66"/>
        <v>0.19696969696969696</v>
      </c>
      <c r="M95" s="12">
        <f t="shared" si="66"/>
        <v>0.2</v>
      </c>
      <c r="N95" s="12">
        <f t="shared" si="66"/>
        <v>0.20606060606060606</v>
      </c>
      <c r="O95" s="12">
        <f t="shared" si="66"/>
        <v>0.21212121212121213</v>
      </c>
      <c r="P95" s="12">
        <f t="shared" si="66"/>
        <v>0.21818181818181817</v>
      </c>
      <c r="Q95" s="12">
        <f t="shared" si="66"/>
        <v>0.22424242424242424</v>
      </c>
      <c r="R95" s="12">
        <f t="shared" si="66"/>
        <v>0.23030303030303031</v>
      </c>
      <c r="S95" s="12">
        <f t="shared" si="66"/>
        <v>0.23636363636363636</v>
      </c>
    </row>
    <row r="96" spans="2:19" x14ac:dyDescent="0.55000000000000004"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</row>
    <row r="97" spans="2:19" x14ac:dyDescent="0.55000000000000004">
      <c r="B97" s="9" t="s">
        <v>843</v>
      </c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</row>
    <row r="98" spans="2:19" x14ac:dyDescent="0.55000000000000004">
      <c r="B98" t="s">
        <v>847</v>
      </c>
      <c r="E98" s="4">
        <f t="shared" ref="E98:J98" si="67">E83-E106</f>
        <v>14.1</v>
      </c>
      <c r="F98" s="4">
        <f t="shared" si="67"/>
        <v>33.9</v>
      </c>
      <c r="G98" s="4">
        <f t="shared" si="67"/>
        <v>69.7</v>
      </c>
      <c r="H98" s="4">
        <f t="shared" si="67"/>
        <v>105.8</v>
      </c>
      <c r="I98" s="4">
        <f t="shared" si="67"/>
        <v>142.77716435336782</v>
      </c>
      <c r="J98" s="4">
        <f t="shared" si="67"/>
        <v>215</v>
      </c>
      <c r="K98" s="4">
        <f>K83-K106</f>
        <v>304</v>
      </c>
      <c r="L98" s="4">
        <f>L83-L106</f>
        <v>329.6</v>
      </c>
      <c r="M98" s="4">
        <f t="shared" ref="M98:S98" si="68">M101*AVERAGE(L99,M99)/1000000</f>
        <v>379.1761983471074</v>
      </c>
      <c r="N98" s="4">
        <f t="shared" si="68"/>
        <v>435.66037685950414</v>
      </c>
      <c r="O98" s="4">
        <f t="shared" si="68"/>
        <v>495.33486545454554</v>
      </c>
      <c r="P98" s="4">
        <f t="shared" si="68"/>
        <v>552.35878167272745</v>
      </c>
      <c r="Q98" s="4">
        <f t="shared" si="68"/>
        <v>615.33638134690943</v>
      </c>
      <c r="R98" s="4">
        <f t="shared" si="68"/>
        <v>678.51404798138208</v>
      </c>
      <c r="S98" s="4">
        <f t="shared" si="68"/>
        <v>733.54907631764979</v>
      </c>
    </row>
    <row r="99" spans="2:19" x14ac:dyDescent="0.55000000000000004">
      <c r="B99" s="10" t="s">
        <v>848</v>
      </c>
      <c r="E99" s="4">
        <f t="shared" ref="E99:S99" si="69">E90-E108</f>
        <v>1411</v>
      </c>
      <c r="F99" s="4">
        <f t="shared" si="69"/>
        <v>2496.4353562005276</v>
      </c>
      <c r="G99" s="4">
        <f t="shared" si="69"/>
        <v>3807.2589167767505</v>
      </c>
      <c r="H99" s="4">
        <f t="shared" si="69"/>
        <v>4813.9913644214166</v>
      </c>
      <c r="I99" s="4">
        <f t="shared" si="69"/>
        <v>6216.8081599310835</v>
      </c>
      <c r="J99" s="4">
        <f t="shared" si="69"/>
        <v>7043</v>
      </c>
      <c r="K99" s="4">
        <f>K90-K108</f>
        <v>6350</v>
      </c>
      <c r="L99" s="4">
        <f>L90-L108</f>
        <v>5750</v>
      </c>
      <c r="M99" s="4">
        <f t="shared" si="69"/>
        <v>5850</v>
      </c>
      <c r="N99" s="4">
        <f t="shared" si="69"/>
        <v>6050</v>
      </c>
      <c r="O99" s="4">
        <f t="shared" si="69"/>
        <v>6250</v>
      </c>
      <c r="P99" s="4">
        <f t="shared" si="69"/>
        <v>6450</v>
      </c>
      <c r="Q99" s="4">
        <f t="shared" si="69"/>
        <v>6650</v>
      </c>
      <c r="R99" s="4">
        <f t="shared" si="69"/>
        <v>6850</v>
      </c>
      <c r="S99" s="4">
        <f t="shared" si="69"/>
        <v>7050</v>
      </c>
    </row>
    <row r="100" spans="2:19" x14ac:dyDescent="0.55000000000000004">
      <c r="B100" s="10" t="s">
        <v>849</v>
      </c>
      <c r="E100" s="4"/>
      <c r="F100" s="4">
        <f>F99-E99</f>
        <v>1085.4353562005276</v>
      </c>
      <c r="G100" s="4">
        <f t="shared" ref="G100:S100" si="70">G99-F99</f>
        <v>1310.8235605762229</v>
      </c>
      <c r="H100" s="4">
        <f t="shared" si="70"/>
        <v>1006.7324476446661</v>
      </c>
      <c r="I100" s="4">
        <f t="shared" si="70"/>
        <v>1402.8167955096669</v>
      </c>
      <c r="J100" s="4">
        <f t="shared" si="70"/>
        <v>826.19184006891646</v>
      </c>
      <c r="K100" s="4">
        <f t="shared" si="70"/>
        <v>-693</v>
      </c>
      <c r="L100" s="4">
        <f t="shared" si="70"/>
        <v>-600</v>
      </c>
      <c r="M100" s="4">
        <f t="shared" si="70"/>
        <v>100</v>
      </c>
      <c r="N100" s="4">
        <f t="shared" si="70"/>
        <v>200</v>
      </c>
      <c r="O100" s="4">
        <f t="shared" si="70"/>
        <v>200</v>
      </c>
      <c r="P100" s="4">
        <f t="shared" si="70"/>
        <v>200</v>
      </c>
      <c r="Q100" s="4">
        <f t="shared" si="70"/>
        <v>200</v>
      </c>
      <c r="R100" s="4">
        <f t="shared" si="70"/>
        <v>200</v>
      </c>
      <c r="S100" s="4">
        <f t="shared" si="70"/>
        <v>200</v>
      </c>
    </row>
    <row r="101" spans="2:19" x14ac:dyDescent="0.55000000000000004">
      <c r="B101" t="s">
        <v>850</v>
      </c>
      <c r="E101" s="4">
        <f t="shared" ref="E101:L101" si="71">E98*1000000/AVERAGE(D99,E99)</f>
        <v>9992.9128277817144</v>
      </c>
      <c r="F101" s="4">
        <f t="shared" si="71"/>
        <v>17351.534656206488</v>
      </c>
      <c r="G101" s="4">
        <f t="shared" si="71"/>
        <v>22114.016632688061</v>
      </c>
      <c r="H101" s="4">
        <f t="shared" si="71"/>
        <v>24544.003839149904</v>
      </c>
      <c r="I101" s="4">
        <f t="shared" si="71"/>
        <v>25887.001941819581</v>
      </c>
      <c r="J101" s="4">
        <f t="shared" si="71"/>
        <v>32428.825124287087</v>
      </c>
      <c r="K101" s="4">
        <f t="shared" si="71"/>
        <v>45396.84910027626</v>
      </c>
      <c r="L101" s="4">
        <f t="shared" si="71"/>
        <v>54479.338842975209</v>
      </c>
      <c r="M101" s="4">
        <f t="shared" ref="M101:S101" si="72">(1+M102)*L101</f>
        <v>65375.206611570247</v>
      </c>
      <c r="N101" s="4">
        <f t="shared" si="72"/>
        <v>73220.231404958686</v>
      </c>
      <c r="O101" s="4">
        <f t="shared" si="72"/>
        <v>80542.254545454562</v>
      </c>
      <c r="P101" s="4">
        <f t="shared" si="72"/>
        <v>86985.634909090935</v>
      </c>
      <c r="Q101" s="4">
        <f t="shared" si="72"/>
        <v>93944.485701818223</v>
      </c>
      <c r="R101" s="4">
        <f t="shared" si="72"/>
        <v>100520.5997009455</v>
      </c>
      <c r="S101" s="4">
        <f t="shared" si="72"/>
        <v>105546.62968599278</v>
      </c>
    </row>
    <row r="102" spans="2:19" x14ac:dyDescent="0.55000000000000004">
      <c r="B102" t="s">
        <v>7</v>
      </c>
      <c r="E102" s="4"/>
      <c r="F102" s="2">
        <f t="shared" ref="F102:L102" si="73">F101/E101-1</f>
        <v>0.73638407091541525</v>
      </c>
      <c r="G102" s="2">
        <f t="shared" si="73"/>
        <v>0.27447036073999809</v>
      </c>
      <c r="H102" s="2">
        <f t="shared" si="73"/>
        <v>0.10988447946041302</v>
      </c>
      <c r="I102" s="2">
        <f t="shared" si="73"/>
        <v>5.4717971504203877E-2</v>
      </c>
      <c r="J102" s="2">
        <f t="shared" si="73"/>
        <v>0.25270686799383335</v>
      </c>
      <c r="K102" s="2">
        <f t="shared" si="73"/>
        <v>0.39989188403489107</v>
      </c>
      <c r="L102" s="2">
        <f t="shared" si="73"/>
        <v>0.20006872553284061</v>
      </c>
      <c r="M102" s="5">
        <v>0.2</v>
      </c>
      <c r="N102" s="5">
        <v>0.12</v>
      </c>
      <c r="O102" s="5">
        <v>0.1</v>
      </c>
      <c r="P102" s="5">
        <v>0.08</v>
      </c>
      <c r="Q102" s="5">
        <v>0.08</v>
      </c>
      <c r="R102" s="5">
        <v>7.0000000000000007E-2</v>
      </c>
      <c r="S102" s="5">
        <v>0.05</v>
      </c>
    </row>
    <row r="103" spans="2:19" x14ac:dyDescent="0.55000000000000004">
      <c r="B103" t="s">
        <v>1085</v>
      </c>
      <c r="E103" s="4"/>
      <c r="F103" s="4">
        <f>F101/12</f>
        <v>1445.9612213505407</v>
      </c>
      <c r="G103" s="4">
        <f t="shared" ref="G103:S103" si="74">G101/12</f>
        <v>1842.8347193906718</v>
      </c>
      <c r="H103" s="4">
        <f t="shared" si="74"/>
        <v>2045.3336532624919</v>
      </c>
      <c r="I103" s="4">
        <f t="shared" si="74"/>
        <v>2157.2501618182982</v>
      </c>
      <c r="J103" s="4">
        <f t="shared" si="74"/>
        <v>2702.4020936905904</v>
      </c>
      <c r="K103" s="4">
        <f>K101/12</f>
        <v>3783.0707583563549</v>
      </c>
      <c r="L103" s="4">
        <f>L101/12</f>
        <v>4539.9449035812677</v>
      </c>
      <c r="M103" s="4">
        <f t="shared" si="74"/>
        <v>5447.9338842975203</v>
      </c>
      <c r="N103" s="4">
        <f t="shared" si="74"/>
        <v>6101.6859504132235</v>
      </c>
      <c r="O103" s="4">
        <f t="shared" si="74"/>
        <v>6711.8545454545465</v>
      </c>
      <c r="P103" s="4">
        <f t="shared" si="74"/>
        <v>7248.8029090909113</v>
      </c>
      <c r="Q103" s="4">
        <f t="shared" si="74"/>
        <v>7828.7071418181849</v>
      </c>
      <c r="R103" s="4">
        <f t="shared" si="74"/>
        <v>8376.7166417454591</v>
      </c>
      <c r="S103" s="4">
        <f t="shared" si="74"/>
        <v>8795.5524738327313</v>
      </c>
    </row>
    <row r="105" spans="2:19" x14ac:dyDescent="0.55000000000000004">
      <c r="B105" s="9" t="s">
        <v>863</v>
      </c>
    </row>
    <row r="106" spans="2:19" x14ac:dyDescent="0.55000000000000004">
      <c r="B106" t="s">
        <v>844</v>
      </c>
      <c r="F106" s="32">
        <v>4</v>
      </c>
      <c r="G106" s="32">
        <v>6</v>
      </c>
      <c r="H106" s="32">
        <v>10</v>
      </c>
      <c r="I106" s="32">
        <f>18+4.6*2/12</f>
        <v>18.766666666666666</v>
      </c>
      <c r="J106" s="32">
        <v>38</v>
      </c>
      <c r="K106" s="32">
        <v>50</v>
      </c>
      <c r="L106" s="32">
        <v>65</v>
      </c>
      <c r="M106" s="170">
        <f t="shared" ref="M106:S106" si="75">(1+M107)*L106</f>
        <v>78.649999999999991</v>
      </c>
      <c r="N106" s="170">
        <f t="shared" si="75"/>
        <v>86.515000000000001</v>
      </c>
      <c r="O106" s="170">
        <f t="shared" si="75"/>
        <v>90.84075</v>
      </c>
      <c r="P106" s="170">
        <f t="shared" si="75"/>
        <v>95.382787500000006</v>
      </c>
      <c r="Q106" s="170">
        <f t="shared" si="75"/>
        <v>100.15192687500002</v>
      </c>
      <c r="R106" s="170">
        <f t="shared" si="75"/>
        <v>105.15952321875002</v>
      </c>
      <c r="S106" s="170">
        <f t="shared" si="75"/>
        <v>110.41749937968753</v>
      </c>
    </row>
    <row r="107" spans="2:19" x14ac:dyDescent="0.55000000000000004">
      <c r="B107" t="s">
        <v>7</v>
      </c>
      <c r="G107" s="2">
        <f>G106/F106-1</f>
        <v>0.5</v>
      </c>
      <c r="H107" s="2">
        <f>H106/G106-1</f>
        <v>0.66666666666666674</v>
      </c>
      <c r="I107" s="2">
        <f>I106/H106-1</f>
        <v>0.87666666666666648</v>
      </c>
      <c r="J107" s="2">
        <f>J106/I106-1</f>
        <v>1.0248667850799289</v>
      </c>
      <c r="K107" s="2">
        <f>K106/J106-1</f>
        <v>0.31578947368421062</v>
      </c>
      <c r="L107" s="5">
        <v>0.32</v>
      </c>
      <c r="M107" s="5">
        <v>0.21</v>
      </c>
      <c r="N107" s="5">
        <v>0.1</v>
      </c>
      <c r="O107" s="5">
        <v>0.05</v>
      </c>
      <c r="P107" s="5">
        <v>0.05</v>
      </c>
      <c r="Q107" s="5">
        <v>0.05</v>
      </c>
      <c r="R107" s="5">
        <v>0.05</v>
      </c>
      <c r="S107" s="5">
        <v>0.05</v>
      </c>
    </row>
    <row r="108" spans="2:19" x14ac:dyDescent="0.55000000000000004">
      <c r="B108" s="10" t="s">
        <v>839</v>
      </c>
      <c r="E108" s="4"/>
      <c r="F108" s="4">
        <f>F110*F90</f>
        <v>294.56464379947232</v>
      </c>
      <c r="G108" s="4">
        <f>G110*G90</f>
        <v>327.74108322324963</v>
      </c>
      <c r="H108" s="4">
        <f>H110*H90</f>
        <v>455.00863557858372</v>
      </c>
      <c r="I108" s="4">
        <f>I110*I90</f>
        <v>817.13884006891635</v>
      </c>
      <c r="J108" s="51">
        <v>650</v>
      </c>
      <c r="K108" s="51">
        <f>J108+100</f>
        <v>750</v>
      </c>
      <c r="L108" s="51">
        <f>K108</f>
        <v>750</v>
      </c>
      <c r="M108" s="51">
        <f t="shared" ref="M108:S108" si="76">L108</f>
        <v>750</v>
      </c>
      <c r="N108" s="51">
        <f t="shared" si="76"/>
        <v>750</v>
      </c>
      <c r="O108" s="51">
        <f t="shared" si="76"/>
        <v>750</v>
      </c>
      <c r="P108" s="51">
        <f t="shared" si="76"/>
        <v>750</v>
      </c>
      <c r="Q108" s="51">
        <f t="shared" si="76"/>
        <v>750</v>
      </c>
      <c r="R108" s="51">
        <f t="shared" si="76"/>
        <v>750</v>
      </c>
      <c r="S108" s="51">
        <f t="shared" si="76"/>
        <v>750</v>
      </c>
    </row>
    <row r="109" spans="2:19" x14ac:dyDescent="0.55000000000000004">
      <c r="B109" s="10" t="s">
        <v>841</v>
      </c>
      <c r="E109" s="4"/>
      <c r="F109" s="4"/>
      <c r="G109" s="4">
        <f t="shared" ref="G109:S109" si="77">G108-F108</f>
        <v>33.17643942377731</v>
      </c>
      <c r="H109" s="4">
        <f t="shared" si="77"/>
        <v>127.26755235533409</v>
      </c>
      <c r="I109" s="4">
        <f t="shared" si="77"/>
        <v>362.13020449033263</v>
      </c>
      <c r="J109" s="4">
        <f t="shared" si="77"/>
        <v>-167.13884006891635</v>
      </c>
      <c r="K109" s="4">
        <f t="shared" si="77"/>
        <v>100</v>
      </c>
      <c r="L109" s="4">
        <f t="shared" si="77"/>
        <v>0</v>
      </c>
      <c r="M109" s="4">
        <f t="shared" si="77"/>
        <v>0</v>
      </c>
      <c r="N109" s="4">
        <f t="shared" si="77"/>
        <v>0</v>
      </c>
      <c r="O109" s="4">
        <f t="shared" si="77"/>
        <v>0</v>
      </c>
      <c r="P109" s="4">
        <f t="shared" si="77"/>
        <v>0</v>
      </c>
      <c r="Q109" s="4">
        <f t="shared" si="77"/>
        <v>0</v>
      </c>
      <c r="R109" s="4">
        <f t="shared" si="77"/>
        <v>0</v>
      </c>
      <c r="S109" s="4">
        <f t="shared" si="77"/>
        <v>0</v>
      </c>
    </row>
    <row r="110" spans="2:19" x14ac:dyDescent="0.55000000000000004">
      <c r="B110" t="s">
        <v>846</v>
      </c>
      <c r="F110" s="2">
        <f t="shared" ref="F110:S110" si="78">F106/F83</f>
        <v>0.10554089709762533</v>
      </c>
      <c r="G110" s="2">
        <f t="shared" si="78"/>
        <v>7.9260237780713338E-2</v>
      </c>
      <c r="H110" s="2">
        <f t="shared" si="78"/>
        <v>8.6355785837651119E-2</v>
      </c>
      <c r="I110" s="2">
        <f t="shared" si="78"/>
        <v>0.11617074170006063</v>
      </c>
      <c r="J110" s="2">
        <f t="shared" si="78"/>
        <v>0.15019762845849802</v>
      </c>
      <c r="K110" s="2">
        <f t="shared" si="78"/>
        <v>0.14124293785310735</v>
      </c>
      <c r="L110" s="2">
        <f t="shared" si="78"/>
        <v>0.16472377090724782</v>
      </c>
      <c r="M110" s="2">
        <f t="shared" si="78"/>
        <v>0.17179008165970089</v>
      </c>
      <c r="N110" s="2">
        <f t="shared" si="78"/>
        <v>0.16568188358540242</v>
      </c>
      <c r="O110" s="2">
        <f t="shared" si="78"/>
        <v>0.15497190194368324</v>
      </c>
      <c r="P110" s="2">
        <f t="shared" si="78"/>
        <v>0.14725438668668359</v>
      </c>
      <c r="Q110" s="2">
        <f t="shared" si="78"/>
        <v>0.13997702789007391</v>
      </c>
      <c r="R110" s="2">
        <f t="shared" si="78"/>
        <v>0.13418791584065645</v>
      </c>
      <c r="S110" s="2">
        <f t="shared" si="78"/>
        <v>0.13083160229237012</v>
      </c>
    </row>
    <row r="111" spans="2:19" x14ac:dyDescent="0.55000000000000004">
      <c r="B111" t="s">
        <v>840</v>
      </c>
      <c r="F111" s="4">
        <f>F106*1000000/AVERAGE(E108,F108)</f>
        <v>13579.362235757791</v>
      </c>
      <c r="G111" s="4">
        <f>G106*1000000/AVERAGE(F108,G108)</f>
        <v>19283.126410247307</v>
      </c>
      <c r="H111" s="4">
        <f>H106*1000000/AVERAGE(G108,H108)</f>
        <v>25550.951370016843</v>
      </c>
      <c r="I111" s="4">
        <f>I106*1000000/AVERAGE(H108,I108)</f>
        <v>29503.916842840525</v>
      </c>
      <c r="J111" s="4">
        <f>J106*1000000/AVERAGE(I108,J108)</f>
        <v>51801.505027588275</v>
      </c>
      <c r="K111" s="4">
        <f t="shared" ref="K111:S111" si="79">K106*1000000/AVERAGE(J108,K108)</f>
        <v>71428.571428571435</v>
      </c>
      <c r="L111" s="4">
        <f t="shared" si="79"/>
        <v>86666.666666666672</v>
      </c>
      <c r="M111" s="4">
        <f t="shared" si="79"/>
        <v>104866.66666666664</v>
      </c>
      <c r="N111" s="4">
        <f t="shared" si="79"/>
        <v>115353.33333333333</v>
      </c>
      <c r="O111" s="4">
        <f t="shared" si="79"/>
        <v>121121</v>
      </c>
      <c r="P111" s="4">
        <f t="shared" si="79"/>
        <v>127177.05</v>
      </c>
      <c r="Q111" s="4">
        <f t="shared" si="79"/>
        <v>133535.90250000003</v>
      </c>
      <c r="R111" s="4">
        <f t="shared" si="79"/>
        <v>140212.69762500003</v>
      </c>
      <c r="S111" s="4">
        <f t="shared" si="79"/>
        <v>147223.33250625004</v>
      </c>
    </row>
    <row r="113" spans="2:19" x14ac:dyDescent="0.55000000000000004">
      <c r="B113" s="9" t="s">
        <v>689</v>
      </c>
    </row>
    <row r="114" spans="2:19" x14ac:dyDescent="0.55000000000000004">
      <c r="B114" t="s">
        <v>34</v>
      </c>
      <c r="E114">
        <f t="shared" ref="E114:H115" si="80">F114</f>
        <v>190</v>
      </c>
      <c r="F114">
        <f t="shared" si="80"/>
        <v>190</v>
      </c>
      <c r="G114">
        <f t="shared" si="80"/>
        <v>190</v>
      </c>
      <c r="H114">
        <f t="shared" si="80"/>
        <v>190</v>
      </c>
      <c r="I114" s="31">
        <v>190</v>
      </c>
      <c r="J114" s="31">
        <v>175</v>
      </c>
      <c r="K114" s="31">
        <v>162</v>
      </c>
      <c r="L114" s="246">
        <v>147</v>
      </c>
      <c r="M114" s="51">
        <f>L114*1.03</f>
        <v>151.41</v>
      </c>
      <c r="N114" s="51">
        <f>M114*0.98</f>
        <v>148.3818</v>
      </c>
      <c r="O114" s="51">
        <f>N114*0.99</f>
        <v>146.89798199999998</v>
      </c>
      <c r="P114" s="51">
        <f>O114*0.97</f>
        <v>142.49104254</v>
      </c>
      <c r="Q114" s="51">
        <f>P114*0.95</f>
        <v>135.36649041299998</v>
      </c>
      <c r="R114" s="51">
        <f>Q114*0.95</f>
        <v>128.59816589234998</v>
      </c>
      <c r="S114" s="51">
        <f>R114*0.95</f>
        <v>122.16825759773248</v>
      </c>
    </row>
    <row r="115" spans="2:19" x14ac:dyDescent="0.55000000000000004">
      <c r="B115" t="s">
        <v>182</v>
      </c>
      <c r="E115">
        <f t="shared" si="80"/>
        <v>320</v>
      </c>
      <c r="F115">
        <f t="shared" si="80"/>
        <v>320</v>
      </c>
      <c r="G115">
        <f t="shared" si="80"/>
        <v>320</v>
      </c>
      <c r="H115" s="31">
        <v>320</v>
      </c>
      <c r="I115" s="31">
        <v>290</v>
      </c>
      <c r="J115" s="31">
        <v>275</v>
      </c>
      <c r="K115" s="31">
        <v>267</v>
      </c>
      <c r="L115" s="246">
        <v>234</v>
      </c>
      <c r="M115" s="51">
        <f>L115*0.94</f>
        <v>219.95999999999998</v>
      </c>
      <c r="N115" s="51">
        <f>M115*0.98</f>
        <v>215.56079999999997</v>
      </c>
      <c r="O115" s="51">
        <f>N115*0.99</f>
        <v>213.40519199999997</v>
      </c>
      <c r="P115" s="51">
        <f>O115*0.97</f>
        <v>207.00303623999997</v>
      </c>
      <c r="Q115" s="51">
        <f>P115*0.96</f>
        <v>198.72291479039995</v>
      </c>
      <c r="R115" s="51">
        <f>Q115*0.96</f>
        <v>190.77399819878394</v>
      </c>
      <c r="S115" s="51">
        <f>R115*0.96</f>
        <v>183.14303827083259</v>
      </c>
    </row>
    <row r="117" spans="2:19" x14ac:dyDescent="0.55000000000000004">
      <c r="B117" s="9" t="s">
        <v>244</v>
      </c>
    </row>
    <row r="118" spans="2:19" x14ac:dyDescent="0.55000000000000004">
      <c r="B118" t="str">
        <f>B114</f>
        <v>Debit</v>
      </c>
      <c r="E118" s="4">
        <f t="shared" ref="E118:S118" si="81">(E114/10000)*(E86*1000)</f>
        <v>91.199999999999974</v>
      </c>
      <c r="F118" s="4">
        <f t="shared" si="81"/>
        <v>248.89999999999995</v>
      </c>
      <c r="G118" s="4">
        <f t="shared" si="81"/>
        <v>613.70000000000005</v>
      </c>
      <c r="H118" s="4">
        <f t="shared" si="81"/>
        <v>946.19999999999993</v>
      </c>
      <c r="I118" s="4">
        <f t="shared" si="81"/>
        <v>1427.3626428649266</v>
      </c>
      <c r="J118" s="4">
        <f>(J114/10000)*(J86*1000)</f>
        <v>1931.8533585067933</v>
      </c>
      <c r="K118" s="4">
        <f t="shared" si="81"/>
        <v>2467.7178747325374</v>
      </c>
      <c r="L118" s="4">
        <f t="shared" si="81"/>
        <v>2493.0585041193362</v>
      </c>
      <c r="M118" s="4">
        <f>(M114/10000)*(M86*1000)</f>
        <v>2969.7292728497509</v>
      </c>
      <c r="N118" s="4">
        <f t="shared" si="81"/>
        <v>3314.029687529151</v>
      </c>
      <c r="O118" s="4">
        <f t="shared" si="81"/>
        <v>3682.268384882083</v>
      </c>
      <c r="P118" s="4">
        <f t="shared" si="81"/>
        <v>3945.3650261750226</v>
      </c>
      <c r="Q118" s="4">
        <f t="shared" si="81"/>
        <v>4135.3147931562853</v>
      </c>
      <c r="R118" s="4">
        <f t="shared" si="81"/>
        <v>4297.7317578510965</v>
      </c>
      <c r="S118" s="4">
        <f t="shared" si="81"/>
        <v>4398.0336361176951</v>
      </c>
    </row>
    <row r="119" spans="2:19" x14ac:dyDescent="0.55000000000000004">
      <c r="B119" s="1" t="str">
        <f>B115</f>
        <v>Credit</v>
      </c>
      <c r="C119" s="1"/>
      <c r="D119" s="1"/>
      <c r="E119" s="6">
        <f t="shared" ref="E119:S119" si="82">(E115/10000)*(E87*1000)</f>
        <v>297.60000000000002</v>
      </c>
      <c r="F119" s="6">
        <f t="shared" si="82"/>
        <v>793.6</v>
      </c>
      <c r="G119" s="6">
        <f t="shared" si="82"/>
        <v>1388.8</v>
      </c>
      <c r="H119" s="6">
        <f t="shared" si="82"/>
        <v>2112</v>
      </c>
      <c r="I119" s="6">
        <f t="shared" si="82"/>
        <v>2506.1649604713753</v>
      </c>
      <c r="J119" s="6">
        <f>(J115/10000)*(J87*1000)</f>
        <v>3921.7304366321828</v>
      </c>
      <c r="K119" s="6">
        <f>(K115/10000)*(K87*1000)</f>
        <v>5384.6353546074852</v>
      </c>
      <c r="L119" s="6">
        <f t="shared" si="82"/>
        <v>5265.0978914018733</v>
      </c>
      <c r="M119" s="6">
        <f>(M115/10000)*(M87*1000)</f>
        <v>5756.0880688421066</v>
      </c>
      <c r="N119" s="6">
        <f t="shared" si="82"/>
        <v>6441.6167755879142</v>
      </c>
      <c r="O119" s="6">
        <f t="shared" si="82"/>
        <v>7159.8979207098737</v>
      </c>
      <c r="P119" s="6">
        <f t="shared" si="82"/>
        <v>7676.8409754360628</v>
      </c>
      <c r="Q119" s="6">
        <f t="shared" si="82"/>
        <v>8147.6001945451299</v>
      </c>
      <c r="R119" s="6">
        <f t="shared" si="82"/>
        <v>8574.815132843436</v>
      </c>
      <c r="S119" s="6">
        <f t="shared" si="82"/>
        <v>8863.546344418206</v>
      </c>
    </row>
    <row r="120" spans="2:19" x14ac:dyDescent="0.55000000000000004">
      <c r="B120" t="s">
        <v>243</v>
      </c>
      <c r="E120" s="4">
        <f t="shared" ref="E120:K120" si="83">E118+E119</f>
        <v>388.8</v>
      </c>
      <c r="F120" s="4">
        <f t="shared" si="83"/>
        <v>1042.5</v>
      </c>
      <c r="G120" s="4">
        <f t="shared" si="83"/>
        <v>2002.5</v>
      </c>
      <c r="H120" s="4">
        <f t="shared" si="83"/>
        <v>3058.2</v>
      </c>
      <c r="I120" s="4">
        <f t="shared" si="83"/>
        <v>3933.5276033363016</v>
      </c>
      <c r="J120" s="4">
        <f t="shared" si="83"/>
        <v>5853.5837951389758</v>
      </c>
      <c r="K120" s="4">
        <f t="shared" si="83"/>
        <v>7852.3532293400222</v>
      </c>
      <c r="L120" s="4">
        <f t="shared" ref="L120:S120" si="84">L118+L119</f>
        <v>7758.1563955212096</v>
      </c>
      <c r="M120" s="4">
        <f>M118+M119</f>
        <v>8725.817341691858</v>
      </c>
      <c r="N120" s="4">
        <f t="shared" si="84"/>
        <v>9755.6464631170657</v>
      </c>
      <c r="O120" s="4">
        <f t="shared" si="84"/>
        <v>10842.166305591956</v>
      </c>
      <c r="P120" s="4">
        <f t="shared" si="84"/>
        <v>11622.206001611085</v>
      </c>
      <c r="Q120" s="4">
        <f t="shared" si="84"/>
        <v>12282.914987701415</v>
      </c>
      <c r="R120" s="4">
        <f t="shared" si="84"/>
        <v>12872.546890694532</v>
      </c>
      <c r="S120" s="4">
        <f t="shared" si="84"/>
        <v>13261.579980535902</v>
      </c>
    </row>
    <row r="121" spans="2:19" x14ac:dyDescent="0.55000000000000004">
      <c r="K121" s="4"/>
    </row>
    <row r="122" spans="2:19" x14ac:dyDescent="0.55000000000000004">
      <c r="B122" s="9" t="s">
        <v>245</v>
      </c>
      <c r="K122" s="2"/>
    </row>
    <row r="123" spans="2:19" x14ac:dyDescent="0.55000000000000004">
      <c r="B123" t="s">
        <v>291</v>
      </c>
      <c r="E123" s="4">
        <f t="shared" ref="E123:S123" si="85">E87</f>
        <v>9.3000000000000007</v>
      </c>
      <c r="F123" s="4">
        <f t="shared" si="85"/>
        <v>24.8</v>
      </c>
      <c r="G123" s="4">
        <f t="shared" si="85"/>
        <v>43.4</v>
      </c>
      <c r="H123" s="4">
        <f t="shared" si="85"/>
        <v>66</v>
      </c>
      <c r="I123" s="4">
        <f t="shared" si="85"/>
        <v>86.419481395564659</v>
      </c>
      <c r="J123" s="4">
        <f t="shared" si="85"/>
        <v>142.60837951389755</v>
      </c>
      <c r="K123" s="4">
        <f t="shared" si="85"/>
        <v>201.67173612762113</v>
      </c>
      <c r="L123" s="4">
        <f>L87</f>
        <v>225.00418339324244</v>
      </c>
      <c r="M123" s="4">
        <f t="shared" si="85"/>
        <v>261.68794639216708</v>
      </c>
      <c r="N123" s="4">
        <f t="shared" si="85"/>
        <v>298.83062113278083</v>
      </c>
      <c r="O123" s="4">
        <f t="shared" si="85"/>
        <v>335.50720362557411</v>
      </c>
      <c r="P123" s="4">
        <f t="shared" si="85"/>
        <v>370.85644321349514</v>
      </c>
      <c r="Q123" s="4">
        <f t="shared" si="85"/>
        <v>409.998021775128</v>
      </c>
      <c r="R123" s="4">
        <f t="shared" si="85"/>
        <v>449.47504449262493</v>
      </c>
      <c r="S123" s="4">
        <f t="shared" si="85"/>
        <v>483.96851052076363</v>
      </c>
    </row>
    <row r="124" spans="2:19" x14ac:dyDescent="0.55000000000000004">
      <c r="B124" s="10" t="s">
        <v>292</v>
      </c>
      <c r="E124" s="53">
        <v>0.6</v>
      </c>
      <c r="F124" s="53">
        <v>0.6</v>
      </c>
      <c r="G124" s="53">
        <v>0.6</v>
      </c>
      <c r="H124" s="53">
        <v>0.6</v>
      </c>
      <c r="I124" s="53">
        <v>0.5</v>
      </c>
      <c r="J124" s="53">
        <v>0.6</v>
      </c>
      <c r="K124" s="53">
        <v>0.5</v>
      </c>
      <c r="L124" s="53">
        <v>0.5</v>
      </c>
      <c r="M124" s="5">
        <v>0.5</v>
      </c>
      <c r="N124" s="5">
        <v>0.5</v>
      </c>
      <c r="O124" s="5">
        <v>0.5</v>
      </c>
      <c r="P124" s="5">
        <v>0.5</v>
      </c>
      <c r="Q124" s="5">
        <v>0.5</v>
      </c>
      <c r="R124" s="5">
        <v>0.5</v>
      </c>
      <c r="S124" s="5">
        <v>0.5</v>
      </c>
    </row>
    <row r="125" spans="2:19" x14ac:dyDescent="0.55000000000000004">
      <c r="B125" t="s">
        <v>293</v>
      </c>
      <c r="E125" s="4">
        <f>E123*E124</f>
        <v>5.58</v>
      </c>
      <c r="F125" s="4">
        <f>F123*F124</f>
        <v>14.879999999999999</v>
      </c>
      <c r="G125" s="4">
        <f>G123*G124</f>
        <v>26.04</v>
      </c>
      <c r="H125" s="4">
        <f>H123*H124</f>
        <v>39.6</v>
      </c>
      <c r="I125" s="4">
        <f t="shared" ref="I125:S125" si="86">I123*I124</f>
        <v>43.20974069778233</v>
      </c>
      <c r="J125" s="4">
        <f t="shared" si="86"/>
        <v>85.565027708338519</v>
      </c>
      <c r="K125" s="4">
        <f t="shared" si="86"/>
        <v>100.83586806381057</v>
      </c>
      <c r="L125" s="4">
        <f>L123*L124</f>
        <v>112.50209169662122</v>
      </c>
      <c r="M125" s="4">
        <f t="shared" si="86"/>
        <v>130.84397319608354</v>
      </c>
      <c r="N125" s="4">
        <f t="shared" si="86"/>
        <v>149.41531056639042</v>
      </c>
      <c r="O125" s="4">
        <f t="shared" si="86"/>
        <v>167.75360181278705</v>
      </c>
      <c r="P125" s="4">
        <f t="shared" si="86"/>
        <v>185.42822160674757</v>
      </c>
      <c r="Q125" s="4">
        <f t="shared" si="86"/>
        <v>204.999010887564</v>
      </c>
      <c r="R125" s="4">
        <f t="shared" si="86"/>
        <v>224.73752224631247</v>
      </c>
      <c r="S125" s="4">
        <f t="shared" si="86"/>
        <v>241.98425526038181</v>
      </c>
    </row>
    <row r="126" spans="2:19" x14ac:dyDescent="0.55000000000000004"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2:19" x14ac:dyDescent="0.55000000000000004">
      <c r="B127" t="s">
        <v>294</v>
      </c>
      <c r="E127">
        <f>Master!D10</f>
        <v>392</v>
      </c>
      <c r="F127">
        <f>Master!E10</f>
        <v>819</v>
      </c>
      <c r="G127">
        <f>Master!F10</f>
        <v>1415</v>
      </c>
      <c r="H127">
        <f>Master!G10</f>
        <v>2031</v>
      </c>
      <c r="I127" s="4">
        <f>Master!H10</f>
        <v>2177.4</v>
      </c>
      <c r="J127" s="4">
        <f>Master!I10</f>
        <v>3514</v>
      </c>
      <c r="K127" s="4">
        <f>Master!J10</f>
        <v>6253</v>
      </c>
      <c r="L127" s="4">
        <f>Master!K10</f>
        <v>6653</v>
      </c>
      <c r="M127" s="4">
        <f t="shared" ref="M127:S127" si="87">M128*M125*1000</f>
        <v>7392.6844855787203</v>
      </c>
      <c r="N127" s="4">
        <f t="shared" si="87"/>
        <v>7694.8884941691067</v>
      </c>
      <c r="O127" s="4">
        <f t="shared" si="87"/>
        <v>7800.5424842945995</v>
      </c>
      <c r="P127" s="4">
        <f t="shared" si="87"/>
        <v>8158.8417506968935</v>
      </c>
      <c r="Q127" s="4">
        <f t="shared" si="87"/>
        <v>9019.9564790528184</v>
      </c>
      <c r="R127" s="4">
        <f t="shared" si="87"/>
        <v>9888.4509788377491</v>
      </c>
      <c r="S127" s="4">
        <f t="shared" si="87"/>
        <v>10647.307231456802</v>
      </c>
    </row>
    <row r="128" spans="2:19" x14ac:dyDescent="0.55000000000000004">
      <c r="B128" t="s">
        <v>295</v>
      </c>
      <c r="E128" s="12">
        <f t="shared" ref="E128:J128" si="88">E127/(E125*1000)</f>
        <v>7.0250896057347675E-2</v>
      </c>
      <c r="F128" s="12">
        <f t="shared" si="88"/>
        <v>5.5040322580645167E-2</v>
      </c>
      <c r="G128" s="12">
        <f t="shared" si="88"/>
        <v>5.4339477726574499E-2</v>
      </c>
      <c r="H128" s="12">
        <f t="shared" si="88"/>
        <v>5.1287878787878785E-2</v>
      </c>
      <c r="I128" s="12">
        <f t="shared" si="88"/>
        <v>5.0391415565975657E-2</v>
      </c>
      <c r="J128" s="12">
        <f t="shared" si="88"/>
        <v>4.106818047179283E-2</v>
      </c>
      <c r="K128" s="12">
        <f>K127/(K125*1000)</f>
        <v>6.2011664302259989E-2</v>
      </c>
      <c r="L128" s="12">
        <f>L127/(L125*1000)</f>
        <v>5.9136678257865755E-2</v>
      </c>
      <c r="M128" s="42">
        <v>5.6500000000000002E-2</v>
      </c>
      <c r="N128" s="42">
        <f>M128-0.5%</f>
        <v>5.1500000000000004E-2</v>
      </c>
      <c r="O128" s="42">
        <f>N128-0.5%</f>
        <v>4.6500000000000007E-2</v>
      </c>
      <c r="P128" s="42">
        <f>O128-0.25%</f>
        <v>4.4000000000000004E-2</v>
      </c>
      <c r="Q128" s="42">
        <f>P128</f>
        <v>4.4000000000000004E-2</v>
      </c>
      <c r="R128" s="42">
        <f>Q128</f>
        <v>4.4000000000000004E-2</v>
      </c>
      <c r="S128" s="42">
        <f>R128</f>
        <v>4.4000000000000004E-2</v>
      </c>
    </row>
    <row r="129" spans="2:19" x14ac:dyDescent="0.55000000000000004"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2:19" x14ac:dyDescent="0.55000000000000004">
      <c r="B130" s="18" t="s">
        <v>251</v>
      </c>
    </row>
    <row r="131" spans="2:19" x14ac:dyDescent="0.55000000000000004">
      <c r="B131" s="9"/>
    </row>
    <row r="132" spans="2:19" x14ac:dyDescent="0.55000000000000004">
      <c r="B132" s="9" t="s">
        <v>706</v>
      </c>
    </row>
    <row r="133" spans="2:19" x14ac:dyDescent="0.55000000000000004">
      <c r="B133" t="str">
        <f>B114</f>
        <v>Debit</v>
      </c>
      <c r="E133" s="4">
        <f t="shared" ref="E133:H134" si="89">F133</f>
        <v>67.849538977110768</v>
      </c>
      <c r="F133" s="4">
        <f t="shared" si="89"/>
        <v>67.849538977110768</v>
      </c>
      <c r="G133" s="4">
        <f t="shared" si="89"/>
        <v>67.849538977110768</v>
      </c>
      <c r="H133" s="4">
        <f t="shared" si="89"/>
        <v>67.849538977110768</v>
      </c>
      <c r="I133" s="4">
        <f>I138*10/(I86)-I135</f>
        <v>67.849538977110768</v>
      </c>
      <c r="J133" s="4">
        <f>J138*10/(J86)-J135</f>
        <v>72.36729597534169</v>
      </c>
      <c r="K133" s="4">
        <f>K138*10/(K86)-K135</f>
        <v>85.205721189935431</v>
      </c>
      <c r="L133" s="4">
        <f>L138*10/(L86)-L135</f>
        <v>82.262677448635102</v>
      </c>
      <c r="M133" s="51">
        <f t="shared" ref="M133:S133" si="90">L133</f>
        <v>82.262677448635102</v>
      </c>
      <c r="N133" s="51">
        <f t="shared" si="90"/>
        <v>82.262677448635102</v>
      </c>
      <c r="O133" s="51">
        <f t="shared" si="90"/>
        <v>82.262677448635102</v>
      </c>
      <c r="P133" s="51">
        <f t="shared" si="90"/>
        <v>82.262677448635102</v>
      </c>
      <c r="Q133" s="51">
        <f t="shared" si="90"/>
        <v>82.262677448635102</v>
      </c>
      <c r="R133" s="51">
        <f t="shared" si="90"/>
        <v>82.262677448635102</v>
      </c>
      <c r="S133" s="51">
        <f t="shared" si="90"/>
        <v>82.262677448635102</v>
      </c>
    </row>
    <row r="134" spans="2:19" x14ac:dyDescent="0.55000000000000004">
      <c r="B134" t="str">
        <f>B115</f>
        <v>Credit</v>
      </c>
      <c r="E134">
        <f t="shared" si="89"/>
        <v>130</v>
      </c>
      <c r="F134">
        <f t="shared" si="89"/>
        <v>130</v>
      </c>
      <c r="G134">
        <f t="shared" si="89"/>
        <v>130</v>
      </c>
      <c r="H134">
        <f t="shared" si="89"/>
        <v>130</v>
      </c>
      <c r="I134" s="31">
        <v>130</v>
      </c>
      <c r="J134" s="31">
        <v>150</v>
      </c>
      <c r="K134" s="31">
        <v>150</v>
      </c>
      <c r="L134" s="31">
        <v>142</v>
      </c>
      <c r="M134" s="48">
        <v>138</v>
      </c>
      <c r="N134" s="48">
        <v>134</v>
      </c>
      <c r="O134" s="48">
        <v>129</v>
      </c>
      <c r="P134" s="48">
        <v>125</v>
      </c>
      <c r="Q134" s="48">
        <v>120</v>
      </c>
      <c r="R134" s="48">
        <v>119</v>
      </c>
      <c r="S134" s="48">
        <v>118</v>
      </c>
    </row>
    <row r="135" spans="2:19" x14ac:dyDescent="0.55000000000000004">
      <c r="B135" t="s">
        <v>252</v>
      </c>
      <c r="E135">
        <f>F135</f>
        <v>40</v>
      </c>
      <c r="F135">
        <f>G135</f>
        <v>40</v>
      </c>
      <c r="G135">
        <f>H135</f>
        <v>40</v>
      </c>
      <c r="H135" s="31">
        <v>40</v>
      </c>
      <c r="I135" s="31">
        <v>30</v>
      </c>
      <c r="J135" s="31">
        <f>I135</f>
        <v>30</v>
      </c>
      <c r="K135" s="31">
        <f>J135</f>
        <v>30</v>
      </c>
      <c r="L135" s="31">
        <v>30</v>
      </c>
      <c r="M135" s="48">
        <f t="shared" ref="M135:S135" si="91">L135</f>
        <v>30</v>
      </c>
      <c r="N135" s="48">
        <f t="shared" si="91"/>
        <v>30</v>
      </c>
      <c r="O135" s="48">
        <f t="shared" si="91"/>
        <v>30</v>
      </c>
      <c r="P135" s="48">
        <f t="shared" si="91"/>
        <v>30</v>
      </c>
      <c r="Q135" s="48">
        <f t="shared" si="91"/>
        <v>30</v>
      </c>
      <c r="R135" s="48">
        <f t="shared" si="91"/>
        <v>30</v>
      </c>
      <c r="S135" s="48">
        <f t="shared" si="91"/>
        <v>30</v>
      </c>
    </row>
    <row r="137" spans="2:19" x14ac:dyDescent="0.55000000000000004">
      <c r="B137" t="s">
        <v>253</v>
      </c>
    </row>
    <row r="138" spans="2:19" x14ac:dyDescent="0.55000000000000004">
      <c r="B138" t="str">
        <f>B133</f>
        <v>Debit</v>
      </c>
      <c r="E138" s="4">
        <f t="shared" ref="E138:S138" si="92">(E133+E135)/10000*(E86*1000)</f>
        <v>51.767778709013164</v>
      </c>
      <c r="F138" s="4">
        <f t="shared" si="92"/>
        <v>141.2828960600151</v>
      </c>
      <c r="G138" s="4">
        <f t="shared" si="92"/>
        <v>348.35401089606785</v>
      </c>
      <c r="H138" s="4">
        <f t="shared" si="92"/>
        <v>537.09070410601169</v>
      </c>
      <c r="I138" s="4">
        <f>I140-I139</f>
        <v>735.08829767096563</v>
      </c>
      <c r="J138" s="4">
        <f>J140-J139</f>
        <v>1130.0491687498443</v>
      </c>
      <c r="K138" s="4">
        <f>K140-K139</f>
        <v>1754.9087497028195</v>
      </c>
      <c r="L138" s="4">
        <f>L140-L139</f>
        <v>1903.9280456362299</v>
      </c>
      <c r="M138" s="4">
        <f t="shared" si="92"/>
        <v>2201.9005314556589</v>
      </c>
      <c r="N138" s="4">
        <f t="shared" si="92"/>
        <v>2507.3280271993335</v>
      </c>
      <c r="O138" s="4">
        <f t="shared" si="92"/>
        <v>2814.070706371745</v>
      </c>
      <c r="P138" s="4">
        <f t="shared" si="92"/>
        <v>3108.3865585885997</v>
      </c>
      <c r="Q138" s="4">
        <f t="shared" si="92"/>
        <v>3429.515749106617</v>
      </c>
      <c r="R138" s="4">
        <f t="shared" si="92"/>
        <v>3751.8021407573942</v>
      </c>
      <c r="S138" s="4">
        <f t="shared" si="92"/>
        <v>4041.4346673050418</v>
      </c>
    </row>
    <row r="139" spans="2:19" x14ac:dyDescent="0.55000000000000004">
      <c r="B139" s="1" t="str">
        <f>B134</f>
        <v>Credit</v>
      </c>
      <c r="C139" s="1"/>
      <c r="D139" s="1"/>
      <c r="E139" s="6">
        <f t="shared" ref="E139:S139" si="93">(E134+E135)/10000*(E87*1000)</f>
        <v>158.10000000000002</v>
      </c>
      <c r="F139" s="6">
        <f t="shared" si="93"/>
        <v>421.6</v>
      </c>
      <c r="G139" s="6">
        <f t="shared" si="93"/>
        <v>737.80000000000007</v>
      </c>
      <c r="H139" s="6">
        <f t="shared" si="93"/>
        <v>1122</v>
      </c>
      <c r="I139" s="6">
        <f t="shared" si="93"/>
        <v>1382.7117023290346</v>
      </c>
      <c r="J139" s="6">
        <f>(J134+J135)/10000*(J87*1000)</f>
        <v>2566.9508312501557</v>
      </c>
      <c r="K139" s="6">
        <f>(K134+K135)/10000*(K87*1000)</f>
        <v>3630.0912502971805</v>
      </c>
      <c r="L139" s="6">
        <f>(L134+L135)/10000*(L87*1000)</f>
        <v>3870.0719543637701</v>
      </c>
      <c r="M139" s="6">
        <f t="shared" si="93"/>
        <v>4396.3574993884067</v>
      </c>
      <c r="N139" s="6">
        <f t="shared" si="93"/>
        <v>4900.8221865776068</v>
      </c>
      <c r="O139" s="6">
        <f t="shared" si="93"/>
        <v>5334.5645376466291</v>
      </c>
      <c r="P139" s="6">
        <f t="shared" si="93"/>
        <v>5748.2748698091746</v>
      </c>
      <c r="Q139" s="6">
        <f t="shared" si="93"/>
        <v>6149.9703266269189</v>
      </c>
      <c r="R139" s="6">
        <f t="shared" si="93"/>
        <v>6697.1781629401112</v>
      </c>
      <c r="S139" s="6">
        <f t="shared" si="93"/>
        <v>7162.7339557073019</v>
      </c>
    </row>
    <row r="140" spans="2:19" x14ac:dyDescent="0.55000000000000004">
      <c r="B140" t="s">
        <v>243</v>
      </c>
      <c r="E140" s="4">
        <f>E138+E139</f>
        <v>209.86777870901318</v>
      </c>
      <c r="F140" s="4">
        <f>Master!E22</f>
        <v>587</v>
      </c>
      <c r="G140" s="4">
        <f>Master!F22</f>
        <v>1163</v>
      </c>
      <c r="H140" s="4">
        <f>Master!G22</f>
        <v>1683</v>
      </c>
      <c r="I140" s="4">
        <f>Master!H22</f>
        <v>2117.8000000000002</v>
      </c>
      <c r="J140" s="4">
        <f>Master!I22</f>
        <v>3697</v>
      </c>
      <c r="K140" s="4">
        <f>Master!J22</f>
        <v>5385</v>
      </c>
      <c r="L140" s="4">
        <f>Master!K22</f>
        <v>5774</v>
      </c>
      <c r="M140" s="4">
        <f t="shared" ref="M140:S140" si="94">M138+M139</f>
        <v>6598.2580308440656</v>
      </c>
      <c r="N140" s="4">
        <f t="shared" si="94"/>
        <v>7408.1502137769403</v>
      </c>
      <c r="O140" s="4">
        <f t="shared" si="94"/>
        <v>8148.6352440183746</v>
      </c>
      <c r="P140" s="4">
        <f t="shared" si="94"/>
        <v>8856.6614283977742</v>
      </c>
      <c r="Q140" s="4">
        <f t="shared" si="94"/>
        <v>9579.4860757335355</v>
      </c>
      <c r="R140" s="4">
        <f t="shared" si="94"/>
        <v>10448.980303697506</v>
      </c>
      <c r="S140" s="4">
        <f t="shared" si="94"/>
        <v>11204.168623012343</v>
      </c>
    </row>
    <row r="142" spans="2:19" x14ac:dyDescent="0.55000000000000004">
      <c r="B142" s="20" t="s">
        <v>301</v>
      </c>
      <c r="C142" s="20"/>
      <c r="D142" s="20">
        <f t="shared" ref="D142:S142" si="95">D2</f>
        <v>2015</v>
      </c>
      <c r="E142" s="20">
        <f t="shared" si="95"/>
        <v>2016</v>
      </c>
      <c r="F142" s="20">
        <f t="shared" si="95"/>
        <v>2017</v>
      </c>
      <c r="G142" s="20">
        <f t="shared" si="95"/>
        <v>2018</v>
      </c>
      <c r="H142" s="20">
        <f t="shared" si="95"/>
        <v>2019</v>
      </c>
      <c r="I142" s="20">
        <f t="shared" si="95"/>
        <v>2020</v>
      </c>
      <c r="J142" s="20">
        <f t="shared" si="95"/>
        <v>2021</v>
      </c>
      <c r="K142" s="20">
        <f t="shared" si="95"/>
        <v>2022</v>
      </c>
      <c r="L142" s="20">
        <f t="shared" si="95"/>
        <v>2023</v>
      </c>
      <c r="M142" s="20">
        <f t="shared" si="95"/>
        <v>2024</v>
      </c>
      <c r="N142" s="20">
        <f t="shared" si="95"/>
        <v>2025</v>
      </c>
      <c r="O142" s="20">
        <f t="shared" si="95"/>
        <v>2026</v>
      </c>
      <c r="P142" s="20">
        <f t="shared" si="95"/>
        <v>2027</v>
      </c>
      <c r="Q142" s="20">
        <f t="shared" si="95"/>
        <v>2028</v>
      </c>
      <c r="R142" s="20">
        <f t="shared" si="95"/>
        <v>2029</v>
      </c>
      <c r="S142" s="20">
        <f t="shared" si="95"/>
        <v>2030</v>
      </c>
    </row>
    <row r="144" spans="2:19" x14ac:dyDescent="0.55000000000000004">
      <c r="B144" t="s">
        <v>297</v>
      </c>
      <c r="F144">
        <f t="shared" ref="F144:S144" si="96">F91</f>
        <v>1380</v>
      </c>
      <c r="G144">
        <f t="shared" si="96"/>
        <v>1344</v>
      </c>
      <c r="H144">
        <f t="shared" si="96"/>
        <v>1134</v>
      </c>
      <c r="I144" s="4">
        <f t="shared" si="96"/>
        <v>1764.9470000000001</v>
      </c>
      <c r="J144" s="4">
        <f t="shared" si="96"/>
        <v>659.05299999999988</v>
      </c>
      <c r="K144">
        <f t="shared" si="96"/>
        <v>-593</v>
      </c>
      <c r="L144">
        <f t="shared" si="96"/>
        <v>-600</v>
      </c>
      <c r="M144">
        <f t="shared" si="96"/>
        <v>100</v>
      </c>
      <c r="N144">
        <f t="shared" si="96"/>
        <v>200</v>
      </c>
      <c r="O144">
        <f t="shared" si="96"/>
        <v>200</v>
      </c>
      <c r="P144">
        <f t="shared" si="96"/>
        <v>200</v>
      </c>
      <c r="Q144">
        <f t="shared" si="96"/>
        <v>200</v>
      </c>
      <c r="R144">
        <f t="shared" si="96"/>
        <v>200</v>
      </c>
      <c r="S144">
        <f t="shared" si="96"/>
        <v>200</v>
      </c>
    </row>
    <row r="145" spans="2:19" x14ac:dyDescent="0.55000000000000004">
      <c r="B145" t="s">
        <v>298</v>
      </c>
      <c r="F145" s="5">
        <v>0.7</v>
      </c>
      <c r="G145" s="5">
        <v>0.7</v>
      </c>
      <c r="H145" s="5">
        <v>0.7</v>
      </c>
      <c r="I145" s="5">
        <v>0.7</v>
      </c>
      <c r="J145" s="5">
        <v>0.7</v>
      </c>
      <c r="K145" s="5">
        <v>0.7</v>
      </c>
      <c r="L145" s="5">
        <v>0.7</v>
      </c>
      <c r="M145" s="5">
        <v>0.7</v>
      </c>
      <c r="N145" s="5">
        <v>0.7</v>
      </c>
      <c r="O145" s="5">
        <v>0.7</v>
      </c>
      <c r="P145" s="5">
        <v>0.7</v>
      </c>
      <c r="Q145" s="5">
        <v>0.7</v>
      </c>
      <c r="R145" s="5">
        <v>0.7</v>
      </c>
      <c r="S145" s="5">
        <v>0.7</v>
      </c>
    </row>
    <row r="146" spans="2:19" x14ac:dyDescent="0.55000000000000004">
      <c r="B146" t="s">
        <v>299</v>
      </c>
      <c r="F146" s="4">
        <f t="shared" ref="F146:S146" si="97">F144/F145</f>
        <v>1971.4285714285716</v>
      </c>
      <c r="G146" s="4">
        <f t="shared" si="97"/>
        <v>1920.0000000000002</v>
      </c>
      <c r="H146" s="4">
        <f t="shared" si="97"/>
        <v>1620</v>
      </c>
      <c r="I146" s="4">
        <f t="shared" si="97"/>
        <v>2521.3528571428574</v>
      </c>
      <c r="J146" s="4">
        <f t="shared" si="97"/>
        <v>941.50428571428563</v>
      </c>
      <c r="K146" s="51">
        <v>800</v>
      </c>
      <c r="L146" s="51">
        <v>600</v>
      </c>
      <c r="M146" s="51">
        <v>500</v>
      </c>
      <c r="N146" s="51">
        <v>400</v>
      </c>
      <c r="O146" s="4">
        <f t="shared" si="97"/>
        <v>285.71428571428572</v>
      </c>
      <c r="P146" s="4">
        <f t="shared" si="97"/>
        <v>285.71428571428572</v>
      </c>
      <c r="Q146" s="4">
        <f t="shared" si="97"/>
        <v>285.71428571428572</v>
      </c>
      <c r="R146" s="4">
        <f t="shared" si="97"/>
        <v>285.71428571428572</v>
      </c>
      <c r="S146" s="4">
        <f t="shared" si="97"/>
        <v>285.71428571428572</v>
      </c>
    </row>
    <row r="148" spans="2:19" x14ac:dyDescent="0.55000000000000004">
      <c r="B148" t="s">
        <v>2034</v>
      </c>
      <c r="F148" s="5">
        <v>0.1</v>
      </c>
      <c r="G148" s="5">
        <v>0.1</v>
      </c>
      <c r="H148" s="5">
        <v>0.1</v>
      </c>
      <c r="I148" s="5">
        <v>0.1</v>
      </c>
      <c r="J148" s="5">
        <v>0.1</v>
      </c>
      <c r="K148" s="5">
        <v>0.1</v>
      </c>
      <c r="L148" s="5">
        <v>0.1</v>
      </c>
      <c r="M148" s="5">
        <v>0.1</v>
      </c>
      <c r="N148" s="5">
        <v>0.1</v>
      </c>
      <c r="O148" s="5">
        <v>0.1</v>
      </c>
      <c r="P148" s="5">
        <v>0.1</v>
      </c>
      <c r="Q148" s="5">
        <v>0.1</v>
      </c>
      <c r="R148" s="5">
        <v>0.1</v>
      </c>
      <c r="S148" s="5">
        <v>0.1</v>
      </c>
    </row>
    <row r="149" spans="2:19" x14ac:dyDescent="0.55000000000000004">
      <c r="B149" s="1" t="s">
        <v>2035</v>
      </c>
      <c r="C149" s="1"/>
      <c r="D149" s="1"/>
      <c r="E149" s="1"/>
      <c r="F149" s="6">
        <f>F148*F90</f>
        <v>279.10000000000002</v>
      </c>
      <c r="G149" s="6">
        <f t="shared" ref="G149:S149" si="98">G148*G90</f>
        <v>413.5</v>
      </c>
      <c r="H149" s="6">
        <f t="shared" si="98"/>
        <v>526.9</v>
      </c>
      <c r="I149" s="6">
        <f t="shared" si="98"/>
        <v>703.39470000000006</v>
      </c>
      <c r="J149" s="6">
        <f t="shared" si="98"/>
        <v>769.30000000000007</v>
      </c>
      <c r="K149" s="6">
        <f t="shared" si="98"/>
        <v>710</v>
      </c>
      <c r="L149" s="6">
        <f t="shared" si="98"/>
        <v>650</v>
      </c>
      <c r="M149" s="6">
        <f t="shared" si="98"/>
        <v>660</v>
      </c>
      <c r="N149" s="6">
        <f t="shared" si="98"/>
        <v>680</v>
      </c>
      <c r="O149" s="6">
        <f t="shared" si="98"/>
        <v>700</v>
      </c>
      <c r="P149" s="6">
        <f t="shared" si="98"/>
        <v>720</v>
      </c>
      <c r="Q149" s="6">
        <f t="shared" si="98"/>
        <v>740</v>
      </c>
      <c r="R149" s="6">
        <f t="shared" si="98"/>
        <v>760</v>
      </c>
      <c r="S149" s="6">
        <f t="shared" si="98"/>
        <v>780</v>
      </c>
    </row>
    <row r="150" spans="2:19" x14ac:dyDescent="0.55000000000000004">
      <c r="B150" t="s">
        <v>2036</v>
      </c>
      <c r="F150" s="4">
        <f>F144+F149</f>
        <v>1659.1</v>
      </c>
      <c r="G150" s="4">
        <f t="shared" ref="G150:S150" si="99">G144+G149</f>
        <v>1757.5</v>
      </c>
      <c r="H150" s="4">
        <f t="shared" si="99"/>
        <v>1660.9</v>
      </c>
      <c r="I150" s="4">
        <f t="shared" si="99"/>
        <v>2468.3416999999999</v>
      </c>
      <c r="J150" s="4">
        <f t="shared" si="99"/>
        <v>1428.3530000000001</v>
      </c>
      <c r="K150" s="4">
        <f t="shared" si="99"/>
        <v>117</v>
      </c>
      <c r="L150" s="4">
        <f t="shared" si="99"/>
        <v>50</v>
      </c>
      <c r="M150" s="4">
        <f t="shared" si="99"/>
        <v>760</v>
      </c>
      <c r="N150" s="4">
        <f t="shared" si="99"/>
        <v>880</v>
      </c>
      <c r="O150" s="4">
        <f t="shared" si="99"/>
        <v>900</v>
      </c>
      <c r="P150" s="4">
        <f t="shared" si="99"/>
        <v>920</v>
      </c>
      <c r="Q150" s="4">
        <f t="shared" si="99"/>
        <v>940</v>
      </c>
      <c r="R150" s="4">
        <f t="shared" si="99"/>
        <v>960</v>
      </c>
      <c r="S150" s="4">
        <f t="shared" si="99"/>
        <v>980</v>
      </c>
    </row>
    <row r="152" spans="2:19" x14ac:dyDescent="0.55000000000000004">
      <c r="B152" t="s">
        <v>305</v>
      </c>
      <c r="I152" s="31">
        <v>150</v>
      </c>
      <c r="J152" s="31">
        <v>150</v>
      </c>
      <c r="K152" s="31">
        <v>150</v>
      </c>
      <c r="L152" s="48">
        <f t="shared" ref="L152:S152" si="100">K152</f>
        <v>150</v>
      </c>
      <c r="M152" s="48">
        <f t="shared" si="100"/>
        <v>150</v>
      </c>
      <c r="N152" s="48">
        <f t="shared" si="100"/>
        <v>150</v>
      </c>
      <c r="O152" s="48">
        <f t="shared" si="100"/>
        <v>150</v>
      </c>
      <c r="P152" s="48">
        <f t="shared" si="100"/>
        <v>150</v>
      </c>
      <c r="Q152" s="48">
        <f t="shared" si="100"/>
        <v>150</v>
      </c>
      <c r="R152" s="48">
        <f t="shared" si="100"/>
        <v>150</v>
      </c>
      <c r="S152" s="48">
        <f t="shared" si="100"/>
        <v>150</v>
      </c>
    </row>
    <row r="153" spans="2:19" x14ac:dyDescent="0.55000000000000004"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2:19" x14ac:dyDescent="0.55000000000000004">
      <c r="B154" t="s">
        <v>296</v>
      </c>
      <c r="I154" s="4">
        <f t="shared" ref="I154:S154" si="101">I146*I152/1000</f>
        <v>378.20292857142857</v>
      </c>
      <c r="J154" s="4">
        <f t="shared" si="101"/>
        <v>141.22564285714284</v>
      </c>
      <c r="K154" s="4">
        <f t="shared" si="101"/>
        <v>120</v>
      </c>
      <c r="L154" s="4">
        <f t="shared" si="101"/>
        <v>90</v>
      </c>
      <c r="M154" s="4">
        <f t="shared" si="101"/>
        <v>75</v>
      </c>
      <c r="N154" s="4">
        <f t="shared" si="101"/>
        <v>60</v>
      </c>
      <c r="O154" s="4">
        <f t="shared" si="101"/>
        <v>42.857142857142854</v>
      </c>
      <c r="P154" s="4">
        <f t="shared" si="101"/>
        <v>42.857142857142854</v>
      </c>
      <c r="Q154" s="4">
        <f t="shared" si="101"/>
        <v>42.857142857142854</v>
      </c>
      <c r="R154" s="4">
        <f t="shared" si="101"/>
        <v>42.857142857142854</v>
      </c>
      <c r="S154" s="4">
        <f t="shared" si="101"/>
        <v>42.857142857142854</v>
      </c>
    </row>
    <row r="155" spans="2:19" x14ac:dyDescent="0.55000000000000004">
      <c r="B155" s="1" t="s">
        <v>300</v>
      </c>
      <c r="C155" s="1"/>
      <c r="D155" s="1"/>
      <c r="E155" s="1"/>
      <c r="F155" s="1"/>
      <c r="G155" s="1"/>
      <c r="H155" s="1"/>
      <c r="I155" s="6">
        <f>I156-I154</f>
        <v>277.39707142857145</v>
      </c>
      <c r="J155" s="6">
        <f>J156-J154</f>
        <v>482.87435714285721</v>
      </c>
      <c r="K155" s="6">
        <f>K156-K154</f>
        <v>59.5</v>
      </c>
      <c r="L155" s="6">
        <f>L156-L154</f>
        <v>91.5</v>
      </c>
      <c r="M155" s="50">
        <f t="shared" ref="M155:S155" si="102">L155*1.1</f>
        <v>100.65</v>
      </c>
      <c r="N155" s="50">
        <f t="shared" si="102"/>
        <v>110.71500000000002</v>
      </c>
      <c r="O155" s="50">
        <f t="shared" si="102"/>
        <v>121.78650000000003</v>
      </c>
      <c r="P155" s="50">
        <f t="shared" si="102"/>
        <v>133.96515000000005</v>
      </c>
      <c r="Q155" s="50">
        <f t="shared" si="102"/>
        <v>147.36166500000007</v>
      </c>
      <c r="R155" s="50">
        <f t="shared" si="102"/>
        <v>162.0978315000001</v>
      </c>
      <c r="S155" s="50">
        <f t="shared" si="102"/>
        <v>178.30761465000012</v>
      </c>
    </row>
    <row r="156" spans="2:19" x14ac:dyDescent="0.55000000000000004">
      <c r="B156" t="s">
        <v>279</v>
      </c>
      <c r="F156" s="31">
        <v>73.8</v>
      </c>
      <c r="G156" s="31">
        <v>83.7</v>
      </c>
      <c r="H156" s="31">
        <v>174</v>
      </c>
      <c r="I156" s="44">
        <v>655.6</v>
      </c>
      <c r="J156" s="44">
        <v>624.1</v>
      </c>
      <c r="K156" s="44">
        <v>179.5</v>
      </c>
      <c r="L156" s="44">
        <v>181.5</v>
      </c>
      <c r="M156" s="4">
        <f t="shared" ref="M156:S156" si="103">M155+M154</f>
        <v>175.65</v>
      </c>
      <c r="N156" s="4">
        <f t="shared" si="103"/>
        <v>170.71500000000003</v>
      </c>
      <c r="O156" s="4">
        <f t="shared" si="103"/>
        <v>164.64364285714288</v>
      </c>
      <c r="P156" s="4">
        <f t="shared" si="103"/>
        <v>176.82229285714291</v>
      </c>
      <c r="Q156" s="4">
        <f t="shared" si="103"/>
        <v>190.21880785714293</v>
      </c>
      <c r="R156" s="4">
        <f t="shared" si="103"/>
        <v>204.95497435714296</v>
      </c>
      <c r="S156" s="4">
        <f t="shared" si="103"/>
        <v>221.16475750714298</v>
      </c>
    </row>
    <row r="158" spans="2:19" x14ac:dyDescent="0.55000000000000004">
      <c r="B158" t="s">
        <v>514</v>
      </c>
      <c r="G158" s="31">
        <v>150</v>
      </c>
      <c r="H158" s="4">
        <f>H159/(H146/2/1000)</f>
        <v>438.27160493827159</v>
      </c>
      <c r="I158" s="102">
        <f>I159*1000/I146</f>
        <v>587.3989417245956</v>
      </c>
      <c r="J158" s="102">
        <f>J159*1000/J146</f>
        <v>930.31971632023533</v>
      </c>
      <c r="K158" s="102">
        <f>K159*1000/K146</f>
        <v>1335</v>
      </c>
      <c r="L158" s="102">
        <f>L159*1000/L146</f>
        <v>1657</v>
      </c>
      <c r="M158" s="51">
        <f>L158*1.02</f>
        <v>1690.14</v>
      </c>
      <c r="N158" s="51">
        <f t="shared" ref="N158:S158" si="104">M158*1.02</f>
        <v>1723.9428</v>
      </c>
      <c r="O158" s="51">
        <f t="shared" si="104"/>
        <v>1758.421656</v>
      </c>
      <c r="P158" s="51">
        <f t="shared" si="104"/>
        <v>1793.5900891199999</v>
      </c>
      <c r="Q158" s="51">
        <f t="shared" si="104"/>
        <v>1829.4618909024</v>
      </c>
      <c r="R158" s="51">
        <f t="shared" si="104"/>
        <v>1866.0511287204481</v>
      </c>
      <c r="S158" s="51">
        <f t="shared" si="104"/>
        <v>1903.3721512948571</v>
      </c>
    </row>
    <row r="159" spans="2:19" x14ac:dyDescent="0.55000000000000004">
      <c r="B159" t="s">
        <v>304</v>
      </c>
      <c r="H159" s="4">
        <f>H166</f>
        <v>355</v>
      </c>
      <c r="I159" s="44">
        <f>Master!H138</f>
        <v>1481.04</v>
      </c>
      <c r="J159" s="44">
        <f>Master!I138</f>
        <v>875.9</v>
      </c>
      <c r="K159" s="44">
        <f>Master!J138</f>
        <v>1068</v>
      </c>
      <c r="L159" s="44">
        <f>Master!K138</f>
        <v>994.2</v>
      </c>
      <c r="M159" s="4">
        <f>M158*M150/1000</f>
        <v>1284.5064000000002</v>
      </c>
      <c r="N159" s="4">
        <f t="shared" ref="N159:S159" si="105">N158*N150/1000</f>
        <v>1517.0696640000001</v>
      </c>
      <c r="O159" s="4">
        <f t="shared" si="105"/>
        <v>1582.5794903999999</v>
      </c>
      <c r="P159" s="4">
        <f t="shared" si="105"/>
        <v>1650.1028819904</v>
      </c>
      <c r="Q159" s="4">
        <f t="shared" si="105"/>
        <v>1719.6941774482559</v>
      </c>
      <c r="R159" s="4">
        <f t="shared" si="105"/>
        <v>1791.4090835716302</v>
      </c>
      <c r="S159" s="4">
        <f t="shared" si="105"/>
        <v>1865.30470826896</v>
      </c>
    </row>
    <row r="160" spans="2:19" x14ac:dyDescent="0.55000000000000004"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</row>
    <row r="161" spans="2:19" x14ac:dyDescent="0.55000000000000004">
      <c r="B161" t="s">
        <v>302</v>
      </c>
      <c r="I161" s="3">
        <v>0.8</v>
      </c>
      <c r="J161" s="3">
        <v>0.8</v>
      </c>
      <c r="K161" s="3">
        <v>0.8</v>
      </c>
      <c r="L161" s="5">
        <f t="shared" ref="L161:S161" si="106">K161</f>
        <v>0.8</v>
      </c>
      <c r="M161" s="5">
        <f t="shared" si="106"/>
        <v>0.8</v>
      </c>
      <c r="N161" s="5">
        <f t="shared" si="106"/>
        <v>0.8</v>
      </c>
      <c r="O161" s="5">
        <f t="shared" si="106"/>
        <v>0.8</v>
      </c>
      <c r="P161" s="5">
        <f t="shared" si="106"/>
        <v>0.8</v>
      </c>
      <c r="Q161" s="5">
        <f t="shared" si="106"/>
        <v>0.8</v>
      </c>
      <c r="R161" s="5">
        <f t="shared" si="106"/>
        <v>0.8</v>
      </c>
      <c r="S161" s="5">
        <f t="shared" si="106"/>
        <v>0.8</v>
      </c>
    </row>
    <row r="162" spans="2:19" x14ac:dyDescent="0.55000000000000004">
      <c r="B162" t="s">
        <v>303</v>
      </c>
      <c r="I162" s="4">
        <f>I158*(1-I161)</f>
        <v>117.4797883449191</v>
      </c>
      <c r="J162" s="4">
        <f t="shared" ref="J162:S162" si="107">J158*(1-J161)</f>
        <v>186.06394326404703</v>
      </c>
      <c r="K162" s="4">
        <f t="shared" si="107"/>
        <v>266.99999999999994</v>
      </c>
      <c r="L162" s="4">
        <f t="shared" si="107"/>
        <v>331.39999999999992</v>
      </c>
      <c r="M162" s="4">
        <f t="shared" si="107"/>
        <v>338.02799999999996</v>
      </c>
      <c r="N162" s="4">
        <f t="shared" si="107"/>
        <v>344.7885599999999</v>
      </c>
      <c r="O162" s="4">
        <f t="shared" si="107"/>
        <v>351.68433119999992</v>
      </c>
      <c r="P162" s="4">
        <f t="shared" si="107"/>
        <v>358.7180178239999</v>
      </c>
      <c r="Q162" s="4">
        <f t="shared" si="107"/>
        <v>365.89237818047991</v>
      </c>
      <c r="R162" s="4">
        <f t="shared" si="107"/>
        <v>373.21022574408954</v>
      </c>
      <c r="S162" s="4">
        <f t="shared" si="107"/>
        <v>380.67443025897131</v>
      </c>
    </row>
    <row r="163" spans="2:19" x14ac:dyDescent="0.55000000000000004">
      <c r="B163" t="s">
        <v>306</v>
      </c>
      <c r="I163" s="4">
        <f>I162*I146/1000</f>
        <v>296.20799999999997</v>
      </c>
      <c r="J163" s="4">
        <f t="shared" ref="J163:S163" si="108">J162*J146/1000</f>
        <v>175.17999999999998</v>
      </c>
      <c r="K163" s="4">
        <f t="shared" si="108"/>
        <v>213.59999999999994</v>
      </c>
      <c r="L163" s="4">
        <f t="shared" si="108"/>
        <v>198.83999999999995</v>
      </c>
      <c r="M163" s="4">
        <f t="shared" si="108"/>
        <v>169.01399999999998</v>
      </c>
      <c r="N163" s="4">
        <f t="shared" si="108"/>
        <v>137.91542399999997</v>
      </c>
      <c r="O163" s="4">
        <f t="shared" si="108"/>
        <v>100.48123748571427</v>
      </c>
      <c r="P163" s="4">
        <f t="shared" si="108"/>
        <v>102.49086223542855</v>
      </c>
      <c r="Q163" s="4">
        <f t="shared" si="108"/>
        <v>104.54067948013711</v>
      </c>
      <c r="R163" s="4">
        <f t="shared" si="108"/>
        <v>106.63149306973986</v>
      </c>
      <c r="S163" s="4">
        <f t="shared" si="108"/>
        <v>108.76412293113466</v>
      </c>
    </row>
    <row r="165" spans="2:19" x14ac:dyDescent="0.55000000000000004">
      <c r="B165" s="9" t="s">
        <v>511</v>
      </c>
    </row>
    <row r="166" spans="2:19" x14ac:dyDescent="0.55000000000000004">
      <c r="B166" t="s">
        <v>189</v>
      </c>
      <c r="H166" s="4">
        <f>H169+H167</f>
        <v>355</v>
      </c>
      <c r="I166" s="4">
        <f t="shared" ref="I166:S166" si="109">I159</f>
        <v>1481.04</v>
      </c>
      <c r="J166" s="4">
        <f>J159</f>
        <v>875.9</v>
      </c>
      <c r="K166" s="4">
        <f t="shared" si="109"/>
        <v>1068</v>
      </c>
      <c r="L166" s="4">
        <f t="shared" si="109"/>
        <v>994.2</v>
      </c>
      <c r="M166" s="4">
        <f t="shared" si="109"/>
        <v>1284.5064000000002</v>
      </c>
      <c r="N166" s="4">
        <f t="shared" si="109"/>
        <v>1517.0696640000001</v>
      </c>
      <c r="O166" s="4">
        <f t="shared" si="109"/>
        <v>1582.5794903999999</v>
      </c>
      <c r="P166" s="4">
        <f t="shared" si="109"/>
        <v>1650.1028819904</v>
      </c>
      <c r="Q166" s="4">
        <f t="shared" si="109"/>
        <v>1719.6941774482559</v>
      </c>
      <c r="R166" s="4">
        <f t="shared" si="109"/>
        <v>1791.4090835716302</v>
      </c>
      <c r="S166" s="4">
        <f t="shared" si="109"/>
        <v>1865.30470826896</v>
      </c>
    </row>
    <row r="167" spans="2:19" x14ac:dyDescent="0.55000000000000004">
      <c r="B167" t="s">
        <v>512</v>
      </c>
      <c r="H167" s="4">
        <f>H168</f>
        <v>15</v>
      </c>
      <c r="I167" s="44">
        <v>172.51</v>
      </c>
      <c r="J167" s="44">
        <v>448.38499999999999</v>
      </c>
      <c r="K167" s="44">
        <v>641</v>
      </c>
      <c r="L167" s="44">
        <v>686</v>
      </c>
      <c r="M167" s="51">
        <v>1275</v>
      </c>
      <c r="N167" s="51">
        <v>1300</v>
      </c>
      <c r="O167" s="508">
        <v>1325</v>
      </c>
      <c r="P167" s="508">
        <f>O167*1.025</f>
        <v>1358.1249999999998</v>
      </c>
      <c r="Q167" s="508">
        <f t="shared" ref="Q167:S167" si="110">P167*1.025</f>
        <v>1392.0781249999995</v>
      </c>
      <c r="R167" s="508">
        <f t="shared" si="110"/>
        <v>1426.8800781249995</v>
      </c>
      <c r="S167" s="508">
        <f t="shared" si="110"/>
        <v>1462.5520800781244</v>
      </c>
    </row>
    <row r="168" spans="2:19" x14ac:dyDescent="0.55000000000000004">
      <c r="B168" s="1" t="s">
        <v>513</v>
      </c>
      <c r="C168" s="1"/>
      <c r="D168" s="1"/>
      <c r="E168" s="1"/>
      <c r="F168" s="1"/>
      <c r="G168" s="1"/>
      <c r="H168" s="45">
        <v>15</v>
      </c>
      <c r="I168" s="247">
        <f>H168+I167</f>
        <v>187.51</v>
      </c>
      <c r="J168" s="247">
        <f t="shared" ref="J168:S168" si="111">I168+J167</f>
        <v>635.89499999999998</v>
      </c>
      <c r="K168" s="247">
        <f t="shared" si="111"/>
        <v>1276.895</v>
      </c>
      <c r="L168" s="247">
        <f>K168+L167</f>
        <v>1962.895</v>
      </c>
      <c r="M168" s="247">
        <f t="shared" si="111"/>
        <v>3237.895</v>
      </c>
      <c r="N168" s="247">
        <f t="shared" si="111"/>
        <v>4537.8950000000004</v>
      </c>
      <c r="O168" s="247">
        <f t="shared" si="111"/>
        <v>5862.8950000000004</v>
      </c>
      <c r="P168" s="247">
        <f t="shared" si="111"/>
        <v>7221.02</v>
      </c>
      <c r="Q168" s="247">
        <f t="shared" si="111"/>
        <v>8613.0981250000004</v>
      </c>
      <c r="R168" s="247">
        <f t="shared" si="111"/>
        <v>10039.978203125</v>
      </c>
      <c r="S168" s="247">
        <f t="shared" si="111"/>
        <v>11502.530283203125</v>
      </c>
    </row>
    <row r="169" spans="2:19" x14ac:dyDescent="0.55000000000000004">
      <c r="B169" t="s">
        <v>515</v>
      </c>
      <c r="H169" s="44">
        <v>340</v>
      </c>
      <c r="I169" s="44">
        <v>1835.9280000000001</v>
      </c>
      <c r="J169" s="44">
        <v>2091.6709999999998</v>
      </c>
      <c r="K169" s="44">
        <v>2213</v>
      </c>
      <c r="L169" s="44">
        <v>2127</v>
      </c>
      <c r="M169" s="4">
        <f t="shared" ref="M169:S169" si="112">L169+M166-M167</f>
        <v>2136.5064000000002</v>
      </c>
      <c r="N169" s="4">
        <f t="shared" si="112"/>
        <v>2353.5760640000003</v>
      </c>
      <c r="O169" s="4">
        <f t="shared" si="112"/>
        <v>2611.1555544000003</v>
      </c>
      <c r="P169" s="4">
        <f t="shared" si="112"/>
        <v>2903.1334363904007</v>
      </c>
      <c r="Q169" s="4">
        <f>P169+Q166-Q167</f>
        <v>3230.7494888386568</v>
      </c>
      <c r="R169" s="4">
        <f t="shared" si="112"/>
        <v>3595.2784942852877</v>
      </c>
      <c r="S169" s="4">
        <f t="shared" si="112"/>
        <v>3998.0311224761235</v>
      </c>
    </row>
    <row r="170" spans="2:19" x14ac:dyDescent="0.55000000000000004">
      <c r="I170" s="4"/>
    </row>
    <row r="171" spans="2:19" x14ac:dyDescent="0.55000000000000004">
      <c r="I171" s="4"/>
    </row>
  </sheetData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Cover</vt:lpstr>
      <vt:lpstr>Master</vt:lpstr>
      <vt:lpstr>Quarts</vt:lpstr>
      <vt:lpstr>Pagbank</vt:lpstr>
      <vt:lpstr>Notes</vt:lpstr>
      <vt:lpstr>Valuation</vt:lpstr>
      <vt:lpstr>Analysis</vt:lpstr>
      <vt:lpstr>Vs consensus</vt:lpstr>
      <vt:lpstr>Acquirer</vt:lpstr>
      <vt:lpstr>Earnings snaps</vt:lpstr>
      <vt:lpstr>Ests to PAGS</vt:lpstr>
      <vt:lpstr>Summary I</vt:lpstr>
      <vt:lpstr>Summary II</vt:lpstr>
      <vt:lpstr>CB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Soomit Datta</dc:creator>
  <cp:lastModifiedBy>Soomit Datta</cp:lastModifiedBy>
  <cp:lastPrinted>2024-03-17T18:35:59Z</cp:lastPrinted>
  <dcterms:created xsi:type="dcterms:W3CDTF">2020-12-08T11:01:28Z</dcterms:created>
  <dcterms:modified xsi:type="dcterms:W3CDTF">2024-03-18T17:31:36Z</dcterms:modified>
</cp:coreProperties>
</file>